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ders\Documents\Rate-Order-No-WAPA-188\"/>
    </mc:Choice>
  </mc:AlternateContent>
  <bookViews>
    <workbookView xWindow="720" yWindow="860" windowWidth="22760" windowHeight="9780" tabRatio="826"/>
  </bookViews>
  <sheets>
    <sheet name="Cover Sheets" sheetId="29" r:id="rId1"/>
    <sheet name="Summary-TrueUp" sheetId="11" r:id="rId2"/>
    <sheet name="WS1-RateBase" sheetId="2" r:id="rId3"/>
    <sheet name="WS2-AllocFactor" sheetId="4" r:id="rId4"/>
    <sheet name="WS3-RevCredits" sheetId="25" r:id="rId5"/>
    <sheet name="WS4-CostData" sheetId="3" r:id="rId6"/>
    <sheet name="WS5-BPUz" sheetId="26" r:id="rId7"/>
    <sheet name="WS6-BPUr" sheetId="27" r:id="rId8"/>
    <sheet name="WS7-BPUFac" sheetId="28" r:id="rId9"/>
    <sheet name="WS8-TranFac" sheetId="1" r:id="rId10"/>
    <sheet name="WS9-AI-Incl" sheetId="23" r:id="rId11"/>
    <sheet name="WS10-AI-Excl" sheetId="24" r:id="rId12"/>
    <sheet name="WS11-FacChanges" sheetId="22" r:id="rId13"/>
    <sheet name="WS12-SSCD" sheetId="6" r:id="rId14"/>
    <sheet name="WS13-SSCDFac" sheetId="5" r:id="rId15"/>
    <sheet name="WS14-Reg" sheetId="10" r:id="rId16"/>
    <sheet name="WS15-Res" sheetId="9" r:id="rId17"/>
  </sheets>
  <externalReferences>
    <externalReference r:id="rId18"/>
    <externalReference r:id="rId19"/>
  </externalReferences>
  <definedNames>
    <definedName name="Act14_ActRegRevRqmt" localSheetId="0">'[1]Input Sheet'!#REF!</definedName>
    <definedName name="Act14_ActRegRevRqmt" localSheetId="12">'[1]Input Sheet'!#REF!</definedName>
    <definedName name="Act14_ActRegRevRqmt" localSheetId="4">'[1]Input Sheet'!#REF!</definedName>
    <definedName name="Act14_ActRegRevRqmt" localSheetId="6">'[1]Input Sheet'!#REF!</definedName>
    <definedName name="Act14_ActRegRevRqmt" localSheetId="7">'[1]Input Sheet'!#REF!</definedName>
    <definedName name="Act14_ActRegRevRqmt" localSheetId="8">'[1]Input Sheet'!#REF!</definedName>
    <definedName name="Act14_AveControlAreaLoad">'[1]Input Sheet'!$H$143</definedName>
    <definedName name="Act14_BOR_AccumDepr">'[1]Input Sheet'!$H$42</definedName>
    <definedName name="Act14_BOR_DeprExp">'[1]Input Sheet'!$H$87</definedName>
    <definedName name="Act14_BOR_LTDebt">'[1]Input Sheet'!$H$96</definedName>
    <definedName name="Act14_BOR_LTInt">'[1]Input Sheet'!$H$97</definedName>
    <definedName name="Act14_BOR_OM">'[1]Input Sheet'!$H$81</definedName>
    <definedName name="Act14_BOR_Plant">'[1]Input Sheet'!$H$31</definedName>
    <definedName name="Act14_BxPS_BEFP_1411">'[1]Input Sheet'!$H$100</definedName>
    <definedName name="Act14_BxPS_BEFP_1412">'[1]Input Sheet'!$H$101</definedName>
    <definedName name="Act14_BxPS_BEFP_1415">'[1]Input Sheet'!$H$102</definedName>
    <definedName name="Act14_BxPS_BEFP_1416">'[1]Input Sheet'!$H$103</definedName>
    <definedName name="Act14_BxPS_BEFP_1421">'[1]Input Sheet'!$H$104</definedName>
    <definedName name="Act14_BxPS_BEFP_1422">'[1]Input Sheet'!$H$105</definedName>
    <definedName name="Act14_BxPS_BEFP_1425">'[1]Input Sheet'!$H$106</definedName>
    <definedName name="Act14_BxPS_BEFP_1426">'[1]Input Sheet'!$H$107</definedName>
    <definedName name="Act14_BxPS_BEFP_1431">'[1]Input Sheet'!$H$108</definedName>
    <definedName name="Act14_BxPS_BEFP_1432">'[1]Input Sheet'!$H$109</definedName>
    <definedName name="Act14_BxPS_BEFP_1441">'[1]Input Sheet'!$H$110</definedName>
    <definedName name="Act14_BxPS_BEFP_1442">'[1]Input Sheet'!$H$111</definedName>
    <definedName name="Act14_BxPS_BEFP_AccumDepr">'[1]Input Sheet'!$H$34</definedName>
    <definedName name="Act14_BxPS_BEFP_Additions">'[1]Input Sheet'!$H$45</definedName>
    <definedName name="Act14_BxPS_BEFP_AdjTrans">'[1]Input Sheet'!$H$47</definedName>
    <definedName name="Act14_BxPS_BEFP_AGExp">'[1]Input Sheet'!$H$65</definedName>
    <definedName name="Act14_BxPS_BEFP_CME">'[1]Input Sheet'!$H$69</definedName>
    <definedName name="Act14_BxPS_BEFP_DepMOVP">'[1]Input Sheet'!$H$67</definedName>
    <definedName name="Act14_BxPS_BEFP_DeprExp">'[1]Input Sheet'!$H$84</definedName>
    <definedName name="Act14_BxPS_BEFP_DispofAssets">'[1]Input Sheet'!$H$68</definedName>
    <definedName name="Act14_BxPS_BEFP_GenAccumDepr">'[1]Input Sheet'!$H$36</definedName>
    <definedName name="Act14_BxPS_BEFP_GenPlant">'[1]Input Sheet'!$H$19</definedName>
    <definedName name="Act14_BxPS_BEFP_LTDebt">'[1]Input Sheet'!$H$90</definedName>
    <definedName name="Act14_BxPS_BEFP_LTInt">'[1]Input Sheet'!$H$91</definedName>
    <definedName name="Act14_BxPS_BEFP_OtherPowerExp">'[1]Input Sheet'!$H$64</definedName>
    <definedName name="Act14_BxPS_BEFP_Plant">'[1]Input Sheet'!$H$16</definedName>
    <definedName name="Act14_BxPS_BEFP_PY_Adj">'[1]Input Sheet'!$H$66</definedName>
    <definedName name="Act14_BxPS_BEFP_Repl">'[1]Input Sheet'!$H$46</definedName>
    <definedName name="Act14_BxPS_BEFP_Retr">'[1]Input Sheet'!$H$48</definedName>
    <definedName name="Act14_BxPS_BEFP_SSCD_OpExp">'[1]Input Sheet'!$H$71</definedName>
    <definedName name="Act14_BxPS_BEFP_SSCDPlant">'[1]Input Sheet'!$H$21</definedName>
    <definedName name="Act14_BxPS_BEFP_TotalOpExpense">'[1]Input Sheet'!$H$62</definedName>
    <definedName name="Act14_BxPS_BEFP_TPlant">'[1]Input Sheet'!$H$17</definedName>
    <definedName name="Act14_BxPS_BEFP_TransAccumDepr">'[1]Input Sheet'!$H$35</definedName>
    <definedName name="Act14_BxPS_BEFP_WageSalary">'[1]Input Sheet'!$H$125</definedName>
    <definedName name="Act14_BxPS_BEFP_Warehouse_Stores">'[1]Input Sheet'!$H$70</definedName>
    <definedName name="Act14_BXPS_OM">'[1]2014 COST DATA'!$C$120</definedName>
    <definedName name="Act14_COE_AccumDepr">'[1]Input Sheet'!$H$39</definedName>
    <definedName name="Act14_COE_AccumDeprGen">'[1]Input Sheet'!$H$41</definedName>
    <definedName name="Act14_COE_AG">'[1]2014 COST DATA'!$G$95</definedName>
    <definedName name="Act14_COE_DeprExp">'[1]Input Sheet'!$H$86</definedName>
    <definedName name="Act14_COE_Gen">'[1]Input Sheet'!$H$29</definedName>
    <definedName name="Act14_COE_GenDepr">'[1]2014 COST DATA'!$G$38</definedName>
    <definedName name="Act14_COE_GenOM">'[1]2014 COST DATA'!$G$122</definedName>
    <definedName name="Act14_COE_GenPlant">'[1]2014 COST DATA'!$G$17</definedName>
    <definedName name="Act14_COE_LTDebt">'[1]Input Sheet'!$H$94</definedName>
    <definedName name="Act14_COE_LTInt">'[1]Input Sheet'!$H$95</definedName>
    <definedName name="Act14_COE_OM">'[1]Input Sheet'!$H$80</definedName>
    <definedName name="Act14_COE_Plant">'[1]Input Sheet'!$H$26</definedName>
    <definedName name="Act14_COE_TPlant">'[1]Input Sheet'!$H$27</definedName>
    <definedName name="Act14_COE_TransAccumDepr">'[1]Input Sheet'!$H$40</definedName>
    <definedName name="Act14_ControlAreaLoad">'[1]Input Sheet'!$H$146</definedName>
    <definedName name="Act14_Credit_Acct454">'[1]Input Sheet'!$H$14</definedName>
    <definedName name="Act14_Credit_ExstRev">'[1]Input Sheet'!$H$12</definedName>
    <definedName name="Act14_Credit_NFPTP">'[1]Input Sheet'!$H$11</definedName>
    <definedName name="Act14_Credit_SSCD">'[1]Input Sheet'!$H$13</definedName>
    <definedName name="Act14_Credit_STPTP">'[1]Input Sheet'!$H$10</definedName>
    <definedName name="Act14_GenAG">'[1]2014 COST DATA'!$K$95</definedName>
    <definedName name="Act14_GenCompRate">'[1]2014 COST DATA'!$K$62</definedName>
    <definedName name="Act14_GenDepr">'[1]2014 COST DATA'!$K$38</definedName>
    <definedName name="Act14_GenOM">'[1]2014 COST DATA'!$K$122</definedName>
    <definedName name="Act14_GenPlant">'[1]2014 COST DATA'!$K$17</definedName>
    <definedName name="Act14_MaxControlAreaLoad">'[1]Input Sheet'!$H$144</definedName>
    <definedName name="Act14_MaxGenControlArea">'[1]Input Sheet'!$H$145</definedName>
    <definedName name="Act14_RateLoadControlArea">'[1]Input Sheet'!$H$147</definedName>
    <definedName name="Act14_RegRateRevRqmt">'[1]Input Sheet'!$H$150</definedName>
    <definedName name="Act14_RMR_1411">'[1]Input Sheet'!$H$112</definedName>
    <definedName name="Act14_RMR_1412">'[1]Input Sheet'!$H$113</definedName>
    <definedName name="Act14_RMR_1415">'[1]Input Sheet'!$H$114</definedName>
    <definedName name="Act14_RMR_1416">'[1]Input Sheet'!$H$115</definedName>
    <definedName name="Act14_RMR_1421">'[1]Input Sheet'!$H$116</definedName>
    <definedName name="Act14_RMR_1422">'[1]Input Sheet'!$H$117</definedName>
    <definedName name="Act14_RMR_1425">'[1]Input Sheet'!$H$118</definedName>
    <definedName name="Act14_RMR_1426">'[1]Input Sheet'!$H$119</definedName>
    <definedName name="Act14_RMR_1431">'[1]Input Sheet'!$H$120</definedName>
    <definedName name="Act14_RMR_1432">'[1]Input Sheet'!$H$121</definedName>
    <definedName name="Act14_RMR_1441">'[1]Input Sheet'!$H$122</definedName>
    <definedName name="Act14_RMR_1442">'[1]Input Sheet'!$H$123</definedName>
    <definedName name="Act14_RMR_AccumDepr">'[1]Input Sheet'!$H$37</definedName>
    <definedName name="Act14_RMR_AGExp">'[1]Input Sheet'!$H$75</definedName>
    <definedName name="Act14_RMR_CME">'[1]Input Sheet'!$H$78</definedName>
    <definedName name="Act14_RMR_DeprExp">'[1]Input Sheet'!$H$85</definedName>
    <definedName name="Act14_RMR_DispofAssets">'[1]Input Sheet'!$H$77</definedName>
    <definedName name="Act14_RMR_LTDebt">'[1]Input Sheet'!$H$92</definedName>
    <definedName name="Act14_RMR_LTInt">'[1]Input Sheet'!$H$93</definedName>
    <definedName name="Act14_RMR_MOVP_Depr">'[1]Input Sheet'!$H$76</definedName>
    <definedName name="Act14_RMR_OM">'[1]2014 COST DATA'!$E$120</definedName>
    <definedName name="Act14_RMR_Other_Power_Exp">'[1]Input Sheet'!$H$74</definedName>
    <definedName name="Act14_RMR_Plant">'[1]Input Sheet'!$H$23</definedName>
    <definedName name="Act14_RMR_Total_OM">'[1]Input Sheet'!$H$73</definedName>
    <definedName name="Act14_RMR_Total_OpExp">'[1]Input Sheet'!$H$72</definedName>
    <definedName name="Act14_RMR_TPlant">'[1]Input Sheet'!$H$24</definedName>
    <definedName name="Act14_RMR_TransAccumDepr">'[1]Input Sheet'!$H$38</definedName>
    <definedName name="Act14_RMR_Warehouse_Stores">'[1]Input Sheet'!$H$79</definedName>
    <definedName name="Act14_TotalTransPlant">'[1]2014 COST DATA'!$K$6</definedName>
    <definedName name="Act14_TransAG">'[1]2014 COST DATA'!$K$94</definedName>
    <definedName name="Act14_TransCompRate">'[1]2014 COST DATA'!$K$60</definedName>
    <definedName name="Act14_TransDepr">'[1]2014 COST DATA'!$K$37</definedName>
    <definedName name="Act14_TransOM">'[1]2014 COST DATA'!$K$121</definedName>
    <definedName name="Act14_TransPlant">'[1]2014 COST DATA'!$K$16</definedName>
    <definedName name="Act15_BxPS_BEFP_Additions">'[1]Input Sheet'!$E$45</definedName>
    <definedName name="Act15_BxPS_BEFP_AdjTrans">'[1]Input Sheet'!$E$47</definedName>
    <definedName name="Act15_BxPS_BEFP_AGExp">'[1]Input Sheet'!$E$65</definedName>
    <definedName name="Act15_BxPS_BEFP_CME">'[1]Input Sheet'!$E$69</definedName>
    <definedName name="Act15_BxPS_BEFP_OtherPowerExp">'[1]Input Sheet'!$E$64</definedName>
    <definedName name="Act15_BxPS_BEFP_Plant">'[1]Input Sheet'!$E$16</definedName>
    <definedName name="Act15_BxPS_BEFP_PY_Adj">'[1]Input Sheet'!$E$66</definedName>
    <definedName name="Act15_BxPS_BEFP_Repl">'[1]Input Sheet'!$E$46</definedName>
    <definedName name="Act15_BxPS_BEFP_Retr">'[1]Input Sheet'!$E$48</definedName>
    <definedName name="Act15_BxPS_BEFP_TotalOpExpense">'[1]Input Sheet'!$E$62</definedName>
    <definedName name="Act15_BxPS_BEFP_Warehouse_Stores">'[1]Input Sheet'!$E$70</definedName>
    <definedName name="Act15_RMR_AGExp">'[1]Input Sheet'!$E$75</definedName>
    <definedName name="Act15_RMR_CME">'[1]Input Sheet'!$E$78</definedName>
    <definedName name="Act15_RMR_Other_Power_Exp">'[1]Input Sheet'!$E$74</definedName>
    <definedName name="Act15_RMR_Plant">'[1]Input Sheet'!$E$23</definedName>
    <definedName name="Act15_RMR_Total_OpExp">'[1]Input Sheet'!$E$72</definedName>
    <definedName name="Act15_RMR_Warehouse_Stores">'[1]Input Sheet'!$E$79</definedName>
    <definedName name="CUSTAR" localSheetId="0">#REF!</definedName>
    <definedName name="CUSTAR" localSheetId="12">#REF!</definedName>
    <definedName name="CUSTAR" localSheetId="13">#REF!</definedName>
    <definedName name="CUSTAR" localSheetId="15">#REF!</definedName>
    <definedName name="CUSTAR" localSheetId="16">#REF!</definedName>
    <definedName name="CUSTAR" localSheetId="2">#REF!</definedName>
    <definedName name="CUSTAR" localSheetId="4">#REF!</definedName>
    <definedName name="CUSTAR" localSheetId="6">#REF!</definedName>
    <definedName name="CUSTAR" localSheetId="7">#REF!</definedName>
    <definedName name="CUSTAR" localSheetId="8">#REF!</definedName>
    <definedName name="Custar1" localSheetId="0">#REF!</definedName>
    <definedName name="Custar1" localSheetId="12">#REF!</definedName>
    <definedName name="Custar1" localSheetId="13">#REF!</definedName>
    <definedName name="Custar1" localSheetId="15">#REF!</definedName>
    <definedName name="Custar1" localSheetId="16">#REF!</definedName>
    <definedName name="Custar1" localSheetId="4">#REF!</definedName>
    <definedName name="Custar1" localSheetId="6">#REF!</definedName>
    <definedName name="Custar1" localSheetId="7">#REF!</definedName>
    <definedName name="Custar1" localSheetId="8">#REF!</definedName>
    <definedName name="CUYAHOGA_FALLS" localSheetId="0">#REF!</definedName>
    <definedName name="CUYAHOGA_FALLS" localSheetId="12">#REF!</definedName>
    <definedName name="CUYAHOGA_FALLS" localSheetId="13">#REF!</definedName>
    <definedName name="CUYAHOGA_FALLS" localSheetId="15">#REF!</definedName>
    <definedName name="CUYAHOGA_FALLS" localSheetId="16">#REF!</definedName>
    <definedName name="CUYAHOGA_FALLS" localSheetId="2">#REF!</definedName>
    <definedName name="CUYAHOGA_FALLS" localSheetId="4">#REF!</definedName>
    <definedName name="CUYAHOGA_FALLS" localSheetId="6">#REF!</definedName>
    <definedName name="CUYAHOGA_FALLS" localSheetId="7">#REF!</definedName>
    <definedName name="CUYAHOGA_FALLS" localSheetId="8">#REF!</definedName>
    <definedName name="DETERMINATION_OF_PICK_SLOAN_MISSOURI_BASIN_PROGRAM__EASTERN_DIVISION" localSheetId="0">#REF!</definedName>
    <definedName name="DETERMINATION_OF_PICK_SLOAN_MISSOURI_BASIN_PROGRAM__EASTERN_DIVISION" localSheetId="12">#REF!</definedName>
    <definedName name="DETERMINATION_OF_PICK_SLOAN_MISSOURI_BASIN_PROGRAM__EASTERN_DIVISION" localSheetId="13">#REF!</definedName>
    <definedName name="DETERMINATION_OF_PICK_SLOAN_MISSOURI_BASIN_PROGRAM__EASTERN_DIVISION" localSheetId="15">#REF!</definedName>
    <definedName name="DETERMINATION_OF_PICK_SLOAN_MISSOURI_BASIN_PROGRAM__EASTERN_DIVISION" localSheetId="16">#REF!</definedName>
    <definedName name="DETERMINATION_OF_PICK_SLOAN_MISSOURI_BASIN_PROGRAM__EASTERN_DIVISION" localSheetId="2">#REF!</definedName>
    <definedName name="DETERMINATION_OF_PICK_SLOAN_MISSOURI_BASIN_PROGRAM__EASTERN_DIVISION" localSheetId="4">#REF!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EDGERTON" localSheetId="0">#REF!</definedName>
    <definedName name="EDGERTON" localSheetId="12">#REF!</definedName>
    <definedName name="EDGERTON" localSheetId="13">#REF!</definedName>
    <definedName name="EDGERTON" localSheetId="15">#REF!</definedName>
    <definedName name="EDGERTON" localSheetId="16">#REF!</definedName>
    <definedName name="EDGERTON" localSheetId="2">#REF!</definedName>
    <definedName name="EDGERTON" localSheetId="4">#REF!</definedName>
    <definedName name="EDGERTON" localSheetId="6">#REF!</definedName>
    <definedName name="EDGERTON" localSheetId="7">#REF!</definedName>
    <definedName name="EDGERTON" localSheetId="8">#REF!</definedName>
    <definedName name="Ellwood_City" localSheetId="0">#REF!</definedName>
    <definedName name="Ellwood_City" localSheetId="12">#REF!</definedName>
    <definedName name="Ellwood_City" localSheetId="13">#REF!</definedName>
    <definedName name="Ellwood_City" localSheetId="15">#REF!</definedName>
    <definedName name="Ellwood_City" localSheetId="16">#REF!</definedName>
    <definedName name="Ellwood_City" localSheetId="2">#REF!</definedName>
    <definedName name="Ellwood_City" localSheetId="4">#REF!</definedName>
    <definedName name="Ellwood_City" localSheetId="6">#REF!</definedName>
    <definedName name="Ellwood_City" localSheetId="7">#REF!</definedName>
    <definedName name="Ellwood_City" localSheetId="8">#REF!</definedName>
    <definedName name="ELMORE" localSheetId="0">#REF!</definedName>
    <definedName name="ELMORE" localSheetId="12">#REF!</definedName>
    <definedName name="ELMORE" localSheetId="13">#REF!</definedName>
    <definedName name="ELMORE" localSheetId="15">#REF!</definedName>
    <definedName name="ELMORE" localSheetId="16">#REF!</definedName>
    <definedName name="ELMORE" localSheetId="2">#REF!</definedName>
    <definedName name="ELMORE" localSheetId="4">#REF!</definedName>
    <definedName name="ELMORE" localSheetId="6">#REF!</definedName>
    <definedName name="ELMORE" localSheetId="7">#REF!</definedName>
    <definedName name="ELMORE" localSheetId="8">#REF!</definedName>
    <definedName name="Est16_BOR_AccumDepr">'[1]Input Sheet'!$C$42</definedName>
    <definedName name="Est16_BOR_DeprExp">'[1]Input Sheet'!$C$87</definedName>
    <definedName name="Est16_BOR_LTDebt">'[1]Input Sheet'!$C$96</definedName>
    <definedName name="Est16_BOR_LTInt">'[1]Input Sheet'!$C$97</definedName>
    <definedName name="Est16_BOR_OM">'[1]Input Sheet'!$C$81</definedName>
    <definedName name="Est16_BOR_Plant">'[1]Input Sheet'!$C$31</definedName>
    <definedName name="Est16_BxPS_BEFP_AccumDepr">'[1]Input Sheet'!$C$34</definedName>
    <definedName name="Est16_BxPS_BEFP_AGExp">'[1]Input Sheet'!$C$65</definedName>
    <definedName name="Est16_BxPS_BEFP_CME">'[1]Input Sheet'!$C$69</definedName>
    <definedName name="Est16_BxPS_BEFP_DepMOVP">'[1]Input Sheet'!$C$67</definedName>
    <definedName name="Est16_BxPS_BEFP_DeprExp">'[1]Input Sheet'!$C$84</definedName>
    <definedName name="Est16_BxPS_BEFP_DispofAssets">'[1]Input Sheet'!$C$68</definedName>
    <definedName name="Est16_BxPS_BEFP_GenAccumDepr">'[1]Input Sheet'!$C$36</definedName>
    <definedName name="Est16_BxPS_BEFP_GenPlant">'[1]Input Sheet'!$C$19</definedName>
    <definedName name="Est16_BxPS_BEFP_LTDebt">'[1]Input Sheet'!$C$90</definedName>
    <definedName name="Est16_BxPS_BEFP_LTInt">'[1]Input Sheet'!$C$91</definedName>
    <definedName name="Est16_BxPS_BEFP_Plant">'[1]Input Sheet'!$C$16</definedName>
    <definedName name="Est16_BxPS_BEFP_SSCD_OpExp">'[1]Input Sheet'!$C$71</definedName>
    <definedName name="Est16_BxPS_BEFP_SSCDAllocator">'[1]Input Sheet'!$C$22</definedName>
    <definedName name="Est16_BxPS_BEFP_SSCDPlant">'[1]Input Sheet'!$C$21</definedName>
    <definedName name="Est16_BxPS_BEFP_TotalOM">'[1]Input Sheet'!$C$63</definedName>
    <definedName name="Est16_BxPS_BEFP_TPlant">'[1]Input Sheet'!$C$17</definedName>
    <definedName name="Est16_BxPS_BEFP_TransAccumDepr">'[1]Input Sheet'!$C$35</definedName>
    <definedName name="Est16_BxPS_BEFP_WageSalary">'[1]Input Sheet'!$C$125</definedName>
    <definedName name="Est16_BxPS_BEFP_Warehouse_Stores">'[1]Input Sheet'!$C$70</definedName>
    <definedName name="Est16_BXPS_OM">'[1]2016 EST COST DATA'!$C$119</definedName>
    <definedName name="Est16_COE_AccumDepr">'[1]Input Sheet'!$C$39</definedName>
    <definedName name="Est16_COE_AG">'[1]2016 EST COST DATA'!$G$95</definedName>
    <definedName name="Est16_COE_DeprExp">'[1]Input Sheet'!$C$86</definedName>
    <definedName name="Est16_COE_FixedChargeRate">'[1]2016 est ANNUAL COSTS'!$E$34</definedName>
    <definedName name="Est16_COE_Gen">'[1]Input Sheet'!$C$29</definedName>
    <definedName name="Est16_COE_GenAccumDepr">'[1]Input Sheet'!$C$41</definedName>
    <definedName name="Est16_COE_GenDepr">'[1]2016 EST COST DATA'!$G$38</definedName>
    <definedName name="Est16_COE_GenOM">'[1]2016 EST COST DATA'!$G$121</definedName>
    <definedName name="Est16_COE_GenPlant">'[1]2016 EST COST DATA'!$G$17</definedName>
    <definedName name="Est16_COE_LTDebt">'[1]Input Sheet'!$C$94</definedName>
    <definedName name="Est16_COE_LTInt">'[1]Input Sheet'!$C$95</definedName>
    <definedName name="Est16_COE_NetPlantInvest">'[1]2016 est ANNUAL COSTS'!$E$35</definedName>
    <definedName name="Est16_COE_OM">'[1]Input Sheet'!$C$80</definedName>
    <definedName name="Est16_COE_Plant">'[1]Input Sheet'!$C$26</definedName>
    <definedName name="Est16_COE_TPlant">'[1]Input Sheet'!$C$27</definedName>
    <definedName name="Est16_COE_TransAccumDepr">'[1]Input Sheet'!$C$40</definedName>
    <definedName name="Est16_Credit_Acct454">'[1]Input Sheet'!$C$14</definedName>
    <definedName name="Est16_Credit_ExstRev">'[1]Input Sheet'!$C$12</definedName>
    <definedName name="Est16_Credit_NFPTP">'[1]Input Sheet'!$C$11</definedName>
    <definedName name="Est16_Credit_STPTP">'[1]Input Sheet'!$C$10</definedName>
    <definedName name="Est16_GenAG">'[1]2016 EST COST DATA'!$K$95</definedName>
    <definedName name="Est16_GenCompRate">'[1]2016 EST COST DATA'!$K$62</definedName>
    <definedName name="Est16_GenDepr">'[1]2016 EST COST DATA'!$K$38</definedName>
    <definedName name="Est16_GenOM">'[1]2016 EST COST DATA'!$K$121</definedName>
    <definedName name="Est16_GenPlant">'[1]2016 EST COST DATA'!$K$17</definedName>
    <definedName name="Est16_PlantCapacity">'[1]Input Sheet'!$C$148</definedName>
    <definedName name="Est16_RegCapacity">'[1]Input Sheet'!$C$149</definedName>
    <definedName name="Est16_RMR_AccumDepr">'[1]Input Sheet'!$C$37</definedName>
    <definedName name="Est16_RMR_AGExp">'[1]Input Sheet'!$C$75</definedName>
    <definedName name="Est16_RMR_CME">'[1]Input Sheet'!$C$78</definedName>
    <definedName name="Est16_RMR_DeprExp">'[1]Input Sheet'!$C$85</definedName>
    <definedName name="Est16_RMR_LTDebt">'[1]Input Sheet'!$C$92</definedName>
    <definedName name="Est16_RMR_LTInt">'[1]Input Sheet'!$C$93</definedName>
    <definedName name="Est16_RMR_OM">'[1]2016 EST COST DATA'!$E$119</definedName>
    <definedName name="Est16_RMR_Plant">'[1]Input Sheet'!$C$23</definedName>
    <definedName name="Est16_RMR_Total_OM">'[1]Input Sheet'!$C$73</definedName>
    <definedName name="Est16_RMR_TPlant">'[1]Input Sheet'!$C$24</definedName>
    <definedName name="Est16_RMR_TransAccumDepr">'[1]Input Sheet'!$C$38</definedName>
    <definedName name="Est16_RMR_Warehouse_Stores">'[1]Input Sheet'!$C$79</definedName>
    <definedName name="Est16_SSCD_Other_Revenue">'[1]Input Sheet'!$C$142</definedName>
    <definedName name="Est16_SSCD_RevRqmt">'[1]WAUGP-AS1 2016 est'!$C$17</definedName>
    <definedName name="Est16_Trans_Composite_IntRate">'[1]2016 EST COST DATA'!$K$60</definedName>
    <definedName name="Est16_TransAG">'[1]2016 EST COST DATA'!$K$94</definedName>
    <definedName name="Est16_TransDepr">'[1]2016 EST COST DATA'!$K$37</definedName>
    <definedName name="Est16_TransOM">'[1]2016 EST COST DATA'!$K$120</definedName>
    <definedName name="Est16_TransPlant">'[1]2016 EST COST DATA'!$K$16</definedName>
    <definedName name="Est17_BOR_OM">'[1]Input Sheet'!$B$81</definedName>
    <definedName name="Est17_BxPS_BEFP_AccumDepr">'[1]Input Sheet'!$B$34</definedName>
    <definedName name="Est17_BxPS_BEFP_AGExp">'[1]Input Sheet'!$B$65</definedName>
    <definedName name="Est17_BxPS_BEFP_CME">'[1]Input Sheet'!$B$69</definedName>
    <definedName name="Est17_BxPS_BEFP_DepMOVP">'[1]Input Sheet'!$B$67</definedName>
    <definedName name="Est17_BxPS_BEFP_DeprExp">'[1]Input Sheet'!$B$84</definedName>
    <definedName name="Est17_BxPS_BEFP_DispofAssets">'[1]Input Sheet'!$B$68</definedName>
    <definedName name="Est17_BxPS_BEFP_GenAccumDepr">'[1]Input Sheet'!$B$36</definedName>
    <definedName name="Est17_BxPS_BEFP_GenPlant">'[1]Input Sheet'!$B$19</definedName>
    <definedName name="Est17_BxPS_BEFP_Plant">'[1]Input Sheet'!$B$16</definedName>
    <definedName name="Est17_BxPS_BEFP_TotalOM">'[1]Input Sheet'!$B$63</definedName>
    <definedName name="Est17_BxPS_BEFP_TPlant">'[1]Input Sheet'!$B$17</definedName>
    <definedName name="Est17_BxPS_BEFP_TransAccumDepr">'[1]Input Sheet'!$B$35</definedName>
    <definedName name="Est17_BxPS_BEFP_WageSalary">'[1]Input Sheet'!$B$125</definedName>
    <definedName name="Est17_BxPS_BEFP_Warehouse_Stores">'[1]Input Sheet'!$B$70</definedName>
    <definedName name="Est17_BXPS_OM">'[1]2017 EST COST DATA'!$C$119</definedName>
    <definedName name="Est17_COE_AccumDeprGen">'[1]Input Sheet'!$B$41</definedName>
    <definedName name="Est17_COE_DeprExp">'[1]Input Sheet'!$B$86</definedName>
    <definedName name="Est17_COE_Gen">'[1]Input Sheet'!$B$29</definedName>
    <definedName name="Est17_COE_OM">'[1]Input Sheet'!$B$80</definedName>
    <definedName name="Est17_COE_Plant">'[1]Input Sheet'!$B$26</definedName>
    <definedName name="Est17_COE_TPlant">'[1]Input Sheet'!$B$27</definedName>
    <definedName name="Est17_COE_TransAccumDepr">'[1]Input Sheet'!$B$40</definedName>
    <definedName name="Est17_Credit_Acct454">'[1]Input Sheet'!$B$14</definedName>
    <definedName name="Est17_Credit_ExstRev">'[1]Input Sheet'!$B$12</definedName>
    <definedName name="Est17_Credit_NFPTP">'[1]Input Sheet'!$B$11</definedName>
    <definedName name="Est17_Credit_SSCD">'[1]Input Sheet'!$B$13</definedName>
    <definedName name="Est17_Credit_STPTP">'[1]Input Sheet'!$B$10</definedName>
    <definedName name="Est17_RMR_AGExp">'[1]Input Sheet'!$B$75</definedName>
    <definedName name="Est17_RMR_CME">'[1]Input Sheet'!$B$78</definedName>
    <definedName name="Est17_RMR_DeprExp">'[1]Input Sheet'!$B$85</definedName>
    <definedName name="Est17_RMR_OM">'[1]2017 EST COST DATA'!$E$119</definedName>
    <definedName name="Est17_RMR_Plant">'[1]Input Sheet'!$B$23</definedName>
    <definedName name="Est17_RMR_Total_OM">'[1]Input Sheet'!$B$73</definedName>
    <definedName name="Est17_RMR_TPlant">'[1]Input Sheet'!$B$24</definedName>
    <definedName name="Est17_RMR_TransAccumDepr">'[1]Input Sheet'!$B$38</definedName>
    <definedName name="Est17_RMR_Warehouse_Stores">'[1]Input Sheet'!$B$79</definedName>
    <definedName name="GALION" localSheetId="0">#REF!</definedName>
    <definedName name="GALION" localSheetId="12">#REF!</definedName>
    <definedName name="GALION" localSheetId="13">#REF!</definedName>
    <definedName name="GALION" localSheetId="15">#REF!</definedName>
    <definedName name="GALION" localSheetId="16">#REF!</definedName>
    <definedName name="GALION" localSheetId="2">#REF!</definedName>
    <definedName name="GALION" localSheetId="4">#REF!</definedName>
    <definedName name="GALION" localSheetId="6">#REF!</definedName>
    <definedName name="GALION" localSheetId="7">#REF!</definedName>
    <definedName name="GALION" localSheetId="8">#REF!</definedName>
    <definedName name="GENOA" localSheetId="0">#REF!</definedName>
    <definedName name="GENOA" localSheetId="12">#REF!</definedName>
    <definedName name="GENOA" localSheetId="13">#REF!</definedName>
    <definedName name="GENOA" localSheetId="15">#REF!</definedName>
    <definedName name="GENOA" localSheetId="16">#REF!</definedName>
    <definedName name="GENOA" localSheetId="2">#REF!</definedName>
    <definedName name="GENOA" localSheetId="4">#REF!</definedName>
    <definedName name="GENOA" localSheetId="6">#REF!</definedName>
    <definedName name="GENOA" localSheetId="7">#REF!</definedName>
    <definedName name="GENOA" localSheetId="8">#REF!</definedName>
    <definedName name="GENOA_NORTH" localSheetId="0">#REF!</definedName>
    <definedName name="GENOA_NORTH" localSheetId="12">#REF!</definedName>
    <definedName name="GENOA_NORTH" localSheetId="13">#REF!</definedName>
    <definedName name="GENOA_NORTH" localSheetId="15">#REF!</definedName>
    <definedName name="GENOA_NORTH" localSheetId="16">#REF!</definedName>
    <definedName name="GENOA_NORTH" localSheetId="2">#REF!</definedName>
    <definedName name="GENOA_NORTH" localSheetId="4">#REF!</definedName>
    <definedName name="GENOA_NORTH" localSheetId="6">#REF!</definedName>
    <definedName name="GENOA_NORTH" localSheetId="7">#REF!</definedName>
    <definedName name="GENOA_NORTH" localSheetId="8">#REF!</definedName>
    <definedName name="GENOA_SOUTH" localSheetId="0">#REF!</definedName>
    <definedName name="GENOA_SOUTH" localSheetId="12">#REF!</definedName>
    <definedName name="GENOA_SOUTH" localSheetId="13">#REF!</definedName>
    <definedName name="GENOA_SOUTH" localSheetId="15">#REF!</definedName>
    <definedName name="GENOA_SOUTH" localSheetId="16">#REF!</definedName>
    <definedName name="GENOA_SOUTH" localSheetId="2">#REF!</definedName>
    <definedName name="GENOA_SOUTH" localSheetId="4">#REF!</definedName>
    <definedName name="GENOA_SOUTH" localSheetId="6">#REF!</definedName>
    <definedName name="GENOA_SOUTH" localSheetId="7">#REF!</definedName>
    <definedName name="GENOA_SOUTH" localSheetId="8">#REF!</definedName>
    <definedName name="GRAFTON" localSheetId="0">#REF!</definedName>
    <definedName name="GRAFTON" localSheetId="12">#REF!</definedName>
    <definedName name="GRAFTON" localSheetId="13">#REF!</definedName>
    <definedName name="GRAFTON" localSheetId="15">#REF!</definedName>
    <definedName name="GRAFTON" localSheetId="16">#REF!</definedName>
    <definedName name="GRAFTON" localSheetId="2">#REF!</definedName>
    <definedName name="GRAFTON" localSheetId="4">#REF!</definedName>
    <definedName name="GRAFTON" localSheetId="6">#REF!</definedName>
    <definedName name="GRAFTON" localSheetId="7">#REF!</definedName>
    <definedName name="GRAFTON" localSheetId="8">#REF!</definedName>
    <definedName name="Grove_City" localSheetId="0">#REF!</definedName>
    <definedName name="Grove_City" localSheetId="12">#REF!</definedName>
    <definedName name="Grove_City" localSheetId="13">#REF!</definedName>
    <definedName name="Grove_City" localSheetId="15">#REF!</definedName>
    <definedName name="Grove_City" localSheetId="16">#REF!</definedName>
    <definedName name="Grove_City" localSheetId="2">#REF!</definedName>
    <definedName name="Grove_City" localSheetId="4">#REF!</definedName>
    <definedName name="Grove_City" localSheetId="6">#REF!</definedName>
    <definedName name="Grove_City" localSheetId="7">#REF!</definedName>
    <definedName name="Grove_City" localSheetId="8">#REF!</definedName>
    <definedName name="HASKINS" localSheetId="0">#REF!</definedName>
    <definedName name="HASKINS" localSheetId="12">#REF!</definedName>
    <definedName name="HASKINS" localSheetId="13">#REF!</definedName>
    <definedName name="HASKINS" localSheetId="15">#REF!</definedName>
    <definedName name="HASKINS" localSheetId="16">#REF!</definedName>
    <definedName name="HASKINS" localSheetId="2">#REF!</definedName>
    <definedName name="HASKINS" localSheetId="4">#REF!</definedName>
    <definedName name="HASKINS" localSheetId="6">#REF!</definedName>
    <definedName name="HASKINS" localSheetId="7">#REF!</definedName>
    <definedName name="HASKINS" localSheetId="8">#REF!</definedName>
    <definedName name="hourending" localSheetId="0">#REF!</definedName>
    <definedName name="hourending" localSheetId="12">#REF!</definedName>
    <definedName name="hourending" localSheetId="13">#REF!</definedName>
    <definedName name="hourending" localSheetId="15">#REF!</definedName>
    <definedName name="hourending" localSheetId="16">#REF!</definedName>
    <definedName name="hourending" localSheetId="2">#REF!</definedName>
    <definedName name="hourending" localSheetId="4">#REF!</definedName>
    <definedName name="hourending" localSheetId="6">#REF!</definedName>
    <definedName name="hourending" localSheetId="7">#REF!</definedName>
    <definedName name="hourending" localSheetId="8">#REF!</definedName>
    <definedName name="HUBBARD" localSheetId="0">#REF!</definedName>
    <definedName name="HUBBARD" localSheetId="12">#REF!</definedName>
    <definedName name="HUBBARD" localSheetId="13">#REF!</definedName>
    <definedName name="HUBBARD" localSheetId="15">#REF!</definedName>
    <definedName name="HUBBARD" localSheetId="16">#REF!</definedName>
    <definedName name="HUBBARD" localSheetId="2">#REF!</definedName>
    <definedName name="HUBBARD" localSheetId="4">#REF!</definedName>
    <definedName name="HUBBARD" localSheetId="6">#REF!</definedName>
    <definedName name="HUBBARD" localSheetId="7">#REF!</definedName>
    <definedName name="HUBBARD" localSheetId="8">#REF!</definedName>
    <definedName name="HUBBARD1" localSheetId="0">#REF!</definedName>
    <definedName name="HUBBARD1" localSheetId="12">#REF!</definedName>
    <definedName name="HUBBARD1" localSheetId="13">#REF!</definedName>
    <definedName name="HUBBARD1" localSheetId="15">#REF!</definedName>
    <definedName name="HUBBARD1" localSheetId="16">#REF!</definedName>
    <definedName name="HUBBARD1" localSheetId="4">#REF!</definedName>
    <definedName name="HUBBARD1" localSheetId="6">#REF!</definedName>
    <definedName name="HUBBARD1" localSheetId="7">#REF!</definedName>
    <definedName name="HUBBARD1" localSheetId="8">#REF!</definedName>
    <definedName name="LODI" localSheetId="0">#REF!</definedName>
    <definedName name="LODI" localSheetId="12">#REF!</definedName>
    <definedName name="LODI" localSheetId="13">#REF!</definedName>
    <definedName name="LODI" localSheetId="15">#REF!</definedName>
    <definedName name="LODI" localSheetId="16">#REF!</definedName>
    <definedName name="LODI" localSheetId="2">#REF!</definedName>
    <definedName name="LODI" localSheetId="4">#REF!</definedName>
    <definedName name="LODI" localSheetId="6">#REF!</definedName>
    <definedName name="LODI" localSheetId="7">#REF!</definedName>
    <definedName name="LODI" localSheetId="8">#REF!</definedName>
    <definedName name="LUCAS" localSheetId="0">#REF!</definedName>
    <definedName name="LUCAS" localSheetId="12">#REF!</definedName>
    <definedName name="LUCAS" localSheetId="13">#REF!</definedName>
    <definedName name="LUCAS" localSheetId="15">#REF!</definedName>
    <definedName name="LUCAS" localSheetId="16">#REF!</definedName>
    <definedName name="LUCAS" localSheetId="2">#REF!</definedName>
    <definedName name="LUCAS" localSheetId="4">#REF!</definedName>
    <definedName name="LUCAS" localSheetId="6">#REF!</definedName>
    <definedName name="LUCAS" localSheetId="7">#REF!</definedName>
    <definedName name="LUCAS" localSheetId="8">#REF!</definedName>
    <definedName name="MILAN" localSheetId="0">#REF!</definedName>
    <definedName name="MILAN" localSheetId="12">#REF!</definedName>
    <definedName name="MILAN" localSheetId="13">#REF!</definedName>
    <definedName name="MILAN" localSheetId="15">#REF!</definedName>
    <definedName name="MILAN" localSheetId="16">#REF!</definedName>
    <definedName name="MILAN" localSheetId="2">#REF!</definedName>
    <definedName name="MILAN" localSheetId="4">#REF!</definedName>
    <definedName name="MILAN" localSheetId="6">#REF!</definedName>
    <definedName name="MILAN" localSheetId="7">#REF!</definedName>
    <definedName name="MILAN" localSheetId="8">#REF!</definedName>
    <definedName name="MONROEVILLE" localSheetId="0">#REF!</definedName>
    <definedName name="MONROEVILLE" localSheetId="12">#REF!</definedName>
    <definedName name="MONROEVILLE" localSheetId="13">#REF!</definedName>
    <definedName name="MONROEVILLE" localSheetId="15">#REF!</definedName>
    <definedName name="MONROEVILLE" localSheetId="16">#REF!</definedName>
    <definedName name="MONROEVILLE" localSheetId="2">#REF!</definedName>
    <definedName name="MONROEVILLE" localSheetId="4">#REF!</definedName>
    <definedName name="MONROEVILLE" localSheetId="6">#REF!</definedName>
    <definedName name="MONROEVILLE" localSheetId="7">#REF!</definedName>
    <definedName name="MONROEVILLE" localSheetId="8">#REF!</definedName>
    <definedName name="NAPOLEON" localSheetId="0">#REF!</definedName>
    <definedName name="NAPOLEON" localSheetId="12">#REF!</definedName>
    <definedName name="NAPOLEON" localSheetId="13">#REF!</definedName>
    <definedName name="NAPOLEON" localSheetId="15">#REF!</definedName>
    <definedName name="NAPOLEON" localSheetId="16">#REF!</definedName>
    <definedName name="NAPOLEON" localSheetId="2">#REF!</definedName>
    <definedName name="NAPOLEON" localSheetId="4">#REF!</definedName>
    <definedName name="NAPOLEON" localSheetId="6">#REF!</definedName>
    <definedName name="NAPOLEON" localSheetId="7">#REF!</definedName>
    <definedName name="NAPOLEON" localSheetId="8">#REF!</definedName>
    <definedName name="NEASG" localSheetId="0">#REF!</definedName>
    <definedName name="NEASG" localSheetId="12">#REF!</definedName>
    <definedName name="NEASG" localSheetId="13">#REF!</definedName>
    <definedName name="NEASG" localSheetId="15">#REF!</definedName>
    <definedName name="NEASG" localSheetId="16">#REF!</definedName>
    <definedName name="NEASG" localSheetId="2">#REF!</definedName>
    <definedName name="NEASG" localSheetId="4">#REF!</definedName>
    <definedName name="NEASG" localSheetId="6">#REF!</definedName>
    <definedName name="NEASG" localSheetId="7">#REF!</definedName>
    <definedName name="NEASG" localSheetId="8">#REF!</definedName>
    <definedName name="New_Wilmington" localSheetId="0">#REF!</definedName>
    <definedName name="New_Wilmington" localSheetId="12">#REF!</definedName>
    <definedName name="New_Wilmington" localSheetId="13">#REF!</definedName>
    <definedName name="New_Wilmington" localSheetId="15">#REF!</definedName>
    <definedName name="New_Wilmington" localSheetId="16">#REF!</definedName>
    <definedName name="New_Wilmington" localSheetId="2">#REF!</definedName>
    <definedName name="New_Wilmington" localSheetId="4">#REF!</definedName>
    <definedName name="New_Wilmington" localSheetId="6">#REF!</definedName>
    <definedName name="New_Wilmington" localSheetId="7">#REF!</definedName>
    <definedName name="New_Wilmington" localSheetId="8">#REF!</definedName>
    <definedName name="NEWTON_FALLS" localSheetId="0">#REF!</definedName>
    <definedName name="NEWTON_FALLS" localSheetId="12">#REF!</definedName>
    <definedName name="NEWTON_FALLS" localSheetId="13">#REF!</definedName>
    <definedName name="NEWTON_FALLS" localSheetId="15">#REF!</definedName>
    <definedName name="NEWTON_FALLS" localSheetId="16">#REF!</definedName>
    <definedName name="NEWTON_FALLS" localSheetId="2">#REF!</definedName>
    <definedName name="NEWTON_FALLS" localSheetId="4">#REF!</definedName>
    <definedName name="NEWTON_FALLS" localSheetId="6">#REF!</definedName>
    <definedName name="NEWTON_FALLS" localSheetId="7">#REF!</definedName>
    <definedName name="NEWTON_FALLS" localSheetId="8">#REF!</definedName>
    <definedName name="NILES" localSheetId="0">#REF!</definedName>
    <definedName name="NILES" localSheetId="12">#REF!</definedName>
    <definedName name="NILES" localSheetId="13">#REF!</definedName>
    <definedName name="NILES" localSheetId="15">#REF!</definedName>
    <definedName name="NILES" localSheetId="16">#REF!</definedName>
    <definedName name="NILES" localSheetId="2">#REF!</definedName>
    <definedName name="NILES" localSheetId="4">#REF!</definedName>
    <definedName name="NILES" localSheetId="6">#REF!</definedName>
    <definedName name="NILES" localSheetId="7">#REF!</definedName>
    <definedName name="NILES" localSheetId="8">#REF!</definedName>
    <definedName name="NWASG" localSheetId="0">#REF!</definedName>
    <definedName name="NWASG" localSheetId="12">#REF!</definedName>
    <definedName name="NWASG" localSheetId="13">#REF!</definedName>
    <definedName name="NWASG" localSheetId="15">#REF!</definedName>
    <definedName name="NWASG" localSheetId="16">#REF!</definedName>
    <definedName name="NWASG" localSheetId="2">#REF!</definedName>
    <definedName name="NWASG" localSheetId="4">#REF!</definedName>
    <definedName name="NWASG" localSheetId="6">#REF!</definedName>
    <definedName name="NWASG" localSheetId="7">#REF!</definedName>
    <definedName name="NWASG" localSheetId="8">#REF!</definedName>
    <definedName name="OAK_HARBOR" localSheetId="0">#REF!</definedName>
    <definedName name="OAK_HARBOR" localSheetId="12">#REF!</definedName>
    <definedName name="OAK_HARBOR" localSheetId="13">#REF!</definedName>
    <definedName name="OAK_HARBOR" localSheetId="15">#REF!</definedName>
    <definedName name="OAK_HARBOR" localSheetId="16">#REF!</definedName>
    <definedName name="OAK_HARBOR" localSheetId="2">#REF!</definedName>
    <definedName name="OAK_HARBOR" localSheetId="4">#REF!</definedName>
    <definedName name="OAK_HARBOR" localSheetId="6">#REF!</definedName>
    <definedName name="OAK_HARBOR" localSheetId="7">#REF!</definedName>
    <definedName name="OAK_HARBOR" localSheetId="8">#REF!</definedName>
    <definedName name="OBERLIN" localSheetId="0">#REF!</definedName>
    <definedName name="OBERLIN" localSheetId="12">#REF!</definedName>
    <definedName name="OBERLIN" localSheetId="13">#REF!</definedName>
    <definedName name="OBERLIN" localSheetId="15">#REF!</definedName>
    <definedName name="OBERLIN" localSheetId="16">#REF!</definedName>
    <definedName name="OBERLIN" localSheetId="2">#REF!</definedName>
    <definedName name="OBERLIN" localSheetId="4">#REF!</definedName>
    <definedName name="OBERLIN" localSheetId="6">#REF!</definedName>
    <definedName name="OBERLIN" localSheetId="7">#REF!</definedName>
    <definedName name="OBERLIN" localSheetId="8">#REF!</definedName>
    <definedName name="PEMBERVILLE" localSheetId="0">#REF!</definedName>
    <definedName name="PEMBERVILLE" localSheetId="12">#REF!</definedName>
    <definedName name="PEMBERVILLE" localSheetId="13">#REF!</definedName>
    <definedName name="PEMBERVILLE" localSheetId="15">#REF!</definedName>
    <definedName name="PEMBERVILLE" localSheetId="16">#REF!</definedName>
    <definedName name="PEMBERVILLE" localSheetId="2">#REF!</definedName>
    <definedName name="PEMBERVILLE" localSheetId="4">#REF!</definedName>
    <definedName name="PEMBERVILLE" localSheetId="6">#REF!</definedName>
    <definedName name="PEMBERVILLE" localSheetId="7">#REF!</definedName>
    <definedName name="PEMBERVILLE" localSheetId="8">#REF!</definedName>
    <definedName name="PIONEER" localSheetId="0">#REF!</definedName>
    <definedName name="PIONEER" localSheetId="12">#REF!</definedName>
    <definedName name="PIONEER" localSheetId="13">#REF!</definedName>
    <definedName name="PIONEER" localSheetId="15">#REF!</definedName>
    <definedName name="PIONEER" localSheetId="16">#REF!</definedName>
    <definedName name="PIONEER" localSheetId="2">#REF!</definedName>
    <definedName name="PIONEER" localSheetId="4">#REF!</definedName>
    <definedName name="PIONEER" localSheetId="6">#REF!</definedName>
    <definedName name="PIONEER" localSheetId="7">#REF!</definedName>
    <definedName name="PIONEER" localSheetId="8">#REF!</definedName>
    <definedName name="_xlnm.Print_Area" localSheetId="0">'Cover Sheets'!$A$1:$D$33</definedName>
    <definedName name="_xlnm.Print_Area" localSheetId="1">'Summary-TrueUp'!$A$1:$F$54</definedName>
    <definedName name="_xlnm.Print_Area" localSheetId="12">'WS11-FacChanges'!$A$1:$B$18</definedName>
    <definedName name="_xlnm.Print_Area" localSheetId="13">'WS12-SSCD'!$A$1:$D$18</definedName>
    <definedName name="_xlnm.Print_Area" localSheetId="15">'WS14-Reg'!$A$1:$D$19</definedName>
    <definedName name="_xlnm.Print_Area" localSheetId="16">'WS15-Res'!$A$1:$D$23</definedName>
    <definedName name="_xlnm.Print_Area" localSheetId="2">'WS1-RateBase'!$A$1:$I$174</definedName>
    <definedName name="_xlnm.Print_Area" localSheetId="3">'WS2-AllocFactor'!$A$1:$H$36</definedName>
    <definedName name="_xlnm.Print_Area" localSheetId="6">'WS5-BPUz'!$A$1:$M$19</definedName>
    <definedName name="_xlnm.Print_Area" localSheetId="7">'WS6-BPUr'!$A$1:$M$19</definedName>
    <definedName name="_xlnm.Print_Area" localSheetId="9">'WS8-TranFac'!$A$1:$I$505</definedName>
    <definedName name="PROSPECT" localSheetId="0">#REF!</definedName>
    <definedName name="PROSPECT" localSheetId="12">#REF!</definedName>
    <definedName name="PROSPECT" localSheetId="13">#REF!</definedName>
    <definedName name="PROSPECT" localSheetId="15">#REF!</definedName>
    <definedName name="PROSPECT" localSheetId="16">#REF!</definedName>
    <definedName name="PROSPECT" localSheetId="2">#REF!</definedName>
    <definedName name="PROSPECT" localSheetId="4">#REF!</definedName>
    <definedName name="PROSPECT" localSheetId="6">#REF!</definedName>
    <definedName name="PROSPECT" localSheetId="7">#REF!</definedName>
    <definedName name="PROSPECT" localSheetId="8">#REF!</definedName>
    <definedName name="revreq" localSheetId="0">#REF!</definedName>
    <definedName name="revreq" localSheetId="12">#REF!</definedName>
    <definedName name="revreq" localSheetId="13">#REF!</definedName>
    <definedName name="revreq" localSheetId="15">#REF!</definedName>
    <definedName name="revreq" localSheetId="16">#REF!</definedName>
    <definedName name="revreq" localSheetId="2">#REF!</definedName>
    <definedName name="revreq" localSheetId="4">#REF!</definedName>
    <definedName name="revreq" localSheetId="6">#REF!</definedName>
    <definedName name="revreq" localSheetId="7">#REF!</definedName>
    <definedName name="revreq" localSheetId="8">#REF!</definedName>
    <definedName name="SEVILLE" localSheetId="0">#REF!</definedName>
    <definedName name="SEVILLE" localSheetId="12">#REF!</definedName>
    <definedName name="SEVILLE" localSheetId="13">#REF!</definedName>
    <definedName name="SEVILLE" localSheetId="15">#REF!</definedName>
    <definedName name="SEVILLE" localSheetId="16">#REF!</definedName>
    <definedName name="SEVILLE" localSheetId="2">#REF!</definedName>
    <definedName name="SEVILLE" localSheetId="4">#REF!</definedName>
    <definedName name="SEVILLE" localSheetId="6">#REF!</definedName>
    <definedName name="SEVILLE" localSheetId="7">#REF!</definedName>
    <definedName name="SEVILLE" localSheetId="8">#REF!</definedName>
    <definedName name="SOUTH_VIENNA" localSheetId="0">#REF!</definedName>
    <definedName name="SOUTH_VIENNA" localSheetId="12">#REF!</definedName>
    <definedName name="SOUTH_VIENNA" localSheetId="13">#REF!</definedName>
    <definedName name="SOUTH_VIENNA" localSheetId="15">#REF!</definedName>
    <definedName name="SOUTH_VIENNA" localSheetId="16">#REF!</definedName>
    <definedName name="SOUTH_VIENNA" localSheetId="2">#REF!</definedName>
    <definedName name="SOUTH_VIENNA" localSheetId="4">#REF!</definedName>
    <definedName name="SOUTH_VIENNA" localSheetId="6">#REF!</definedName>
    <definedName name="SOUTH_VIENNA" localSheetId="7">#REF!</definedName>
    <definedName name="SOUTH_VIENNA" localSheetId="8">#REF!</definedName>
    <definedName name="TOTAL_COLUMBIANA" localSheetId="0">#REF!</definedName>
    <definedName name="TOTAL_COLUMBIANA" localSheetId="12">#REF!</definedName>
    <definedName name="TOTAL_COLUMBIANA" localSheetId="13">#REF!</definedName>
    <definedName name="TOTAL_COLUMBIANA" localSheetId="15">#REF!</definedName>
    <definedName name="TOTAL_COLUMBIANA" localSheetId="16">#REF!</definedName>
    <definedName name="TOTAL_COLUMBIANA" localSheetId="2">#REF!</definedName>
    <definedName name="TOTAL_COLUMBIANA" localSheetId="4">#REF!</definedName>
    <definedName name="TOTAL_COLUMBIANA" localSheetId="6">#REF!</definedName>
    <definedName name="TOTAL_COLUMBIANA" localSheetId="7">#REF!</definedName>
    <definedName name="TOTAL_COLUMBIANA" localSheetId="8">#REF!</definedName>
    <definedName name="Total_Grove_City" localSheetId="0">#REF!</definedName>
    <definedName name="Total_Grove_City" localSheetId="12">#REF!</definedName>
    <definedName name="Total_Grove_City" localSheetId="13">#REF!</definedName>
    <definedName name="Total_Grove_City" localSheetId="15">#REF!</definedName>
    <definedName name="Total_Grove_City" localSheetId="16">#REF!</definedName>
    <definedName name="Total_Grove_City" localSheetId="2">#REF!</definedName>
    <definedName name="Total_Grove_City" localSheetId="4">#REF!</definedName>
    <definedName name="Total_Grove_City" localSheetId="6">#REF!</definedName>
    <definedName name="Total_Grove_City" localSheetId="7">#REF!</definedName>
    <definedName name="Total_Grove_City" localSheetId="8">#REF!</definedName>
    <definedName name="TOTAL_HUDSON" localSheetId="0">#REF!</definedName>
    <definedName name="TOTAL_HUDSON" localSheetId="12">#REF!</definedName>
    <definedName name="TOTAL_HUDSON" localSheetId="13">#REF!</definedName>
    <definedName name="TOTAL_HUDSON" localSheetId="15">#REF!</definedName>
    <definedName name="TOTAL_HUDSON" localSheetId="16">#REF!</definedName>
    <definedName name="TOTAL_HUDSON" localSheetId="2">#REF!</definedName>
    <definedName name="TOTAL_HUDSON" localSheetId="4">#REF!</definedName>
    <definedName name="TOTAL_HUDSON" localSheetId="6">#REF!</definedName>
    <definedName name="TOTAL_HUDSON" localSheetId="7">#REF!</definedName>
    <definedName name="TOTAL_HUDSON" localSheetId="8">#REF!</definedName>
    <definedName name="TOTAL_MONTPELIER" localSheetId="0">#REF!</definedName>
    <definedName name="TOTAL_MONTPELIER" localSheetId="12">#REF!</definedName>
    <definedName name="TOTAL_MONTPELIER" localSheetId="13">#REF!</definedName>
    <definedName name="TOTAL_MONTPELIER" localSheetId="15">#REF!</definedName>
    <definedName name="TOTAL_MONTPELIER" localSheetId="16">#REF!</definedName>
    <definedName name="TOTAL_MONTPELIER" localSheetId="2">#REF!</definedName>
    <definedName name="TOTAL_MONTPELIER" localSheetId="4">#REF!</definedName>
    <definedName name="TOTAL_MONTPELIER" localSheetId="6">#REF!</definedName>
    <definedName name="TOTAL_MONTPELIER" localSheetId="7">#REF!</definedName>
    <definedName name="TOTAL_MONTPELIER" localSheetId="8">#REF!</definedName>
    <definedName name="TOTAL_WOODVILLE" localSheetId="0">#REF!</definedName>
    <definedName name="TOTAL_WOODVILLE" localSheetId="12">#REF!</definedName>
    <definedName name="TOTAL_WOODVILLE" localSheetId="13">#REF!</definedName>
    <definedName name="TOTAL_WOODVILLE" localSheetId="15">#REF!</definedName>
    <definedName name="TOTAL_WOODVILLE" localSheetId="16">#REF!</definedName>
    <definedName name="TOTAL_WOODVILLE" localSheetId="2">#REF!</definedName>
    <definedName name="TOTAL_WOODVILLE" localSheetId="4">#REF!</definedName>
    <definedName name="TOTAL_WOODVILLE" localSheetId="6">#REF!</definedName>
    <definedName name="TOTAL_WOODVILLE" localSheetId="7">#REF!</definedName>
    <definedName name="TOTAL_WOODVILLE" localSheetId="8">#REF!</definedName>
    <definedName name="WADSWORTH" localSheetId="0">#REF!</definedName>
    <definedName name="WADSWORTH" localSheetId="12">#REF!</definedName>
    <definedName name="WADSWORTH" localSheetId="13">#REF!</definedName>
    <definedName name="WADSWORTH" localSheetId="15">#REF!</definedName>
    <definedName name="WADSWORTH" localSheetId="16">#REF!</definedName>
    <definedName name="WADSWORTH" localSheetId="2">#REF!</definedName>
    <definedName name="WADSWORTH" localSheetId="4">#REF!</definedName>
    <definedName name="WADSWORTH" localSheetId="6">#REF!</definedName>
    <definedName name="WADSWORTH" localSheetId="7">#REF!</definedName>
    <definedName name="WADSWORTH" localSheetId="8">#REF!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12"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12"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s>
  <calcPr calcId="152511"/>
</workbook>
</file>

<file path=xl/calcChain.xml><?xml version="1.0" encoding="utf-8"?>
<calcChain xmlns="http://schemas.openxmlformats.org/spreadsheetml/2006/main">
  <c r="A1" i="4" l="1"/>
  <c r="A1" i="25"/>
  <c r="K117" i="3" l="1"/>
  <c r="C122" i="3"/>
  <c r="C11" i="2" l="1"/>
  <c r="A9" i="2"/>
  <c r="A8" i="2"/>
  <c r="A3" i="9" l="1"/>
  <c r="A1" i="9"/>
  <c r="A3" i="10"/>
  <c r="A1" i="10"/>
  <c r="A3" i="5"/>
  <c r="A1" i="5"/>
  <c r="A3" i="6"/>
  <c r="A1" i="6"/>
  <c r="A3" i="22"/>
  <c r="A1" i="22"/>
  <c r="A3" i="24"/>
  <c r="A1" i="24"/>
  <c r="B3" i="23"/>
  <c r="A3" i="1"/>
  <c r="A1" i="1"/>
  <c r="A3" i="28"/>
  <c r="A1" i="28"/>
  <c r="A3" i="27"/>
  <c r="A1" i="27"/>
  <c r="A3" i="26"/>
  <c r="A1" i="26"/>
  <c r="A3" i="3"/>
  <c r="A1" i="3"/>
  <c r="A3" i="25" l="1"/>
  <c r="A1" i="2" l="1"/>
  <c r="A1" i="11"/>
  <c r="F35" i="4" l="1"/>
  <c r="G16" i="4"/>
  <c r="F13" i="4"/>
  <c r="F17" i="4" s="1"/>
  <c r="G35" i="4"/>
  <c r="F8" i="4"/>
  <c r="F10" i="4" s="1"/>
  <c r="F26" i="4" s="1"/>
  <c r="G8" i="4"/>
  <c r="G10" i="4" s="1"/>
  <c r="G26" i="4" s="1"/>
  <c r="I21" i="28"/>
  <c r="E21" i="28"/>
  <c r="I20" i="28"/>
  <c r="G20" i="28"/>
  <c r="I19" i="28"/>
  <c r="G19" i="28"/>
  <c r="I18" i="28"/>
  <c r="G18" i="28"/>
  <c r="I17" i="28"/>
  <c r="G17" i="28"/>
  <c r="I16" i="28"/>
  <c r="G16" i="28"/>
  <c r="I15" i="28"/>
  <c r="G15" i="28"/>
  <c r="I14" i="28"/>
  <c r="G14" i="28"/>
  <c r="I13" i="28"/>
  <c r="G13" i="28"/>
  <c r="I12" i="28"/>
  <c r="G12" i="28"/>
  <c r="I11" i="28"/>
  <c r="G11" i="28"/>
  <c r="I10" i="28"/>
  <c r="G10" i="28"/>
  <c r="I9" i="28"/>
  <c r="G9" i="28"/>
  <c r="I8" i="28"/>
  <c r="G8" i="28"/>
  <c r="G21" i="28" s="1"/>
  <c r="I5" i="28" s="1"/>
  <c r="I6" i="28" s="1"/>
  <c r="G6" i="28"/>
  <c r="F6" i="28"/>
  <c r="E6" i="28"/>
  <c r="A7" i="27"/>
  <c r="A8" i="27" s="1"/>
  <c r="A9" i="27" s="1"/>
  <c r="A10" i="27" s="1"/>
  <c r="A11" i="27" s="1"/>
  <c r="A12" i="27" s="1"/>
  <c r="A13" i="27" s="1"/>
  <c r="A14" i="27" s="1"/>
  <c r="A15" i="27" s="1"/>
  <c r="A16" i="27" s="1"/>
  <c r="A17" i="27" s="1"/>
  <c r="A18" i="27" s="1"/>
  <c r="A19" i="27" s="1"/>
  <c r="A7" i="26"/>
  <c r="A8" i="26" s="1"/>
  <c r="A9" i="26" s="1"/>
  <c r="A10" i="26" s="1"/>
  <c r="A11" i="26" s="1"/>
  <c r="A12" i="26" s="1"/>
  <c r="A13" i="26" s="1"/>
  <c r="A14" i="26" s="1"/>
  <c r="A15" i="26" s="1"/>
  <c r="A16" i="26" s="1"/>
  <c r="A17" i="26" s="1"/>
  <c r="A18" i="26" s="1"/>
  <c r="A19" i="26" s="1"/>
  <c r="F14" i="4" l="1"/>
  <c r="F27" i="4" s="1"/>
  <c r="F18" i="4"/>
  <c r="F28" i="4" s="1"/>
  <c r="G13" i="4"/>
  <c r="G17" i="4" s="1"/>
  <c r="G18" i="4" s="1"/>
  <c r="G28" i="4" s="1"/>
  <c r="G14" i="4" l="1"/>
  <c r="G27" i="4" s="1"/>
  <c r="C121" i="3" l="1"/>
  <c r="L6" i="26" l="1"/>
  <c r="M6" i="26" s="1"/>
  <c r="L6" i="27"/>
  <c r="M6" i="27" s="1"/>
  <c r="H284" i="1" l="1"/>
  <c r="H502" i="1" s="1"/>
  <c r="H503" i="1" s="1"/>
  <c r="H283" i="1"/>
  <c r="I283" i="1" s="1"/>
  <c r="H282" i="1"/>
  <c r="I282" i="1" s="1"/>
  <c r="H281" i="1"/>
  <c r="I281" i="1" s="1"/>
  <c r="E17" i="25"/>
  <c r="E16" i="25"/>
  <c r="E15" i="25"/>
  <c r="E14" i="25"/>
  <c r="E13" i="25"/>
  <c r="E12" i="25"/>
  <c r="E11" i="25"/>
  <c r="E10" i="25"/>
  <c r="E9" i="25"/>
  <c r="E8" i="25"/>
  <c r="E7" i="25"/>
  <c r="E6" i="25"/>
  <c r="H145" i="25"/>
  <c r="H131" i="25"/>
  <c r="H117" i="25"/>
  <c r="H103" i="25"/>
  <c r="H47" i="25"/>
  <c r="E145" i="25" l="1"/>
  <c r="H144" i="25"/>
  <c r="H143" i="25"/>
  <c r="H142" i="25"/>
  <c r="H141" i="25"/>
  <c r="H140" i="25"/>
  <c r="H139" i="25"/>
  <c r="G139" i="25"/>
  <c r="H138" i="25"/>
  <c r="H137" i="25"/>
  <c r="H136" i="25"/>
  <c r="H135" i="25"/>
  <c r="H134" i="25"/>
  <c r="H133" i="25"/>
  <c r="H132" i="25"/>
  <c r="E131" i="25"/>
  <c r="H130" i="25"/>
  <c r="H129" i="25"/>
  <c r="H128" i="25"/>
  <c r="H127" i="25"/>
  <c r="H126" i="25"/>
  <c r="H125" i="25"/>
  <c r="G125" i="25"/>
  <c r="H124" i="25"/>
  <c r="H123" i="25"/>
  <c r="H122" i="25"/>
  <c r="H121" i="25"/>
  <c r="H120" i="25"/>
  <c r="H119" i="25"/>
  <c r="H118" i="25"/>
  <c r="E117" i="25"/>
  <c r="H116" i="25"/>
  <c r="H115" i="25"/>
  <c r="H114" i="25"/>
  <c r="H113" i="25"/>
  <c r="H112" i="25"/>
  <c r="H111" i="25"/>
  <c r="G111" i="25"/>
  <c r="H110" i="25"/>
  <c r="H109" i="25"/>
  <c r="H108" i="25"/>
  <c r="H107" i="25"/>
  <c r="H106" i="25"/>
  <c r="H105" i="25"/>
  <c r="H104" i="25"/>
  <c r="E59" i="25" l="1"/>
  <c r="E58" i="25"/>
  <c r="E57" i="25"/>
  <c r="E56" i="25"/>
  <c r="H56" i="25" s="1"/>
  <c r="E55" i="25"/>
  <c r="E54" i="25"/>
  <c r="E53" i="25"/>
  <c r="H53" i="25" s="1"/>
  <c r="E52" i="25"/>
  <c r="H52" i="25" s="1"/>
  <c r="E51" i="25"/>
  <c r="E50" i="25"/>
  <c r="E49" i="25"/>
  <c r="H49" i="25" s="1"/>
  <c r="E48" i="25"/>
  <c r="H48" i="25" s="1"/>
  <c r="H60" i="25"/>
  <c r="H59" i="25"/>
  <c r="H58" i="25"/>
  <c r="H57" i="25"/>
  <c r="H55" i="25"/>
  <c r="G55" i="25"/>
  <c r="F55" i="25"/>
  <c r="H54" i="25"/>
  <c r="H51" i="25"/>
  <c r="H50" i="25"/>
  <c r="E47" i="25"/>
  <c r="H46" i="25"/>
  <c r="H45" i="25"/>
  <c r="H44" i="25"/>
  <c r="H43" i="25"/>
  <c r="H42" i="25"/>
  <c r="H41" i="25"/>
  <c r="G41" i="25"/>
  <c r="F41" i="25"/>
  <c r="H40" i="25"/>
  <c r="H39" i="25"/>
  <c r="H38" i="25"/>
  <c r="H37" i="25"/>
  <c r="H36" i="25"/>
  <c r="H35" i="25"/>
  <c r="H34" i="25"/>
  <c r="E33" i="25"/>
  <c r="H32" i="25"/>
  <c r="H31" i="25"/>
  <c r="H30" i="25"/>
  <c r="H29" i="25"/>
  <c r="H28" i="25"/>
  <c r="H27" i="25"/>
  <c r="G27" i="25"/>
  <c r="F27" i="25"/>
  <c r="H26" i="25"/>
  <c r="H25" i="25"/>
  <c r="H24" i="25"/>
  <c r="H23" i="25"/>
  <c r="H22" i="25"/>
  <c r="H21" i="25"/>
  <c r="H20" i="25"/>
  <c r="H17" i="25"/>
  <c r="H16" i="25"/>
  <c r="H15" i="25"/>
  <c r="H14" i="25"/>
  <c r="H13" i="25"/>
  <c r="H12" i="25"/>
  <c r="H11" i="25"/>
  <c r="H10" i="25"/>
  <c r="H9" i="25"/>
  <c r="H8" i="25"/>
  <c r="H7" i="25"/>
  <c r="H18" i="25"/>
  <c r="G13" i="25"/>
  <c r="E89" i="25"/>
  <c r="H88" i="25"/>
  <c r="H87" i="25"/>
  <c r="H86" i="25"/>
  <c r="H85" i="25"/>
  <c r="H84" i="25"/>
  <c r="H83" i="25"/>
  <c r="G83" i="25"/>
  <c r="F83" i="25"/>
  <c r="H82" i="25"/>
  <c r="H81" i="25"/>
  <c r="H80" i="25"/>
  <c r="H79" i="25"/>
  <c r="H78" i="25"/>
  <c r="H77" i="25"/>
  <c r="H76" i="25"/>
  <c r="E75" i="25"/>
  <c r="H102" i="25"/>
  <c r="H63" i="25"/>
  <c r="H64" i="25"/>
  <c r="H65" i="25"/>
  <c r="H66" i="25"/>
  <c r="H67" i="25"/>
  <c r="H68" i="25"/>
  <c r="H69" i="25"/>
  <c r="H70" i="25"/>
  <c r="H71" i="25"/>
  <c r="H72" i="25"/>
  <c r="H73" i="25"/>
  <c r="H74" i="25"/>
  <c r="H62" i="25"/>
  <c r="E19" i="25" l="1"/>
  <c r="H75" i="25"/>
  <c r="H61" i="25"/>
  <c r="E61" i="25"/>
  <c r="H89" i="25"/>
  <c r="H6" i="25"/>
  <c r="H33" i="25"/>
  <c r="H19" i="25"/>
  <c r="E103" i="25" l="1"/>
  <c r="H91" i="25"/>
  <c r="H92" i="25"/>
  <c r="H93" i="25"/>
  <c r="H94" i="25"/>
  <c r="H95" i="25"/>
  <c r="H96" i="25"/>
  <c r="H97" i="25"/>
  <c r="H98" i="25"/>
  <c r="H99" i="25"/>
  <c r="H100" i="25"/>
  <c r="H101" i="25"/>
  <c r="H90" i="25"/>
  <c r="G69" i="25"/>
  <c r="G97" i="25"/>
  <c r="F97" i="25"/>
  <c r="E130" i="5" l="1"/>
  <c r="I111" i="5" l="1"/>
  <c r="I112" i="5"/>
  <c r="I113" i="5"/>
  <c r="G111" i="5"/>
  <c r="G112" i="5"/>
  <c r="I109" i="5"/>
  <c r="I110" i="5"/>
  <c r="G109" i="5"/>
  <c r="G110" i="5"/>
  <c r="I50" i="5"/>
  <c r="G50" i="5"/>
  <c r="G51" i="5"/>
  <c r="I51" i="5"/>
  <c r="C11" i="9" l="1"/>
  <c r="D45" i="11" l="1"/>
  <c r="I59" i="3" l="1"/>
  <c r="G59" i="3"/>
  <c r="E59" i="3" l="1"/>
  <c r="C59" i="3"/>
  <c r="E501" i="1" l="1"/>
  <c r="I57" i="3" l="1"/>
  <c r="G57" i="3"/>
  <c r="E57" i="3"/>
  <c r="C57" i="3"/>
  <c r="C114" i="3" l="1"/>
  <c r="C112" i="3"/>
  <c r="I7" i="3" l="1"/>
  <c r="C120" i="3" l="1"/>
  <c r="C119" i="3"/>
  <c r="E120" i="3"/>
  <c r="E119" i="3"/>
  <c r="C116" i="3"/>
  <c r="G112" i="3" l="1"/>
  <c r="E115" i="3"/>
  <c r="C115" i="3"/>
  <c r="E114" i="3"/>
  <c r="E112" i="3"/>
  <c r="C90" i="3"/>
  <c r="C89" i="3"/>
  <c r="C88" i="3"/>
  <c r="C87" i="3"/>
  <c r="C86" i="3"/>
  <c r="C85" i="3"/>
  <c r="C84" i="3"/>
  <c r="C83" i="3"/>
  <c r="E94" i="3"/>
  <c r="E93" i="3"/>
  <c r="E89" i="3"/>
  <c r="E88" i="3"/>
  <c r="E87" i="3"/>
  <c r="E86" i="3"/>
  <c r="E85" i="3"/>
  <c r="E84" i="3"/>
  <c r="E83" i="3"/>
  <c r="E38" i="3" l="1"/>
  <c r="C38" i="3"/>
  <c r="C14" i="3"/>
  <c r="E14" i="3"/>
  <c r="I112" i="3" l="1"/>
  <c r="A6" i="24" l="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B7" i="23"/>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1" i="23" s="1"/>
  <c r="B342" i="23" s="1"/>
  <c r="B343" i="23" s="1"/>
  <c r="B344" i="23" s="1"/>
  <c r="B345" i="23" s="1"/>
  <c r="B346" i="23" s="1"/>
  <c r="B347" i="23" s="1"/>
  <c r="B348" i="23" s="1"/>
  <c r="B349" i="23" s="1"/>
  <c r="B350" i="23" s="1"/>
  <c r="B351" i="23" s="1"/>
  <c r="B352"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A166" i="1" l="1"/>
  <c r="A167" i="1"/>
  <c r="A168" i="1"/>
  <c r="A169" i="1"/>
  <c r="A170" i="1" s="1"/>
  <c r="G361" i="1"/>
  <c r="I361" i="1" s="1"/>
  <c r="C18" i="11" l="1"/>
  <c r="D51" i="11" l="1"/>
  <c r="D48" i="11"/>
  <c r="D18" i="11" l="1"/>
  <c r="E280" i="1" l="1"/>
  <c r="E118" i="1"/>
  <c r="G38" i="3" l="1"/>
  <c r="G14" i="3"/>
  <c r="G7" i="3"/>
  <c r="E510" i="1" l="1"/>
  <c r="E508" i="1"/>
  <c r="E173" i="1"/>
  <c r="E463" i="1"/>
  <c r="E316" i="1"/>
  <c r="E289" i="1"/>
  <c r="E299" i="1" s="1"/>
  <c r="E281" i="1"/>
  <c r="E284" i="1" s="1"/>
  <c r="E214" i="1" l="1"/>
  <c r="E198" i="1"/>
  <c r="E181" i="1"/>
  <c r="E179" i="1"/>
  <c r="E135" i="1"/>
  <c r="I232" i="1" l="1"/>
  <c r="I178" i="1" l="1"/>
  <c r="G365" i="1"/>
  <c r="I365" i="1" s="1"/>
  <c r="G357" i="1"/>
  <c r="I357" i="1" s="1"/>
  <c r="C16" i="11" l="1"/>
  <c r="C8" i="11"/>
  <c r="G501" i="1" l="1"/>
  <c r="F501" i="1"/>
  <c r="I496" i="1"/>
  <c r="I497" i="1"/>
  <c r="I498" i="1"/>
  <c r="I501" i="1" s="1"/>
  <c r="I499" i="1"/>
  <c r="I500" i="1"/>
  <c r="E129" i="5" l="1"/>
  <c r="E128" i="5"/>
  <c r="E127" i="5"/>
  <c r="E126" i="5"/>
  <c r="E125" i="5"/>
  <c r="E124" i="5"/>
  <c r="E123" i="5"/>
  <c r="E122" i="5"/>
  <c r="E121" i="5"/>
  <c r="E120" i="5"/>
  <c r="E119" i="5"/>
  <c r="E118" i="5"/>
  <c r="E117" i="5"/>
  <c r="E116" i="5"/>
  <c r="E115" i="5"/>
  <c r="E114" i="5"/>
  <c r="E113" i="5"/>
  <c r="E108" i="5"/>
  <c r="E107" i="5"/>
  <c r="E106" i="5"/>
  <c r="E105" i="5"/>
  <c r="E104" i="5"/>
  <c r="E103" i="5"/>
  <c r="E102" i="5"/>
  <c r="E101" i="5"/>
  <c r="E100" i="5"/>
  <c r="E99" i="5"/>
  <c r="E98"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49" i="5"/>
  <c r="E53" i="5" s="1"/>
  <c r="E47" i="5"/>
  <c r="E46" i="5"/>
  <c r="E45" i="5"/>
  <c r="E44" i="5"/>
  <c r="E43" i="5"/>
  <c r="E42"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C13" i="9"/>
  <c r="C12" i="9"/>
  <c r="G113" i="5" l="1"/>
  <c r="E48" i="5"/>
  <c r="E97" i="5"/>
  <c r="C11" i="10"/>
  <c r="C15" i="11" l="1"/>
  <c r="I97" i="1" l="1"/>
  <c r="I199" i="1" l="1"/>
  <c r="I200" i="1"/>
  <c r="I315" i="1" l="1"/>
  <c r="I45" i="5" l="1"/>
  <c r="I46" i="5"/>
  <c r="G45" i="5"/>
  <c r="G46" i="5"/>
  <c r="G16" i="5"/>
  <c r="G17" i="5"/>
  <c r="G18" i="5"/>
  <c r="I17" i="5"/>
  <c r="I18" i="5"/>
  <c r="I19" i="5"/>
  <c r="G377" i="1" l="1"/>
  <c r="I377" i="1" s="1"/>
  <c r="A10" i="2" l="1"/>
  <c r="G260" i="1"/>
  <c r="A11" i="2" l="1"/>
  <c r="E41" i="5"/>
  <c r="I96" i="5"/>
  <c r="I95" i="5"/>
  <c r="G96" i="5"/>
  <c r="G95" i="5"/>
  <c r="I47" i="5"/>
  <c r="I44" i="5"/>
  <c r="G47" i="5"/>
  <c r="G44" i="5"/>
  <c r="I40" i="5"/>
  <c r="I39" i="5"/>
  <c r="G40" i="5"/>
  <c r="G39" i="5"/>
  <c r="F18" i="11" l="1"/>
  <c r="E260" i="1" l="1"/>
  <c r="I493" i="1" l="1"/>
  <c r="I489" i="1"/>
  <c r="E491" i="1" l="1"/>
  <c r="E494" i="1" s="1"/>
  <c r="F490" i="1"/>
  <c r="F491" i="1" l="1"/>
  <c r="I491" i="1" s="1"/>
  <c r="I490" i="1"/>
  <c r="F492" i="1"/>
  <c r="F494" i="1" s="1"/>
  <c r="D16" i="11" l="1"/>
  <c r="F16" i="11" s="1"/>
  <c r="F11" i="11" l="1"/>
  <c r="F10" i="11"/>
  <c r="F9" i="11"/>
  <c r="I16" i="5" l="1"/>
  <c r="I15" i="5"/>
  <c r="G15" i="5"/>
  <c r="G19" i="5"/>
  <c r="G20" i="5"/>
  <c r="K91" i="3" l="1"/>
  <c r="I189" i="1" l="1"/>
  <c r="I190" i="1"/>
  <c r="I191" i="1"/>
  <c r="I192" i="1"/>
  <c r="I202" i="1"/>
  <c r="I203" i="1"/>
  <c r="I209" i="1"/>
  <c r="I210" i="1"/>
  <c r="I211" i="1"/>
  <c r="I212" i="1"/>
  <c r="I213" i="1"/>
  <c r="I208" i="1"/>
  <c r="I222" i="1"/>
  <c r="I227" i="1"/>
  <c r="I231" i="1"/>
  <c r="I233" i="1"/>
  <c r="I234" i="1"/>
  <c r="I235" i="1"/>
  <c r="I238" i="1"/>
  <c r="I255" i="1"/>
  <c r="I258" i="1"/>
  <c r="I230" i="1"/>
  <c r="I182" i="1"/>
  <c r="I179" i="1"/>
  <c r="I154" i="1"/>
  <c r="I153" i="1"/>
  <c r="I152" i="1"/>
  <c r="I148" i="1"/>
  <c r="I139" i="1"/>
  <c r="I136" i="1"/>
  <c r="I125" i="1"/>
  <c r="I123" i="1"/>
  <c r="I119" i="1"/>
  <c r="I181" i="1"/>
  <c r="I183" i="1"/>
  <c r="I173" i="1"/>
  <c r="I135" i="1"/>
  <c r="I21" i="1" l="1"/>
  <c r="C17" i="11" l="1"/>
  <c r="C19" i="11"/>
  <c r="I236" i="1"/>
  <c r="I188" i="1"/>
  <c r="F260" i="1" l="1"/>
  <c r="F8" i="5"/>
  <c r="G8" i="5"/>
  <c r="I465" i="1" l="1"/>
  <c r="I466" i="1"/>
  <c r="C14" i="9" l="1"/>
  <c r="A7" i="6"/>
  <c r="A8" i="6" s="1"/>
  <c r="A9" i="6" s="1"/>
  <c r="A10" i="6" s="1"/>
  <c r="A11" i="6" s="1"/>
  <c r="A12" i="6" s="1"/>
  <c r="A13" i="6" s="1"/>
  <c r="A14" i="6" s="1"/>
  <c r="A15" i="6" s="1"/>
  <c r="A16" i="6" s="1"/>
  <c r="A17" i="6" s="1"/>
  <c r="A18" i="6" s="1"/>
  <c r="I129" i="5"/>
  <c r="G129" i="5"/>
  <c r="I128" i="5"/>
  <c r="G128" i="5"/>
  <c r="I127" i="5"/>
  <c r="G127" i="5"/>
  <c r="I126" i="5"/>
  <c r="G126" i="5"/>
  <c r="I125" i="5"/>
  <c r="G125" i="5"/>
  <c r="I124" i="5"/>
  <c r="G124" i="5"/>
  <c r="I123" i="5"/>
  <c r="G123" i="5"/>
  <c r="I122" i="5"/>
  <c r="G122" i="5"/>
  <c r="I121" i="5"/>
  <c r="G121" i="5"/>
  <c r="I120" i="5"/>
  <c r="G120" i="5"/>
  <c r="I119" i="5"/>
  <c r="G119" i="5"/>
  <c r="I118" i="5"/>
  <c r="G118" i="5"/>
  <c r="I117" i="5"/>
  <c r="G117" i="5"/>
  <c r="I116" i="5"/>
  <c r="G116" i="5"/>
  <c r="I115" i="5"/>
  <c r="G115" i="5"/>
  <c r="I114" i="5"/>
  <c r="G114" i="5"/>
  <c r="I108" i="5"/>
  <c r="G108" i="5"/>
  <c r="I107" i="5"/>
  <c r="G107" i="5"/>
  <c r="I106" i="5"/>
  <c r="G106" i="5"/>
  <c r="I105" i="5"/>
  <c r="G105" i="5"/>
  <c r="I104" i="5"/>
  <c r="G104" i="5"/>
  <c r="I103" i="5"/>
  <c r="G103" i="5"/>
  <c r="I102" i="5"/>
  <c r="G102" i="5"/>
  <c r="I101" i="5"/>
  <c r="G101" i="5"/>
  <c r="I100" i="5"/>
  <c r="G100" i="5"/>
  <c r="I99" i="5"/>
  <c r="G99" i="5"/>
  <c r="I98" i="5"/>
  <c r="G98" i="5"/>
  <c r="I94" i="5"/>
  <c r="G94" i="5"/>
  <c r="I93" i="5"/>
  <c r="G93" i="5"/>
  <c r="I92" i="5"/>
  <c r="G92" i="5"/>
  <c r="I91" i="5"/>
  <c r="G91" i="5"/>
  <c r="I90" i="5"/>
  <c r="G90" i="5"/>
  <c r="I89" i="5"/>
  <c r="G89" i="5"/>
  <c r="I88" i="5"/>
  <c r="G88" i="5"/>
  <c r="I87" i="5"/>
  <c r="G87" i="5"/>
  <c r="I86" i="5"/>
  <c r="G86" i="5"/>
  <c r="I85" i="5"/>
  <c r="G85" i="5"/>
  <c r="I84" i="5"/>
  <c r="G84" i="5"/>
  <c r="I83" i="5"/>
  <c r="G83" i="5"/>
  <c r="I82" i="5"/>
  <c r="G82" i="5"/>
  <c r="I81" i="5"/>
  <c r="G81" i="5"/>
  <c r="I80" i="5"/>
  <c r="G80" i="5"/>
  <c r="I79" i="5"/>
  <c r="G79" i="5"/>
  <c r="I78" i="5"/>
  <c r="G78" i="5"/>
  <c r="I77" i="5"/>
  <c r="G77" i="5"/>
  <c r="I76" i="5"/>
  <c r="G76" i="5"/>
  <c r="I75" i="5"/>
  <c r="G75" i="5"/>
  <c r="I74" i="5"/>
  <c r="G74" i="5"/>
  <c r="I73" i="5"/>
  <c r="G73" i="5"/>
  <c r="I72" i="5"/>
  <c r="G72" i="5"/>
  <c r="I71" i="5"/>
  <c r="G71" i="5"/>
  <c r="I70" i="5"/>
  <c r="G70" i="5"/>
  <c r="I69" i="5"/>
  <c r="G69" i="5"/>
  <c r="I68" i="5"/>
  <c r="G68" i="5"/>
  <c r="I67" i="5"/>
  <c r="G67" i="5"/>
  <c r="I66" i="5"/>
  <c r="G66" i="5"/>
  <c r="I65" i="5"/>
  <c r="G65" i="5"/>
  <c r="I64" i="5"/>
  <c r="G64" i="5"/>
  <c r="I63" i="5"/>
  <c r="G63" i="5"/>
  <c r="I62" i="5"/>
  <c r="G62" i="5"/>
  <c r="I61" i="5"/>
  <c r="G61" i="5"/>
  <c r="I60" i="5"/>
  <c r="G60" i="5"/>
  <c r="I59" i="5"/>
  <c r="G59" i="5"/>
  <c r="I58" i="5"/>
  <c r="G58" i="5"/>
  <c r="I57" i="5"/>
  <c r="G57" i="5"/>
  <c r="I56" i="5"/>
  <c r="G56" i="5"/>
  <c r="I55" i="5"/>
  <c r="G55" i="5"/>
  <c r="I54" i="5"/>
  <c r="G54" i="5"/>
  <c r="I52" i="5"/>
  <c r="G52" i="5"/>
  <c r="I49" i="5"/>
  <c r="G49" i="5"/>
  <c r="I43" i="5"/>
  <c r="G43" i="5"/>
  <c r="I42" i="5"/>
  <c r="G42" i="5"/>
  <c r="E5" i="5"/>
  <c r="I38" i="5"/>
  <c r="G38" i="5"/>
  <c r="I37" i="5"/>
  <c r="G37" i="5"/>
  <c r="I36" i="5"/>
  <c r="G36" i="5"/>
  <c r="I35" i="5"/>
  <c r="G35" i="5"/>
  <c r="I34" i="5"/>
  <c r="G34" i="5"/>
  <c r="I33" i="5"/>
  <c r="G33" i="5"/>
  <c r="I32" i="5"/>
  <c r="G32" i="5"/>
  <c r="I31" i="5"/>
  <c r="G31" i="5"/>
  <c r="I30" i="5"/>
  <c r="G30" i="5"/>
  <c r="I29" i="5"/>
  <c r="G29" i="5"/>
  <c r="I28" i="5"/>
  <c r="G28" i="5"/>
  <c r="I27" i="5"/>
  <c r="G27" i="5"/>
  <c r="I26" i="5"/>
  <c r="G26" i="5"/>
  <c r="I25" i="5"/>
  <c r="G25" i="5"/>
  <c r="I24" i="5"/>
  <c r="G24" i="5"/>
  <c r="I23" i="5"/>
  <c r="G23" i="5"/>
  <c r="I22" i="5"/>
  <c r="G22" i="5"/>
  <c r="I21" i="5"/>
  <c r="G21" i="5"/>
  <c r="I20" i="5"/>
  <c r="I14" i="5"/>
  <c r="G14" i="5"/>
  <c r="I13" i="5"/>
  <c r="G13" i="5"/>
  <c r="I12" i="5"/>
  <c r="G12" i="5"/>
  <c r="I11" i="5"/>
  <c r="G11" i="5"/>
  <c r="I10" i="5"/>
  <c r="G10" i="5"/>
  <c r="A6" i="4"/>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7" i="3"/>
  <c r="A8" i="3" s="1"/>
  <c r="A9" i="3" s="1"/>
  <c r="A10" i="3" s="1"/>
  <c r="A11" i="3" s="1"/>
  <c r="A12" i="3" s="1"/>
  <c r="A13" i="3" s="1"/>
  <c r="A14" i="3" s="1"/>
  <c r="A15" i="3" s="1"/>
  <c r="A16" i="3" s="1"/>
  <c r="A17" i="3" s="1"/>
  <c r="A18" i="3" s="1"/>
  <c r="A19" i="3" s="1"/>
  <c r="E196" i="2"/>
  <c r="I12" i="3"/>
  <c r="E11" i="3"/>
  <c r="E16" i="3" s="1"/>
  <c r="D206" i="2" s="1"/>
  <c r="E205" i="2"/>
  <c r="A34" i="3"/>
  <c r="A38" i="3"/>
  <c r="A39" i="3" s="1"/>
  <c r="A40" i="3" s="1"/>
  <c r="A52" i="3"/>
  <c r="A56" i="3"/>
  <c r="A57" i="3" s="1"/>
  <c r="A58" i="3" s="1"/>
  <c r="A59" i="3" s="1"/>
  <c r="A60" i="3" s="1"/>
  <c r="A61" i="3" s="1"/>
  <c r="A62" i="3" s="1"/>
  <c r="A63" i="3" s="1"/>
  <c r="A64" i="3" s="1"/>
  <c r="A65" i="3" s="1"/>
  <c r="A66" i="3" s="1"/>
  <c r="A67" i="3" s="1"/>
  <c r="A68" i="3" s="1"/>
  <c r="A69" i="3" s="1"/>
  <c r="A70" i="3" s="1"/>
  <c r="A71" i="3" s="1"/>
  <c r="A72" i="3" s="1"/>
  <c r="A73" i="3" s="1"/>
  <c r="A74" i="3" s="1"/>
  <c r="A75" i="3" s="1"/>
  <c r="A76" i="3" s="1"/>
  <c r="A77" i="3" s="1"/>
  <c r="D214" i="2"/>
  <c r="E214" i="2"/>
  <c r="I60" i="3"/>
  <c r="A78" i="3"/>
  <c r="A82" i="3"/>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K83" i="3"/>
  <c r="K84" i="3"/>
  <c r="K85" i="3"/>
  <c r="K86" i="3"/>
  <c r="K87" i="3"/>
  <c r="K88" i="3"/>
  <c r="K89" i="3"/>
  <c r="K90" i="3"/>
  <c r="K92" i="3"/>
  <c r="K93" i="3"/>
  <c r="K94" i="3"/>
  <c r="E95" i="3"/>
  <c r="E122" i="3" s="1"/>
  <c r="G95" i="3"/>
  <c r="I95" i="3"/>
  <c r="G97" i="3"/>
  <c r="E12" i="4" s="1"/>
  <c r="A107" i="3"/>
  <c r="A111" i="3"/>
  <c r="A112" i="3"/>
  <c r="A113" i="3" s="1"/>
  <c r="A114" i="3" s="1"/>
  <c r="A115" i="3" s="1"/>
  <c r="A116" i="3" s="1"/>
  <c r="A118" i="3" s="1"/>
  <c r="A119" i="3" s="1"/>
  <c r="A120" i="3" s="1"/>
  <c r="A121" i="3" s="1"/>
  <c r="A122" i="3" s="1"/>
  <c r="A123" i="3" s="1"/>
  <c r="A124" i="3" s="1"/>
  <c r="A125" i="3" s="1"/>
  <c r="A126" i="3" s="1"/>
  <c r="A127" i="3" s="1"/>
  <c r="A128" i="3" s="1"/>
  <c r="A129" i="3" s="1"/>
  <c r="A130" i="3" s="1"/>
  <c r="A131" i="3" s="1"/>
  <c r="A132" i="3" s="1"/>
  <c r="A133" i="3" s="1"/>
  <c r="A134" i="3" s="1"/>
  <c r="G122" i="3"/>
  <c r="E177" i="2" s="1"/>
  <c r="E187" i="2" s="1"/>
  <c r="D52" i="2" s="1"/>
  <c r="I122" i="3"/>
  <c r="K116" i="3"/>
  <c r="K119" i="3"/>
  <c r="K120" i="3"/>
  <c r="K121" i="3"/>
  <c r="C6" i="6" s="1"/>
  <c r="F14" i="11"/>
  <c r="B21" i="2"/>
  <c r="B28" i="2" s="1"/>
  <c r="E21" i="2"/>
  <c r="F21" i="2"/>
  <c r="B22" i="2"/>
  <c r="B29" i="2" s="1"/>
  <c r="E22" i="2"/>
  <c r="E41" i="2" s="1"/>
  <c r="B23" i="2"/>
  <c r="B30" i="2" s="1"/>
  <c r="E23" i="2"/>
  <c r="F23" i="2"/>
  <c r="B24" i="2"/>
  <c r="B31" i="2" s="1"/>
  <c r="E24" i="2"/>
  <c r="B25" i="2"/>
  <c r="B32" i="2" s="1"/>
  <c r="E25" i="2"/>
  <c r="D31" i="2"/>
  <c r="D32" i="2"/>
  <c r="E38" i="2"/>
  <c r="D40" i="2"/>
  <c r="H53" i="2"/>
  <c r="E55" i="2"/>
  <c r="E56" i="2"/>
  <c r="E58" i="2"/>
  <c r="H61" i="2"/>
  <c r="B64" i="2"/>
  <c r="E65" i="2"/>
  <c r="D66" i="2"/>
  <c r="E66" i="2"/>
  <c r="B69" i="2"/>
  <c r="E74" i="2"/>
  <c r="E78" i="2"/>
  <c r="D80" i="2"/>
  <c r="D82" i="2"/>
  <c r="D85" i="2" s="1"/>
  <c r="D88" i="2" s="1"/>
  <c r="H102" i="2"/>
  <c r="H103" i="2"/>
  <c r="F108" i="2"/>
  <c r="F110" i="2"/>
  <c r="F111" i="2"/>
  <c r="D129" i="2"/>
  <c r="F127" i="2" s="1"/>
  <c r="F135" i="2"/>
  <c r="H144" i="2"/>
  <c r="B149" i="2"/>
  <c r="H149" i="2"/>
  <c r="F178" i="2"/>
  <c r="F179" i="2"/>
  <c r="F180" i="2"/>
  <c r="F181" i="2"/>
  <c r="F182" i="2"/>
  <c r="F183" i="2"/>
  <c r="F184" i="2"/>
  <c r="F185" i="2"/>
  <c r="F186" i="2"/>
  <c r="E189" i="2"/>
  <c r="D196" i="2"/>
  <c r="D197" i="2"/>
  <c r="F200" i="2"/>
  <c r="F201" i="2"/>
  <c r="F202" i="2"/>
  <c r="D205" i="2"/>
  <c r="E229" i="2"/>
  <c r="D231" i="2"/>
  <c r="C233" i="2"/>
  <c r="C235" i="2" s="1"/>
  <c r="C250" i="2"/>
  <c r="D250" i="2"/>
  <c r="E250" i="2"/>
  <c r="F250" i="2"/>
  <c r="I495" i="1"/>
  <c r="G494" i="1"/>
  <c r="I488" i="1"/>
  <c r="I487" i="1"/>
  <c r="I486" i="1"/>
  <c r="G485" i="1"/>
  <c r="F485" i="1"/>
  <c r="E485" i="1"/>
  <c r="I484" i="1"/>
  <c r="I483" i="1"/>
  <c r="I482" i="1"/>
  <c r="I481" i="1"/>
  <c r="I480" i="1"/>
  <c r="I479" i="1"/>
  <c r="I478" i="1"/>
  <c r="I477" i="1"/>
  <c r="I476" i="1"/>
  <c r="I475" i="1"/>
  <c r="I474" i="1"/>
  <c r="I473" i="1"/>
  <c r="I472" i="1"/>
  <c r="I471" i="1"/>
  <c r="I470" i="1"/>
  <c r="I469" i="1"/>
  <c r="I468" i="1"/>
  <c r="I467" i="1"/>
  <c r="G467" i="1"/>
  <c r="F467" i="1"/>
  <c r="E467" i="1"/>
  <c r="F464" i="1"/>
  <c r="E464" i="1"/>
  <c r="G463" i="1"/>
  <c r="I463" i="1" s="1"/>
  <c r="G462" i="1"/>
  <c r="I462" i="1" s="1"/>
  <c r="G461" i="1"/>
  <c r="I461" i="1" s="1"/>
  <c r="G460" i="1"/>
  <c r="I460" i="1" s="1"/>
  <c r="G459" i="1"/>
  <c r="I459" i="1" s="1"/>
  <c r="G458" i="1"/>
  <c r="I458" i="1" s="1"/>
  <c r="G457" i="1"/>
  <c r="I457" i="1" s="1"/>
  <c r="G456" i="1"/>
  <c r="I456" i="1" s="1"/>
  <c r="G455" i="1"/>
  <c r="I455" i="1" s="1"/>
  <c r="G454" i="1"/>
  <c r="I454" i="1" s="1"/>
  <c r="G453" i="1"/>
  <c r="I453" i="1" s="1"/>
  <c r="G452" i="1"/>
  <c r="I452" i="1" s="1"/>
  <c r="G451" i="1"/>
  <c r="I451" i="1" s="1"/>
  <c r="G450" i="1"/>
  <c r="I450" i="1" s="1"/>
  <c r="G449" i="1"/>
  <c r="I449" i="1" s="1"/>
  <c r="G448" i="1"/>
  <c r="I448" i="1" s="1"/>
  <c r="G447" i="1"/>
  <c r="I447" i="1" s="1"/>
  <c r="G446" i="1"/>
  <c r="I446" i="1" s="1"/>
  <c r="G445" i="1"/>
  <c r="I445" i="1" s="1"/>
  <c r="G444" i="1"/>
  <c r="I444" i="1" s="1"/>
  <c r="G443" i="1"/>
  <c r="I443" i="1" s="1"/>
  <c r="G442" i="1"/>
  <c r="I442" i="1" s="1"/>
  <c r="G441" i="1"/>
  <c r="I441" i="1" s="1"/>
  <c r="G440" i="1"/>
  <c r="I440" i="1" s="1"/>
  <c r="G439" i="1"/>
  <c r="I439" i="1" s="1"/>
  <c r="G438" i="1"/>
  <c r="I438" i="1" s="1"/>
  <c r="G437" i="1"/>
  <c r="I437" i="1" s="1"/>
  <c r="G436" i="1"/>
  <c r="I436" i="1" s="1"/>
  <c r="G435" i="1"/>
  <c r="I435" i="1" s="1"/>
  <c r="G434" i="1"/>
  <c r="I434" i="1" s="1"/>
  <c r="G433" i="1"/>
  <c r="I433" i="1" s="1"/>
  <c r="G432" i="1"/>
  <c r="I432" i="1" s="1"/>
  <c r="G431" i="1"/>
  <c r="I431" i="1" s="1"/>
  <c r="G430" i="1"/>
  <c r="I430" i="1" s="1"/>
  <c r="G429" i="1"/>
  <c r="I429" i="1" s="1"/>
  <c r="G428" i="1"/>
  <c r="I428" i="1" s="1"/>
  <c r="G427" i="1"/>
  <c r="I427" i="1" s="1"/>
  <c r="G426" i="1"/>
  <c r="I426" i="1" s="1"/>
  <c r="G425" i="1"/>
  <c r="I425" i="1" s="1"/>
  <c r="G424" i="1"/>
  <c r="I424" i="1" s="1"/>
  <c r="G423" i="1"/>
  <c r="I423" i="1" s="1"/>
  <c r="G422" i="1"/>
  <c r="I422" i="1" s="1"/>
  <c r="G421" i="1"/>
  <c r="I421" i="1" s="1"/>
  <c r="G420" i="1"/>
  <c r="I420" i="1" s="1"/>
  <c r="G419" i="1"/>
  <c r="I419" i="1" s="1"/>
  <c r="G418" i="1"/>
  <c r="I418" i="1" s="1"/>
  <c r="G417" i="1"/>
  <c r="I417" i="1" s="1"/>
  <c r="G416" i="1"/>
  <c r="I416" i="1" s="1"/>
  <c r="G415" i="1"/>
  <c r="I415" i="1" s="1"/>
  <c r="G414" i="1"/>
  <c r="I414" i="1" s="1"/>
  <c r="G413" i="1"/>
  <c r="I413" i="1" s="1"/>
  <c r="G412" i="1"/>
  <c r="I412" i="1" s="1"/>
  <c r="G411" i="1"/>
  <c r="I411" i="1" s="1"/>
  <c r="G410" i="1"/>
  <c r="I410" i="1" s="1"/>
  <c r="G409" i="1"/>
  <c r="I409" i="1" s="1"/>
  <c r="G408" i="1"/>
  <c r="I408" i="1" s="1"/>
  <c r="G407" i="1"/>
  <c r="I407" i="1" s="1"/>
  <c r="G406" i="1"/>
  <c r="I406" i="1" s="1"/>
  <c r="G405" i="1"/>
  <c r="I405" i="1" s="1"/>
  <c r="G404" i="1"/>
  <c r="I404" i="1" s="1"/>
  <c r="G403" i="1"/>
  <c r="I403" i="1" s="1"/>
  <c r="G402" i="1"/>
  <c r="I402" i="1" s="1"/>
  <c r="G401" i="1"/>
  <c r="I401" i="1" s="1"/>
  <c r="G400" i="1"/>
  <c r="I400" i="1" s="1"/>
  <c r="G399" i="1"/>
  <c r="I399" i="1" s="1"/>
  <c r="G398" i="1"/>
  <c r="I398" i="1" s="1"/>
  <c r="G397" i="1"/>
  <c r="I397" i="1" s="1"/>
  <c r="G396" i="1"/>
  <c r="I396" i="1" s="1"/>
  <c r="G395" i="1"/>
  <c r="I395" i="1" s="1"/>
  <c r="G394" i="1"/>
  <c r="I394" i="1" s="1"/>
  <c r="G393" i="1"/>
  <c r="I393" i="1" s="1"/>
  <c r="G392" i="1"/>
  <c r="I392" i="1" s="1"/>
  <c r="G391" i="1"/>
  <c r="I391" i="1" s="1"/>
  <c r="G390" i="1"/>
  <c r="I390" i="1" s="1"/>
  <c r="G389" i="1"/>
  <c r="I389" i="1" s="1"/>
  <c r="G388" i="1"/>
  <c r="I388" i="1" s="1"/>
  <c r="G387" i="1"/>
  <c r="I387" i="1" s="1"/>
  <c r="G386" i="1"/>
  <c r="I386" i="1" s="1"/>
  <c r="G385" i="1"/>
  <c r="I385" i="1" s="1"/>
  <c r="G384" i="1"/>
  <c r="I384" i="1" s="1"/>
  <c r="G383" i="1"/>
  <c r="I383" i="1" s="1"/>
  <c r="G382" i="1"/>
  <c r="I382" i="1" s="1"/>
  <c r="G381" i="1"/>
  <c r="I381" i="1" s="1"/>
  <c r="G380" i="1"/>
  <c r="I380" i="1" s="1"/>
  <c r="G379" i="1"/>
  <c r="I379" i="1" s="1"/>
  <c r="G378" i="1"/>
  <c r="I378" i="1" s="1"/>
  <c r="G376" i="1"/>
  <c r="I376" i="1" s="1"/>
  <c r="G375" i="1"/>
  <c r="I375" i="1" s="1"/>
  <c r="G374" i="1"/>
  <c r="I374" i="1" s="1"/>
  <c r="G373" i="1"/>
  <c r="I373" i="1" s="1"/>
  <c r="G372" i="1"/>
  <c r="I372" i="1" s="1"/>
  <c r="G371" i="1"/>
  <c r="I371" i="1" s="1"/>
  <c r="G370" i="1"/>
  <c r="I370" i="1" s="1"/>
  <c r="G369" i="1"/>
  <c r="I369" i="1" s="1"/>
  <c r="G368" i="1"/>
  <c r="I368" i="1" s="1"/>
  <c r="G367" i="1"/>
  <c r="I367" i="1" s="1"/>
  <c r="G366" i="1"/>
  <c r="I366" i="1" s="1"/>
  <c r="G364" i="1"/>
  <c r="I364" i="1" s="1"/>
  <c r="G363" i="1"/>
  <c r="I363" i="1" s="1"/>
  <c r="G362" i="1"/>
  <c r="I362" i="1" s="1"/>
  <c r="G360" i="1"/>
  <c r="I360" i="1" s="1"/>
  <c r="G359" i="1"/>
  <c r="I359" i="1" s="1"/>
  <c r="G358" i="1"/>
  <c r="I358" i="1" s="1"/>
  <c r="G356" i="1"/>
  <c r="I356" i="1" s="1"/>
  <c r="G355" i="1"/>
  <c r="I355" i="1" s="1"/>
  <c r="G354" i="1"/>
  <c r="I354" i="1" s="1"/>
  <c r="G353" i="1"/>
  <c r="I353" i="1" s="1"/>
  <c r="G352" i="1"/>
  <c r="I352" i="1" s="1"/>
  <c r="G351" i="1"/>
  <c r="I351" i="1" s="1"/>
  <c r="G350" i="1"/>
  <c r="I350" i="1" s="1"/>
  <c r="G349" i="1"/>
  <c r="I349" i="1" s="1"/>
  <c r="G348" i="1"/>
  <c r="I348" i="1" s="1"/>
  <c r="G347" i="1"/>
  <c r="I347" i="1" s="1"/>
  <c r="G346" i="1"/>
  <c r="I346" i="1" s="1"/>
  <c r="G345" i="1"/>
  <c r="I345" i="1" s="1"/>
  <c r="G344" i="1"/>
  <c r="I344" i="1" s="1"/>
  <c r="G343" i="1"/>
  <c r="I343" i="1" s="1"/>
  <c r="G342" i="1"/>
  <c r="I342" i="1" s="1"/>
  <c r="G341" i="1"/>
  <c r="I341" i="1" s="1"/>
  <c r="G340" i="1"/>
  <c r="I340" i="1" s="1"/>
  <c r="G339" i="1"/>
  <c r="I339" i="1" s="1"/>
  <c r="G338" i="1"/>
  <c r="I338" i="1" s="1"/>
  <c r="G337" i="1"/>
  <c r="I337" i="1" s="1"/>
  <c r="G336" i="1"/>
  <c r="I336" i="1" s="1"/>
  <c r="G335" i="1"/>
  <c r="I335" i="1" s="1"/>
  <c r="G334" i="1"/>
  <c r="I334" i="1" s="1"/>
  <c r="G333" i="1"/>
  <c r="I333" i="1" s="1"/>
  <c r="G332" i="1"/>
  <c r="I332" i="1" s="1"/>
  <c r="G331" i="1"/>
  <c r="I331" i="1" s="1"/>
  <c r="G330" i="1"/>
  <c r="I330" i="1" s="1"/>
  <c r="G329" i="1"/>
  <c r="I329" i="1" s="1"/>
  <c r="G328" i="1"/>
  <c r="I328" i="1" s="1"/>
  <c r="G327" i="1"/>
  <c r="I327" i="1" s="1"/>
  <c r="G326" i="1"/>
  <c r="I326" i="1" s="1"/>
  <c r="G325" i="1"/>
  <c r="I325" i="1" s="1"/>
  <c r="G324" i="1"/>
  <c r="I324" i="1" s="1"/>
  <c r="G323" i="1"/>
  <c r="I323" i="1" s="1"/>
  <c r="G322" i="1"/>
  <c r="I322" i="1" s="1"/>
  <c r="G321" i="1"/>
  <c r="I321" i="1" s="1"/>
  <c r="G320" i="1"/>
  <c r="I320" i="1" s="1"/>
  <c r="G319" i="1"/>
  <c r="I319" i="1" s="1"/>
  <c r="G318" i="1"/>
  <c r="I318" i="1" s="1"/>
  <c r="G317" i="1"/>
  <c r="I317" i="1" s="1"/>
  <c r="G316" i="1"/>
  <c r="I316" i="1" s="1"/>
  <c r="G314" i="1"/>
  <c r="I314" i="1" s="1"/>
  <c r="G313" i="1"/>
  <c r="I313" i="1" s="1"/>
  <c r="G312" i="1"/>
  <c r="I312" i="1" s="1"/>
  <c r="G311" i="1"/>
  <c r="I311" i="1" s="1"/>
  <c r="G310" i="1"/>
  <c r="I310" i="1" s="1"/>
  <c r="G309" i="1"/>
  <c r="I309" i="1" s="1"/>
  <c r="G308" i="1"/>
  <c r="I308" i="1" s="1"/>
  <c r="G307" i="1"/>
  <c r="I307" i="1" s="1"/>
  <c r="G306" i="1"/>
  <c r="I306" i="1" s="1"/>
  <c r="G305" i="1"/>
  <c r="G304" i="1"/>
  <c r="F304" i="1"/>
  <c r="E304" i="1"/>
  <c r="I303" i="1"/>
  <c r="I302" i="1"/>
  <c r="I301" i="1"/>
  <c r="I300" i="1"/>
  <c r="G299" i="1"/>
  <c r="F299" i="1"/>
  <c r="I298" i="1"/>
  <c r="I297" i="1"/>
  <c r="I296" i="1"/>
  <c r="I295" i="1"/>
  <c r="I294" i="1"/>
  <c r="I293" i="1"/>
  <c r="I292" i="1"/>
  <c r="I291" i="1"/>
  <c r="I290" i="1"/>
  <c r="I289" i="1"/>
  <c r="I288" i="1"/>
  <c r="I287" i="1"/>
  <c r="I286" i="1"/>
  <c r="I285" i="1"/>
  <c r="F284" i="1"/>
  <c r="G280" i="1"/>
  <c r="F280" i="1"/>
  <c r="I279" i="1"/>
  <c r="I278" i="1"/>
  <c r="I277" i="1"/>
  <c r="I276" i="1"/>
  <c r="I275" i="1"/>
  <c r="I274" i="1"/>
  <c r="I273" i="1"/>
  <c r="I272" i="1"/>
  <c r="I271" i="1"/>
  <c r="I270" i="1"/>
  <c r="I269" i="1"/>
  <c r="I268" i="1"/>
  <c r="I267" i="1"/>
  <c r="I266" i="1"/>
  <c r="I265" i="1"/>
  <c r="I264" i="1"/>
  <c r="I263" i="1"/>
  <c r="I262" i="1"/>
  <c r="I261" i="1"/>
  <c r="I259" i="1"/>
  <c r="I257" i="1"/>
  <c r="I256" i="1"/>
  <c r="I254" i="1"/>
  <c r="I253" i="1"/>
  <c r="I252" i="1"/>
  <c r="I251" i="1"/>
  <c r="I250" i="1"/>
  <c r="I249" i="1"/>
  <c r="I248" i="1"/>
  <c r="I247" i="1"/>
  <c r="I246" i="1"/>
  <c r="I245" i="1"/>
  <c r="I244" i="1"/>
  <c r="I243" i="1"/>
  <c r="I242" i="1"/>
  <c r="I241" i="1"/>
  <c r="I240" i="1"/>
  <c r="I239" i="1"/>
  <c r="I237" i="1"/>
  <c r="I229" i="1"/>
  <c r="I228" i="1"/>
  <c r="I226" i="1"/>
  <c r="I225" i="1"/>
  <c r="I224" i="1"/>
  <c r="I223" i="1"/>
  <c r="I221" i="1"/>
  <c r="I220" i="1"/>
  <c r="I219" i="1"/>
  <c r="I218" i="1"/>
  <c r="I217" i="1"/>
  <c r="I216" i="1"/>
  <c r="I215" i="1"/>
  <c r="I214" i="1"/>
  <c r="I207" i="1"/>
  <c r="I206" i="1"/>
  <c r="I205" i="1"/>
  <c r="I204" i="1"/>
  <c r="I201" i="1"/>
  <c r="I198" i="1"/>
  <c r="I197" i="1"/>
  <c r="I196" i="1"/>
  <c r="I195" i="1"/>
  <c r="I194" i="1"/>
  <c r="I193" i="1"/>
  <c r="I187" i="1"/>
  <c r="I186" i="1"/>
  <c r="I185" i="1"/>
  <c r="I184" i="1"/>
  <c r="I180" i="1"/>
  <c r="I177" i="1"/>
  <c r="I176" i="1"/>
  <c r="I175" i="1"/>
  <c r="I174" i="1"/>
  <c r="I172" i="1"/>
  <c r="I171" i="1"/>
  <c r="I170" i="1"/>
  <c r="I169" i="1"/>
  <c r="I168" i="1"/>
  <c r="I167" i="1"/>
  <c r="I166" i="1"/>
  <c r="I165" i="1"/>
  <c r="I164" i="1"/>
  <c r="I163" i="1"/>
  <c r="I162" i="1"/>
  <c r="I161" i="1"/>
  <c r="I160" i="1"/>
  <c r="I159" i="1"/>
  <c r="I158" i="1"/>
  <c r="I157" i="1"/>
  <c r="I156" i="1"/>
  <c r="I155" i="1"/>
  <c r="I151" i="1"/>
  <c r="I150" i="1"/>
  <c r="I149" i="1"/>
  <c r="I147" i="1"/>
  <c r="I146" i="1"/>
  <c r="I145" i="1"/>
  <c r="I144" i="1"/>
  <c r="I143" i="1"/>
  <c r="I142" i="1"/>
  <c r="I141" i="1"/>
  <c r="I140" i="1"/>
  <c r="I138" i="1"/>
  <c r="I137" i="1"/>
  <c r="I134" i="1"/>
  <c r="I133" i="1"/>
  <c r="I132" i="1"/>
  <c r="I131" i="1"/>
  <c r="I130" i="1"/>
  <c r="I129" i="1"/>
  <c r="I128" i="1"/>
  <c r="I127" i="1"/>
  <c r="I126" i="1"/>
  <c r="I124" i="1"/>
  <c r="I122" i="1"/>
  <c r="I121" i="1"/>
  <c r="I120" i="1"/>
  <c r="G118" i="1"/>
  <c r="F118" i="1"/>
  <c r="I117" i="1"/>
  <c r="I116" i="1"/>
  <c r="I115" i="1"/>
  <c r="I114" i="1"/>
  <c r="I113" i="1"/>
  <c r="I112" i="1"/>
  <c r="I111" i="1"/>
  <c r="I110" i="1"/>
  <c r="I109" i="1"/>
  <c r="I108" i="1"/>
  <c r="I107" i="1"/>
  <c r="I106" i="1"/>
  <c r="I105" i="1"/>
  <c r="I104" i="1"/>
  <c r="I103" i="1"/>
  <c r="I102" i="1"/>
  <c r="I101" i="1"/>
  <c r="I100" i="1"/>
  <c r="I99" i="1"/>
  <c r="I98"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19" i="1"/>
  <c r="I18" i="1"/>
  <c r="I17" i="1"/>
  <c r="I16" i="1"/>
  <c r="I15" i="1"/>
  <c r="I14" i="1"/>
  <c r="I13" i="1"/>
  <c r="I12" i="1"/>
  <c r="I11" i="1"/>
  <c r="I10" i="1"/>
  <c r="I9" i="1"/>
  <c r="I8" i="1"/>
  <c r="I7" i="1"/>
  <c r="I6"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I5" i="1"/>
  <c r="A47" i="1" l="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F502" i="1"/>
  <c r="G8" i="3"/>
  <c r="I48" i="5"/>
  <c r="I53" i="5"/>
  <c r="I97" i="5"/>
  <c r="G130" i="5"/>
  <c r="G48" i="5"/>
  <c r="G41" i="5"/>
  <c r="I130" i="5"/>
  <c r="G53" i="5"/>
  <c r="G97" i="5"/>
  <c r="I41" i="5"/>
  <c r="I5" i="5" s="1"/>
  <c r="H5" i="5" s="1"/>
  <c r="D189" i="2"/>
  <c r="D56" i="2" s="1"/>
  <c r="I260" i="1"/>
  <c r="E6" i="5"/>
  <c r="I304" i="1"/>
  <c r="C60" i="3"/>
  <c r="F251" i="2"/>
  <c r="D109" i="2" s="1"/>
  <c r="D112" i="2" s="1"/>
  <c r="K38" i="3"/>
  <c r="I299" i="1"/>
  <c r="K112" i="3"/>
  <c r="D65" i="2"/>
  <c r="K57" i="3"/>
  <c r="C95" i="3"/>
  <c r="E7" i="5"/>
  <c r="K114" i="3"/>
  <c r="C214" i="2"/>
  <c r="F214" i="2" s="1"/>
  <c r="E60" i="3"/>
  <c r="K14" i="3"/>
  <c r="D177" i="2"/>
  <c r="D187" i="2" s="1"/>
  <c r="D51" i="2" s="1"/>
  <c r="I39" i="3"/>
  <c r="I15" i="3"/>
  <c r="I18" i="3" s="1"/>
  <c r="I123" i="3"/>
  <c r="A41" i="3"/>
  <c r="A42" i="3"/>
  <c r="A43" i="3" s="1"/>
  <c r="A44" i="3" s="1"/>
  <c r="A45" i="3" s="1"/>
  <c r="A46" i="3" s="1"/>
  <c r="A47" i="3" s="1"/>
  <c r="A48" i="3" s="1"/>
  <c r="A49" i="3" s="1"/>
  <c r="A50" i="3" s="1"/>
  <c r="A51" i="3" s="1"/>
  <c r="E216" i="2"/>
  <c r="D122" i="2"/>
  <c r="A20" i="3"/>
  <c r="A21" i="3"/>
  <c r="A22" i="3" s="1"/>
  <c r="A23" i="3" s="1"/>
  <c r="A24" i="3" s="1"/>
  <c r="A25" i="3" s="1"/>
  <c r="A26" i="3" s="1"/>
  <c r="A27" i="3" s="1"/>
  <c r="A28" i="3" s="1"/>
  <c r="A29" i="3" s="1"/>
  <c r="A30" i="3" s="1"/>
  <c r="A31" i="3" s="1"/>
  <c r="A32" i="3" s="1"/>
  <c r="A33" i="3" s="1"/>
  <c r="K59" i="3"/>
  <c r="C205" i="2"/>
  <c r="F205" i="2" s="1"/>
  <c r="I9" i="3"/>
  <c r="G60" i="3"/>
  <c r="D67" i="2"/>
  <c r="D119" i="2"/>
  <c r="D216" i="2"/>
  <c r="B172" i="2"/>
  <c r="I20" i="1"/>
  <c r="I118" i="1" s="1"/>
  <c r="G464" i="1"/>
  <c r="I305" i="1"/>
  <c r="I464" i="1" s="1"/>
  <c r="I485" i="1"/>
  <c r="I280" i="1"/>
  <c r="I492" i="1"/>
  <c r="E198" i="2" l="1"/>
  <c r="E218" i="2" s="1"/>
  <c r="E221" i="2" s="1"/>
  <c r="E237" i="2" s="1"/>
  <c r="G12" i="3"/>
  <c r="G39" i="3" s="1"/>
  <c r="G40" i="3" s="1"/>
  <c r="E16" i="4" s="1"/>
  <c r="G9" i="3"/>
  <c r="E197" i="2" s="1"/>
  <c r="E217" i="2" s="1"/>
  <c r="E502" i="1"/>
  <c r="E503" i="1" s="1"/>
  <c r="E509" i="1" s="1"/>
  <c r="E511" i="1" s="1"/>
  <c r="F503" i="1"/>
  <c r="E8" i="5"/>
  <c r="I494" i="1"/>
  <c r="I6" i="5"/>
  <c r="H6" i="5" s="1"/>
  <c r="D70" i="2"/>
  <c r="K95" i="3"/>
  <c r="C189" i="2"/>
  <c r="D55" i="2" s="1"/>
  <c r="A125" i="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I7" i="5"/>
  <c r="H7" i="5" s="1"/>
  <c r="C10" i="3"/>
  <c r="I11" i="3"/>
  <c r="A14" i="2"/>
  <c r="D121" i="2" l="1"/>
  <c r="H123" i="2" s="1"/>
  <c r="F52" i="2" s="1"/>
  <c r="H52" i="2" s="1"/>
  <c r="G123" i="3"/>
  <c r="G15" i="3"/>
  <c r="E207" i="2" s="1"/>
  <c r="G11" i="3"/>
  <c r="G124" i="3" s="1"/>
  <c r="E6" i="4" s="1"/>
  <c r="E8" i="4" s="1"/>
  <c r="E199" i="2"/>
  <c r="E203" i="2" s="1"/>
  <c r="F506" i="1"/>
  <c r="E8" i="3"/>
  <c r="D198" i="2" s="1"/>
  <c r="D118" i="2" s="1"/>
  <c r="H120" i="2" s="1"/>
  <c r="F51" i="2" s="1"/>
  <c r="F66" i="2" s="1"/>
  <c r="H66" i="2" s="1"/>
  <c r="G284" i="1"/>
  <c r="G502" i="1" s="1"/>
  <c r="H8" i="5"/>
  <c r="I8" i="5"/>
  <c r="K115" i="3"/>
  <c r="K122" i="3" s="1"/>
  <c r="C177" i="2"/>
  <c r="F177" i="2" s="1"/>
  <c r="F187" i="2" s="1"/>
  <c r="F189" i="2"/>
  <c r="C7" i="3"/>
  <c r="C196" i="2" s="1"/>
  <c r="D116" i="2" s="1"/>
  <c r="A148" i="1"/>
  <c r="A149" i="1" s="1"/>
  <c r="A150" i="1" s="1"/>
  <c r="A151" i="1" s="1"/>
  <c r="A152" i="1" s="1"/>
  <c r="A153" i="1" s="1"/>
  <c r="A154" i="1" s="1"/>
  <c r="A155" i="1" s="1"/>
  <c r="A156" i="1" s="1"/>
  <c r="A157" i="1" s="1"/>
  <c r="A158" i="1" s="1"/>
  <c r="A159" i="1" s="1"/>
  <c r="A160" i="1" s="1"/>
  <c r="A161" i="1" s="1"/>
  <c r="A162" i="1" s="1"/>
  <c r="A163" i="1" s="1"/>
  <c r="A164" i="1" s="1"/>
  <c r="A165" i="1" s="1"/>
  <c r="F67" i="2"/>
  <c r="H67" i="2" s="1"/>
  <c r="E223" i="2"/>
  <c r="I16" i="3"/>
  <c r="I19" i="3" s="1"/>
  <c r="I40" i="3"/>
  <c r="I124" i="3"/>
  <c r="A15" i="2"/>
  <c r="E12" i="3" l="1"/>
  <c r="G18" i="3"/>
  <c r="G16" i="3"/>
  <c r="E206" i="2" s="1"/>
  <c r="E209" i="2" s="1"/>
  <c r="A171" i="1"/>
  <c r="A172" i="1" s="1"/>
  <c r="A173" i="1" s="1"/>
  <c r="A174" i="1" s="1"/>
  <c r="A175" i="1" s="1"/>
  <c r="G503" i="1"/>
  <c r="H51" i="2"/>
  <c r="F56" i="2"/>
  <c r="H56" i="2" s="1"/>
  <c r="D203" i="2"/>
  <c r="D218" i="2"/>
  <c r="D221" i="2" s="1"/>
  <c r="D237" i="2" s="1"/>
  <c r="I284" i="1"/>
  <c r="I502" i="1" s="1"/>
  <c r="E15" i="3"/>
  <c r="E123" i="3"/>
  <c r="E39" i="3"/>
  <c r="E96" i="3"/>
  <c r="C187" i="2"/>
  <c r="D50" i="2" s="1"/>
  <c r="D62" i="2" s="1"/>
  <c r="F190" i="2"/>
  <c r="C216" i="2"/>
  <c r="F216" i="2" s="1"/>
  <c r="C13" i="3"/>
  <c r="C17" i="3" s="1"/>
  <c r="F196" i="2"/>
  <c r="K7" i="3"/>
  <c r="A16" i="2"/>
  <c r="C94" i="2"/>
  <c r="G19" i="3" l="1"/>
  <c r="E9" i="4" s="1"/>
  <c r="E35" i="4" s="1"/>
  <c r="A176" i="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C9" i="3"/>
  <c r="D223" i="2"/>
  <c r="I503" i="1"/>
  <c r="D207" i="2"/>
  <c r="E18" i="3"/>
  <c r="C98" i="3"/>
  <c r="K98" i="3" s="1"/>
  <c r="C7" i="6" s="1"/>
  <c r="C41" i="3"/>
  <c r="K41" i="3" s="1"/>
  <c r="C8" i="6" s="1"/>
  <c r="E10" i="4"/>
  <c r="E26" i="4" s="1"/>
  <c r="C20" i="3"/>
  <c r="K17" i="3"/>
  <c r="E13" i="4"/>
  <c r="E14" i="4" s="1"/>
  <c r="E27" i="4" s="1"/>
  <c r="C7" i="10"/>
  <c r="C7" i="9"/>
  <c r="D43" i="2"/>
  <c r="D46" i="2" s="1"/>
  <c r="F192" i="2"/>
  <c r="A17" i="2"/>
  <c r="A232" i="1" l="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C63" i="3"/>
  <c r="K9" i="3"/>
  <c r="C11" i="3"/>
  <c r="G63" i="3"/>
  <c r="C197" i="2"/>
  <c r="I63" i="3"/>
  <c r="I506" i="1"/>
  <c r="C20" i="6" s="1"/>
  <c r="C8" i="3"/>
  <c r="E17" i="4"/>
  <c r="E18" i="4" s="1"/>
  <c r="E28" i="4" s="1"/>
  <c r="C13" i="6"/>
  <c r="K20" i="3"/>
  <c r="A18" i="2"/>
  <c r="A361" i="1" l="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K64" i="3"/>
  <c r="E24" i="4" s="1"/>
  <c r="E31" i="4" s="1"/>
  <c r="E32" i="4" s="1"/>
  <c r="E34" i="4" s="1"/>
  <c r="C6" i="9" s="1"/>
  <c r="C8" i="9" s="1"/>
  <c r="C10" i="9" s="1"/>
  <c r="C16" i="9" s="1"/>
  <c r="F197" i="2"/>
  <c r="D14" i="2" s="1"/>
  <c r="C217" i="2"/>
  <c r="F217" i="2" s="1"/>
  <c r="C40" i="3"/>
  <c r="K40" i="3" s="1"/>
  <c r="D16" i="4" s="1"/>
  <c r="C124" i="3"/>
  <c r="K124" i="3" s="1"/>
  <c r="D6" i="4" s="1"/>
  <c r="D8" i="4" s="1"/>
  <c r="C97" i="3"/>
  <c r="K97" i="3" s="1"/>
  <c r="D12" i="4" s="1"/>
  <c r="C16" i="3"/>
  <c r="C61" i="3"/>
  <c r="C198" i="2"/>
  <c r="K8" i="3"/>
  <c r="E61" i="3"/>
  <c r="C12" i="3"/>
  <c r="G61" i="3"/>
  <c r="A19" i="2"/>
  <c r="C19" i="2"/>
  <c r="D24" i="4" l="1"/>
  <c r="D31" i="4" s="1"/>
  <c r="C206" i="2"/>
  <c r="F206" i="2" s="1"/>
  <c r="D21" i="2" s="1"/>
  <c r="D28" i="2" s="1"/>
  <c r="K16" i="3"/>
  <c r="C19" i="3"/>
  <c r="K19" i="3" s="1"/>
  <c r="D9" i="4" s="1"/>
  <c r="E36" i="4"/>
  <c r="C6" i="10"/>
  <c r="C8" i="10" s="1"/>
  <c r="C10" i="10" s="1"/>
  <c r="C12" i="10" s="1"/>
  <c r="C14" i="10" s="1"/>
  <c r="D47" i="11" s="1"/>
  <c r="D49" i="11" s="1"/>
  <c r="C199" i="2"/>
  <c r="F198" i="2"/>
  <c r="D15" i="2" s="1"/>
  <c r="H94" i="2" s="1"/>
  <c r="H97" i="2" s="1"/>
  <c r="H98" i="2" s="1"/>
  <c r="H104" i="2" s="1"/>
  <c r="D115" i="2"/>
  <c r="H117" i="2" s="1"/>
  <c r="F50" i="2" s="1"/>
  <c r="C218" i="2"/>
  <c r="C39" i="3"/>
  <c r="K39" i="3" s="1"/>
  <c r="C16" i="4" s="1"/>
  <c r="C15" i="3"/>
  <c r="C96" i="3"/>
  <c r="K96" i="3" s="1"/>
  <c r="C12" i="4" s="1"/>
  <c r="C123" i="3"/>
  <c r="K123" i="3" s="1"/>
  <c r="C6" i="4" s="1"/>
  <c r="C8" i="4" s="1"/>
  <c r="K62" i="3"/>
  <c r="G203" i="2"/>
  <c r="A21" i="2"/>
  <c r="D10" i="4" l="1"/>
  <c r="D26" i="4" s="1"/>
  <c r="D35" i="4"/>
  <c r="D13" i="4"/>
  <c r="C18" i="3"/>
  <c r="K18" i="3" s="1"/>
  <c r="C9" i="4" s="1"/>
  <c r="K15" i="3"/>
  <c r="C207" i="2"/>
  <c r="E109" i="2"/>
  <c r="F109" i="2" s="1"/>
  <c r="F112" i="2" s="1"/>
  <c r="H112" i="2" s="1"/>
  <c r="F15" i="2"/>
  <c r="H15" i="2" s="1"/>
  <c r="H105" i="2"/>
  <c r="F22" i="2"/>
  <c r="F41" i="2" s="1"/>
  <c r="H41" i="2" s="1"/>
  <c r="F218" i="2"/>
  <c r="C221" i="2"/>
  <c r="F65" i="2"/>
  <c r="H65" i="2" s="1"/>
  <c r="H50" i="2"/>
  <c r="F55" i="2"/>
  <c r="H55" i="2" s="1"/>
  <c r="C24" i="4"/>
  <c r="C12" i="6"/>
  <c r="C14" i="6" s="1"/>
  <c r="C16" i="6" s="1"/>
  <c r="D12" i="11" s="1"/>
  <c r="F12" i="11" s="1"/>
  <c r="C203" i="2"/>
  <c r="F203" i="2" s="1"/>
  <c r="F199" i="2"/>
  <c r="D16" i="2" s="1"/>
  <c r="C219" i="2"/>
  <c r="F219" i="2" s="1"/>
  <c r="D50" i="11"/>
  <c r="D52" i="11" s="1"/>
  <c r="A22" i="2"/>
  <c r="C28" i="2"/>
  <c r="C31" i="4" l="1"/>
  <c r="F24" i="4"/>
  <c r="D14" i="4"/>
  <c r="D27" i="4" s="1"/>
  <c r="D17" i="4"/>
  <c r="D18" i="4" s="1"/>
  <c r="D28" i="4" s="1"/>
  <c r="C17" i="6"/>
  <c r="C18" i="6" s="1"/>
  <c r="D44" i="11" s="1"/>
  <c r="D46" i="11" s="1"/>
  <c r="C223" i="2"/>
  <c r="F223" i="2" s="1"/>
  <c r="C237" i="2"/>
  <c r="F237" i="2" s="1"/>
  <c r="D134" i="2" s="1"/>
  <c r="D136" i="2" s="1"/>
  <c r="F59" i="2"/>
  <c r="H59" i="2" s="1"/>
  <c r="F44" i="2"/>
  <c r="H44" i="2" s="1"/>
  <c r="D19" i="2"/>
  <c r="C13" i="4"/>
  <c r="C35" i="4"/>
  <c r="F207" i="2"/>
  <c r="C208" i="2"/>
  <c r="F208" i="2" s="1"/>
  <c r="D23" i="2" s="1"/>
  <c r="D30" i="2" s="1"/>
  <c r="C10" i="4"/>
  <c r="C26" i="4" s="1"/>
  <c r="F57" i="2"/>
  <c r="H57" i="2" s="1"/>
  <c r="F17" i="2"/>
  <c r="F58" i="2"/>
  <c r="H58" i="2" s="1"/>
  <c r="H127" i="2"/>
  <c r="I125" i="2" s="1"/>
  <c r="F68" i="2"/>
  <c r="A23" i="2"/>
  <c r="C29" i="2"/>
  <c r="G24" i="4" l="1"/>
  <c r="G31" i="4" s="1"/>
  <c r="G32" i="4" s="1"/>
  <c r="G34" i="4" s="1"/>
  <c r="G36" i="4" s="1"/>
  <c r="F31" i="4"/>
  <c r="F32" i="4" s="1"/>
  <c r="F34" i="4" s="1"/>
  <c r="F36" i="4" s="1"/>
  <c r="D32" i="4"/>
  <c r="D34" i="4" s="1"/>
  <c r="D36" i="4" s="1"/>
  <c r="C209" i="2"/>
  <c r="C17" i="4"/>
  <c r="C18" i="4" s="1"/>
  <c r="C28" i="4" s="1"/>
  <c r="C14" i="4"/>
  <c r="C27" i="4" s="1"/>
  <c r="H68" i="2"/>
  <c r="F73" i="2"/>
  <c r="E136" i="2"/>
  <c r="E134" i="2"/>
  <c r="E135" i="2"/>
  <c r="H135" i="2" s="1"/>
  <c r="H17" i="2"/>
  <c r="F24" i="2"/>
  <c r="H24" i="2" s="1"/>
  <c r="F60" i="2"/>
  <c r="F18" i="2"/>
  <c r="D22" i="2"/>
  <c r="F209" i="2"/>
  <c r="D131" i="2"/>
  <c r="F134" i="2" s="1"/>
  <c r="F239" i="2"/>
  <c r="A24" i="2"/>
  <c r="C30" i="2"/>
  <c r="H134" i="2" l="1"/>
  <c r="H136" i="2" s="1"/>
  <c r="H138" i="2" s="1"/>
  <c r="F13" i="11"/>
  <c r="F15" i="11" s="1"/>
  <c r="D15" i="11"/>
  <c r="H8" i="2" s="1"/>
  <c r="C32" i="4"/>
  <c r="C34" i="4" s="1"/>
  <c r="C36" i="4" s="1"/>
  <c r="H31" i="2"/>
  <c r="H73" i="2"/>
  <c r="F74" i="2"/>
  <c r="H74" i="2" s="1"/>
  <c r="H60" i="2"/>
  <c r="H62" i="2" s="1"/>
  <c r="F69" i="2"/>
  <c r="H69" i="2" s="1"/>
  <c r="H70" i="2" s="1"/>
  <c r="F25" i="2"/>
  <c r="H25" i="2" s="1"/>
  <c r="H18" i="2"/>
  <c r="H19" i="2" s="1"/>
  <c r="F19" i="2" s="1"/>
  <c r="F45" i="2" s="1"/>
  <c r="H45" i="2" s="1"/>
  <c r="H46" i="2" s="1"/>
  <c r="D26" i="2"/>
  <c r="F211" i="2" s="1"/>
  <c r="D29" i="2"/>
  <c r="D33" i="2" s="1"/>
  <c r="D47" i="2" s="1"/>
  <c r="H22" i="2"/>
  <c r="H29" i="2" s="1"/>
  <c r="A25" i="2"/>
  <c r="C31" i="2"/>
  <c r="D90" i="2" l="1"/>
  <c r="D83" i="2"/>
  <c r="F76" i="2"/>
  <c r="F78" i="2" s="1"/>
  <c r="H32" i="2"/>
  <c r="H33" i="2" s="1"/>
  <c r="F33" i="2" s="1"/>
  <c r="H26" i="2"/>
  <c r="A26" i="2"/>
  <c r="C32" i="2"/>
  <c r="C26" i="2"/>
  <c r="D87" i="2" l="1"/>
  <c r="D89" i="2" s="1"/>
  <c r="D91" i="2" s="1"/>
  <c r="H76" i="2"/>
  <c r="F88" i="2"/>
  <c r="H88" i="2" s="1"/>
  <c r="F36" i="2"/>
  <c r="F79" i="2"/>
  <c r="H79" i="2" s="1"/>
  <c r="H78" i="2"/>
  <c r="A28" i="2"/>
  <c r="E211" i="2"/>
  <c r="F37" i="2" l="1"/>
  <c r="H36" i="2"/>
  <c r="H80" i="2"/>
  <c r="A29" i="2"/>
  <c r="A30" i="2" s="1"/>
  <c r="A31" i="2" s="1"/>
  <c r="A32" i="2" s="1"/>
  <c r="A33" i="2" s="1"/>
  <c r="F39" i="2" l="1"/>
  <c r="H39" i="2" s="1"/>
  <c r="H37" i="2"/>
  <c r="F38" i="2"/>
  <c r="H38" i="2" s="1"/>
  <c r="A35" i="2"/>
  <c r="C33" i="2"/>
  <c r="H40" i="2" l="1"/>
  <c r="H47" i="2" s="1"/>
  <c r="H90" i="2" s="1"/>
  <c r="H87" i="2" s="1"/>
  <c r="H89" i="2" s="1"/>
  <c r="A36" i="2"/>
  <c r="A37" i="2" s="1"/>
  <c r="A38" i="2" s="1"/>
  <c r="A39" i="2" s="1"/>
  <c r="A40" i="2" s="1"/>
  <c r="C40" i="2" l="1"/>
  <c r="H91" i="2"/>
  <c r="H7" i="2" s="1"/>
  <c r="H11" i="2" s="1"/>
  <c r="A41" i="2"/>
  <c r="A43" i="2" s="1"/>
  <c r="D8" i="11" l="1"/>
  <c r="F8" i="11" s="1"/>
  <c r="A44" i="2"/>
  <c r="A45" i="2" s="1"/>
  <c r="A46" i="2" s="1"/>
  <c r="D17" i="11" l="1"/>
  <c r="F17" i="11" s="1"/>
  <c r="F19" i="11" s="1"/>
  <c r="D19" i="11"/>
  <c r="A47" i="2"/>
  <c r="C47" i="2"/>
  <c r="C46" i="2"/>
  <c r="A50" i="2" l="1"/>
  <c r="A51" i="2" l="1"/>
  <c r="A52" i="2" s="1"/>
  <c r="A53" i="2" s="1"/>
  <c r="A55" i="2" s="1"/>
  <c r="A56" i="2" s="1"/>
  <c r="A57" i="2" s="1"/>
  <c r="A58" i="2" s="1"/>
  <c r="C100" i="2"/>
  <c r="A59" i="2" l="1"/>
  <c r="A60" i="2" l="1"/>
  <c r="A61" i="2" s="1"/>
  <c r="A62" i="2" s="1"/>
  <c r="C62" i="2"/>
  <c r="B158" i="2"/>
  <c r="A64" i="2" l="1"/>
  <c r="E192" i="2"/>
  <c r="B155" i="2"/>
  <c r="A65" i="2" l="1"/>
  <c r="A66" i="2" s="1"/>
  <c r="A67" i="2" s="1"/>
  <c r="A68" i="2" s="1"/>
  <c r="A69" i="2" s="1"/>
  <c r="A70" i="2" s="1"/>
  <c r="A73" i="2" l="1"/>
  <c r="C70" i="2"/>
  <c r="A74" i="2" l="1"/>
  <c r="A76" i="2" s="1"/>
  <c r="A77" i="2" s="1"/>
  <c r="A78" i="2" s="1"/>
  <c r="A79" i="2" s="1"/>
  <c r="A80" i="2" s="1"/>
  <c r="C80" i="2" l="1"/>
  <c r="A82" i="2"/>
  <c r="A83" i="2" l="1"/>
  <c r="B85" i="2"/>
  <c r="A85" i="2" l="1"/>
  <c r="A86" i="2" l="1"/>
  <c r="A87" i="2" s="1"/>
  <c r="C88" i="2"/>
  <c r="A88" i="2" l="1"/>
  <c r="A89" i="2" s="1"/>
  <c r="C89" i="2"/>
  <c r="A90" i="2" l="1"/>
  <c r="C91" i="2" s="1"/>
  <c r="A91" i="2" l="1"/>
  <c r="C87" i="2"/>
  <c r="C7" i="2" l="1"/>
  <c r="A94" i="2"/>
  <c r="A95" i="2" l="1"/>
  <c r="A96" i="2" s="1"/>
  <c r="A97" i="2" s="1"/>
  <c r="C97" i="2"/>
  <c r="C98" i="2" l="1"/>
  <c r="A98" i="2"/>
  <c r="A100" i="2" l="1"/>
  <c r="C104" i="2"/>
  <c r="A101" i="2" l="1"/>
  <c r="A102" i="2" s="1"/>
  <c r="A103" i="2" l="1"/>
  <c r="A104" i="2" s="1"/>
  <c r="C103" i="2"/>
  <c r="C102" i="2"/>
  <c r="A105" i="2" l="1"/>
  <c r="A108" i="2" s="1"/>
  <c r="C105" i="2"/>
  <c r="A109" i="2" l="1"/>
  <c r="A110" i="2" s="1"/>
  <c r="A111" i="2" s="1"/>
  <c r="A112" i="2" s="1"/>
  <c r="C112" i="2" l="1"/>
  <c r="A115" i="2"/>
  <c r="H126" i="2"/>
  <c r="A116" i="2" l="1"/>
  <c r="A117" i="2" s="1"/>
  <c r="A118" i="2" s="1"/>
  <c r="C117" i="2"/>
  <c r="A119" i="2" l="1"/>
  <c r="A120" i="2" s="1"/>
  <c r="A121" i="2" s="1"/>
  <c r="C120" i="2"/>
  <c r="A122" i="2" l="1"/>
  <c r="A123" i="2" s="1"/>
  <c r="A126" i="2" s="1"/>
  <c r="C123" i="2"/>
  <c r="A127" i="2" l="1"/>
  <c r="A128" i="2" s="1"/>
  <c r="A129" i="2" s="1"/>
  <c r="A131" i="2" s="1"/>
  <c r="C129" i="2"/>
  <c r="F126" i="2"/>
  <c r="A134" i="2" l="1"/>
  <c r="F224" i="2"/>
  <c r="C90" i="2"/>
  <c r="A135" i="2" l="1"/>
  <c r="A136" i="2" s="1"/>
  <c r="A137" i="2" s="1"/>
  <c r="A138" i="2" s="1"/>
  <c r="A142" i="2" s="1"/>
  <c r="G237" i="2"/>
  <c r="B169" i="2"/>
  <c r="C136" i="2" l="1"/>
  <c r="B170" i="2"/>
  <c r="A143" i="2"/>
  <c r="A144" i="2" s="1"/>
  <c r="A145" i="2" s="1"/>
  <c r="B84" i="2"/>
  <c r="A146" i="2" l="1"/>
  <c r="A147" i="2" s="1"/>
  <c r="A148" i="2" s="1"/>
  <c r="A149" i="2" s="1"/>
</calcChain>
</file>

<file path=xl/comments1.xml><?xml version="1.0" encoding="utf-8"?>
<comments xmlns="http://schemas.openxmlformats.org/spreadsheetml/2006/main">
  <authors>
    <author>Baker, Sara</author>
    <author>Linda Cady-Hoffman</author>
  </authors>
  <commentList>
    <comment ref="I14" authorId="0" shapeId="0">
      <text>
        <r>
          <rPr>
            <b/>
            <sz val="9"/>
            <color indexed="81"/>
            <rFont val="Tahoma"/>
            <family val="2"/>
          </rPr>
          <t>Baker, Sara:</t>
        </r>
        <r>
          <rPr>
            <sz val="9"/>
            <color indexed="81"/>
            <rFont val="Tahoma"/>
            <family val="2"/>
          </rPr>
          <t xml:space="preserve">
Per call 4/1/19 w/ CSO Finance, using Combos for BOR data</t>
        </r>
      </text>
    </comment>
    <comment ref="E120" authorId="1" shapeId="0">
      <text>
        <r>
          <rPr>
            <sz val="8"/>
            <color indexed="81"/>
            <rFont val="Tahoma"/>
            <family val="2"/>
          </rPr>
          <t>ROOS Schedule 5</t>
        </r>
      </text>
    </comment>
  </commentList>
</comments>
</file>

<file path=xl/comments2.xml><?xml version="1.0" encoding="utf-8"?>
<comments xmlns="http://schemas.openxmlformats.org/spreadsheetml/2006/main">
  <authors>
    <author>Baker, Sara</author>
  </authors>
  <commentList>
    <comment ref="F494" authorId="0" shapeId="0">
      <text>
        <r>
          <rPr>
            <b/>
            <sz val="9"/>
            <color indexed="81"/>
            <rFont val="Tahoma"/>
            <family val="2"/>
          </rPr>
          <t>Baker, Sara:</t>
        </r>
        <r>
          <rPr>
            <sz val="9"/>
            <color indexed="81"/>
            <rFont val="Tahoma"/>
            <family val="2"/>
          </rPr>
          <t xml:space="preserve">
Kass still needs to review these AI adjustments for RMR as of 4/15/19</t>
        </r>
      </text>
    </comment>
  </commentList>
</comments>
</file>

<file path=xl/sharedStrings.xml><?xml version="1.0" encoding="utf-8"?>
<sst xmlns="http://schemas.openxmlformats.org/spreadsheetml/2006/main" count="6189" uniqueCount="2617">
  <si>
    <t>Line No.</t>
  </si>
  <si>
    <t>FID</t>
  </si>
  <si>
    <t>DESCRIPTION</t>
  </si>
  <si>
    <t>SPP</t>
  </si>
  <si>
    <t>PRIOR YEAR FACILITY TOTALS ($)</t>
  </si>
  <si>
    <t>ATTACHMENT AI ADJUSTMENTS</t>
  </si>
  <si>
    <t>GENERATION ADJUSTMENTS</t>
  </si>
  <si>
    <t>NOTES</t>
  </si>
  <si>
    <t>TL</t>
  </si>
  <si>
    <t>AUR BR</t>
  </si>
  <si>
    <t>AURORA- BROOKINGS 115-KV T/L</t>
  </si>
  <si>
    <t>E</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</si>
  <si>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</si>
  <si>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</si>
  <si>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</si>
  <si>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</si>
  <si>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</si>
  <si>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</si>
  <si>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</si>
  <si>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</si>
  <si>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</si>
  <si>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</si>
  <si>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</si>
  <si>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</si>
  <si>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</si>
  <si>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</si>
  <si>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</si>
  <si>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</si>
  <si>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</si>
  <si>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</si>
  <si>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</si>
  <si>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</si>
  <si>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</si>
  <si>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</si>
  <si>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CF EH A</t>
  </si>
  <si>
    <t>CANYON FERRY-EAST HELENA "A"</t>
  </si>
  <si>
    <t>W</t>
  </si>
  <si>
    <t>CF EH B</t>
  </si>
  <si>
    <t>CANYON FERRY-EAST HELENA "B"</t>
  </si>
  <si>
    <t>CA JT</t>
  </si>
  <si>
    <t>CARRINGTON-JAMESTOWN</t>
  </si>
  <si>
    <t>WC BU</t>
  </si>
  <si>
    <t>CHARLIE CREEK - WATFORD CITY</t>
  </si>
  <si>
    <t>CCRBEF</t>
  </si>
  <si>
    <t>CHARLIE CREEK-BELFIELD</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</si>
  <si>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</si>
  <si>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</si>
  <si>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</si>
  <si>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</si>
  <si>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</si>
  <si>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</si>
  <si>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</si>
  <si>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</si>
  <si>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</si>
  <si>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</si>
  <si>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</si>
  <si>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</si>
  <si>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</si>
  <si>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</si>
  <si>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</si>
  <si>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</si>
  <si>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</si>
  <si>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</si>
  <si>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</si>
  <si>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</si>
  <si>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</si>
  <si>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</si>
  <si>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</si>
  <si>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</si>
  <si>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</si>
  <si>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</si>
  <si>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</si>
  <si>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</si>
  <si>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</si>
  <si>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</si>
  <si>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</si>
  <si>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</si>
  <si>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</si>
  <si>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</si>
  <si>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</si>
  <si>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</si>
  <si>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</si>
  <si>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</si>
  <si>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</si>
  <si>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</si>
  <si>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</si>
  <si>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</si>
  <si>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</si>
  <si>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</si>
  <si>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</si>
  <si>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</si>
  <si>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</si>
  <si>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</si>
  <si>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</si>
  <si>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</si>
  <si>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</si>
  <si>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</si>
  <si>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</si>
  <si>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</si>
  <si>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</si>
  <si>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</si>
  <si>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</si>
  <si>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</si>
  <si>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</si>
  <si>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</si>
  <si>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</si>
  <si>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</si>
  <si>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</si>
  <si>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</si>
  <si>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</si>
  <si>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</si>
  <si>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</si>
  <si>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</si>
  <si>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</si>
  <si>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</si>
  <si>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</si>
  <si>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</si>
  <si>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</si>
  <si>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</si>
  <si>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</si>
  <si>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</si>
  <si>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</si>
  <si>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</si>
  <si>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</si>
  <si>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</si>
  <si>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</si>
  <si>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</si>
  <si>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</si>
  <si>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</si>
  <si>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</si>
  <si>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</si>
  <si>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</si>
  <si>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</si>
  <si>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</si>
  <si>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</si>
  <si>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</si>
  <si>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</si>
  <si>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</si>
  <si>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</si>
  <si>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</si>
  <si>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</si>
  <si>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</si>
  <si>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</si>
  <si>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</si>
  <si>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</si>
  <si>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</si>
  <si>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</si>
  <si>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</si>
  <si>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</si>
  <si>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</si>
  <si>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</si>
  <si>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</si>
  <si>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</si>
  <si>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</si>
  <si>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</si>
  <si>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</si>
  <si>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</si>
  <si>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</si>
  <si>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</si>
  <si>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</si>
  <si>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</si>
  <si>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</si>
  <si>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</si>
  <si>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</si>
  <si>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</si>
  <si>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</si>
  <si>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</si>
  <si>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</si>
  <si>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</si>
  <si>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</si>
  <si>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</si>
  <si>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</si>
  <si>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</si>
  <si>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</si>
  <si>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</si>
  <si>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</si>
  <si>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</si>
  <si>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</si>
  <si>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</si>
  <si>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</si>
  <si>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</si>
  <si>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</si>
  <si>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</si>
  <si>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</si>
  <si>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</si>
  <si>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</si>
  <si>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</si>
  <si>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</si>
  <si>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</si>
  <si>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</si>
  <si>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</si>
  <si>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</si>
  <si>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</si>
  <si>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</si>
  <si>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</si>
  <si>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ELCRC</t>
  </si>
  <si>
    <t>RAPID CITY-ELK CREEK 115-kV T/L</t>
  </si>
  <si>
    <t>RG LE</t>
  </si>
  <si>
    <t>RUGBY-LEEDS</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</si>
  <si>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</si>
  <si>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</si>
  <si>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</si>
  <si>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</si>
  <si>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</si>
  <si>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</si>
  <si>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</si>
  <si>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</si>
  <si>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</si>
  <si>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</si>
  <si>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</si>
  <si>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</si>
  <si>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</si>
  <si>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</si>
  <si>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</si>
  <si>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</si>
  <si>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</si>
  <si>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</si>
  <si>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</si>
  <si>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</si>
  <si>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</si>
  <si>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</si>
  <si>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</si>
  <si>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</si>
  <si>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</si>
  <si>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</si>
  <si>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</si>
  <si>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</si>
  <si>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</si>
  <si>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</si>
  <si>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</si>
  <si>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</si>
  <si>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</si>
  <si>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</si>
  <si>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</si>
  <si>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</si>
  <si>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SUB</t>
  </si>
  <si>
    <t>APD</t>
  </si>
  <si>
    <t>APPELDORN SUBSTATION</t>
  </si>
  <si>
    <t>AR</t>
  </si>
  <si>
    <t>ARMOUR SUBSTATION</t>
  </si>
  <si>
    <t xml:space="preserve"> </t>
  </si>
  <si>
    <t>AHS</t>
  </si>
  <si>
    <t>ASH SUBSTATION</t>
  </si>
  <si>
    <t>AUR</t>
  </si>
  <si>
    <t>AURORA SUBSTATION</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</si>
  <si>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</si>
  <si>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</si>
  <si>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</si>
  <si>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</si>
  <si>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</si>
  <si>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</si>
  <si>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</si>
  <si>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</si>
  <si>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</si>
  <si>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</si>
  <si>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</si>
  <si>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</si>
  <si>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</si>
  <si>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</si>
  <si>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</si>
  <si>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</si>
  <si>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</si>
  <si>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</si>
  <si>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CRP</t>
  </si>
  <si>
    <t>CARPENTER SUBSTATION</t>
  </si>
  <si>
    <t xml:space="preserve">CA </t>
  </si>
  <si>
    <t>CARRINGTON SUBSTATION</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</si>
  <si>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</si>
  <si>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</si>
  <si>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</si>
  <si>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</si>
  <si>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</si>
  <si>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</si>
  <si>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</si>
  <si>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</si>
  <si>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</si>
  <si>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</si>
  <si>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</si>
  <si>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</si>
  <si>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</si>
  <si>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</si>
  <si>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</si>
  <si>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</si>
  <si>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
  </si>
  <si>
    <t>DENISON SUBSTATION</t>
  </si>
  <si>
    <t>DV</t>
  </si>
  <si>
    <t>DEVAUL SUBSTATION</t>
  </si>
  <si>
    <t>DL</t>
  </si>
  <si>
    <t>DEVILS LAKE SUBSTATION</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</si>
  <si>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</si>
  <si>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</si>
  <si>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</si>
  <si>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</si>
  <si>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</si>
  <si>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</si>
  <si>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</si>
  <si>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</si>
  <si>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</si>
  <si>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</si>
  <si>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</si>
  <si>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</si>
  <si>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</si>
  <si>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</si>
  <si>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</si>
  <si>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</si>
  <si>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</si>
  <si>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</si>
  <si>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</si>
  <si>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</si>
  <si>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</si>
  <si>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</si>
  <si>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</si>
  <si>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</si>
  <si>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</si>
  <si>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</si>
  <si>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</si>
  <si>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</si>
  <si>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</si>
  <si>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</si>
  <si>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</si>
  <si>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</si>
  <si>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</si>
  <si>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</si>
  <si>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</si>
  <si>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</si>
  <si>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GF</t>
  </si>
  <si>
    <t>GRANITE FALLS SUBSTATION</t>
  </si>
  <si>
    <t>GTF</t>
  </si>
  <si>
    <t xml:space="preserve">GREAT FALLS SUB </t>
  </si>
  <si>
    <t>GY</t>
  </si>
  <si>
    <t>GREGORY SUBSTATION</t>
  </si>
  <si>
    <t>GR</t>
  </si>
  <si>
    <t>GROTON SUBSTATION</t>
  </si>
  <si>
    <t>HV</t>
  </si>
  <si>
    <t>HAVRE SUBSTATION</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</si>
  <si>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</si>
  <si>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</si>
  <si>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</si>
  <si>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</si>
  <si>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</si>
  <si>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</si>
  <si>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</si>
  <si>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</si>
  <si>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</si>
  <si>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</si>
  <si>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</si>
  <si>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</si>
  <si>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</si>
  <si>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</si>
  <si>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MDN</t>
  </si>
  <si>
    <t>MANDAN SUBSTATION</t>
  </si>
  <si>
    <t>MR</t>
  </si>
  <si>
    <t>MARTIN SUBSTATION</t>
  </si>
  <si>
    <t>MA</t>
  </si>
  <si>
    <t>MAURINE SUBSTATION</t>
  </si>
  <si>
    <t>MD</t>
  </si>
  <si>
    <t>MIDLAND SUBSTATION</t>
  </si>
  <si>
    <t>MC2</t>
  </si>
  <si>
    <t>MILES CITY SUB #2</t>
  </si>
  <si>
    <t>MC3</t>
  </si>
  <si>
    <t>MILES CITY SUB #3</t>
  </si>
  <si>
    <t>MC</t>
  </si>
  <si>
    <t>MILES CITY SUBSTATION</t>
  </si>
  <si>
    <t>MS</t>
  </si>
  <si>
    <t>MISSION SUBSTATION</t>
  </si>
  <si>
    <t>MO</t>
  </si>
  <si>
    <t>MORRIS SUBSTATION</t>
  </si>
  <si>
    <t>MV</t>
  </si>
  <si>
    <t>MT VERNON SUBSTATION</t>
  </si>
  <si>
    <t>NEL</t>
  </si>
  <si>
    <t>NELSON SUBSTATION</t>
  </si>
  <si>
    <t>NU</t>
  </si>
  <si>
    <t>NEW UNDERWOOD SUBSTATION</t>
  </si>
  <si>
    <t>NL</t>
  </si>
  <si>
    <t>NEWELL SUBSTATION</t>
  </si>
  <si>
    <t>OF</t>
  </si>
  <si>
    <t>O'FALLON CREEK SUBSTATION</t>
  </si>
  <si>
    <t>PL</t>
  </si>
  <si>
    <t>PHILIP SUBSTATION</t>
  </si>
  <si>
    <t>PI</t>
  </si>
  <si>
    <t>PIERRE SUBSTATION</t>
  </si>
  <si>
    <t>RB</t>
  </si>
  <si>
    <t>RAINBOW SUBSTATION</t>
  </si>
  <si>
    <t>RC</t>
  </si>
  <si>
    <t>RAPID CITY SUBSTATION</t>
  </si>
  <si>
    <t>RH</t>
  </si>
  <si>
    <t>RICHLAND SUBSTATION</t>
  </si>
  <si>
    <t>RL</t>
  </si>
  <si>
    <t>ROLLA SUBSTATION</t>
  </si>
  <si>
    <t>RY</t>
  </si>
  <si>
    <t>RUDYARD SUBSTATION</t>
  </si>
  <si>
    <t>RG</t>
  </si>
  <si>
    <t>RUGBY SUBSTATION</t>
  </si>
  <si>
    <t>SA</t>
  </si>
  <si>
    <t>SAVAGE SUB</t>
  </si>
  <si>
    <t>SH</t>
  </si>
  <si>
    <t>SHELBY SUBSTATION</t>
  </si>
  <si>
    <t>SH2</t>
  </si>
  <si>
    <t>SHELBY SUBSTATION #2</t>
  </si>
  <si>
    <t>SC2</t>
  </si>
  <si>
    <t>SIOUX CITY #2</t>
  </si>
  <si>
    <t xml:space="preserve">SC </t>
  </si>
  <si>
    <t>SIOUX CITY SUBSTATION</t>
  </si>
  <si>
    <t>SF</t>
  </si>
  <si>
    <t>SIOUX FALLS SUBSTATION</t>
  </si>
  <si>
    <t>SP</t>
  </si>
  <si>
    <t>SPENCER</t>
  </si>
  <si>
    <t>SB</t>
  </si>
  <si>
    <t>SULLY BUTTES</t>
  </si>
  <si>
    <t>SU</t>
  </si>
  <si>
    <t>SUMMIT SUBSTATION</t>
  </si>
  <si>
    <t>TY</t>
  </si>
  <si>
    <t>TYNDALL SUBSTATION</t>
  </si>
  <si>
    <t>UJ</t>
  </si>
  <si>
    <t>UTICA JCT.</t>
  </si>
  <si>
    <t>VC</t>
  </si>
  <si>
    <t>VALLEY CITY SUBSTATION</t>
  </si>
  <si>
    <t>VR</t>
  </si>
  <si>
    <t>VERONA</t>
  </si>
  <si>
    <t>VFO</t>
  </si>
  <si>
    <t>VIRGIL FODNESS SUBSTATION</t>
  </si>
  <si>
    <t>WL</t>
  </si>
  <si>
    <t>WALL SUBSTATION</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</si>
  <si>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</si>
  <si>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</si>
  <si>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</si>
  <si>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</si>
  <si>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</si>
  <si>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</si>
  <si>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</si>
  <si>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</si>
  <si>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</si>
  <si>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</si>
  <si>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</si>
  <si>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</si>
  <si>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</si>
  <si>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</si>
  <si>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</si>
  <si>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</si>
  <si>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</si>
  <si>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</si>
  <si>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</si>
  <si>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</si>
  <si>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</si>
  <si>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</si>
  <si>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</si>
  <si>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</si>
  <si>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WN</t>
  </si>
  <si>
    <t>WILLISTON SUBSTATION</t>
  </si>
  <si>
    <t>WI</t>
  </si>
  <si>
    <t>WINNER SUBSTATION</t>
  </si>
  <si>
    <t>WP</t>
  </si>
  <si>
    <t>WOLF POINT SUBSTATION</t>
  </si>
  <si>
    <t>WO</t>
  </si>
  <si>
    <t>WOONSOCKET SUBSTATION</t>
  </si>
  <si>
    <t>YA</t>
  </si>
  <si>
    <t>YANKTON SUBSTATION</t>
  </si>
  <si>
    <t>SUB Total</t>
  </si>
  <si>
    <t>SUBSTATIONS</t>
  </si>
  <si>
    <t>AN</t>
  </si>
  <si>
    <t>ANITA</t>
  </si>
  <si>
    <t>AB</t>
  </si>
  <si>
    <t>ASSINNIBOINE</t>
  </si>
  <si>
    <t>BK</t>
  </si>
  <si>
    <t xml:space="preserve">BAKER </t>
  </si>
  <si>
    <t>CF</t>
  </si>
  <si>
    <t>CANYON FERRY</t>
  </si>
  <si>
    <t>CCR</t>
  </si>
  <si>
    <t>CHARLIE CREEK</t>
  </si>
  <si>
    <t>DNT</t>
  </si>
  <si>
    <t>DENBIGH TAP</t>
  </si>
  <si>
    <t>DK</t>
  </si>
  <si>
    <t>DICKINSON</t>
  </si>
  <si>
    <t>EJ</t>
  </si>
  <si>
    <t>E. J. MANNING</t>
  </si>
  <si>
    <t>EA</t>
  </si>
  <si>
    <t>EAGLE</t>
  </si>
  <si>
    <t>FTH</t>
  </si>
  <si>
    <t>FORSYTH</t>
  </si>
  <si>
    <t>HA</t>
  </si>
  <si>
    <t>HARLEM</t>
  </si>
  <si>
    <t>HET</t>
  </si>
  <si>
    <t>HETTINGER</t>
  </si>
  <si>
    <t>ML</t>
  </si>
  <si>
    <t>MALLARD</t>
  </si>
  <si>
    <t>MT</t>
  </si>
  <si>
    <t>MALTA</t>
  </si>
  <si>
    <t>NA</t>
  </si>
  <si>
    <t>NASHUA SUB</t>
  </si>
  <si>
    <t>ON</t>
  </si>
  <si>
    <t>O'NEILL SUB (NPP)</t>
  </si>
  <si>
    <t>PET</t>
  </si>
  <si>
    <t>PENN TAP</t>
  </si>
  <si>
    <t>PLL</t>
  </si>
  <si>
    <t>PLEASANT LAKE TAP</t>
  </si>
  <si>
    <t>SL</t>
  </si>
  <si>
    <t>SHIRLEY TAP</t>
  </si>
  <si>
    <t>SNY</t>
  </si>
  <si>
    <t>STANLEY</t>
  </si>
  <si>
    <t>TR</t>
  </si>
  <si>
    <t>TERRY TAP</t>
  </si>
  <si>
    <t>TT</t>
  </si>
  <si>
    <t>TIBER TAP</t>
  </si>
  <si>
    <t>VE</t>
  </si>
  <si>
    <t>VETAL TAP</t>
  </si>
  <si>
    <t>VH</t>
  </si>
  <si>
    <t>V. T. HANLON</t>
  </si>
  <si>
    <t>WJ</t>
  </si>
  <si>
    <t>WM. J. NEAL</t>
  </si>
  <si>
    <t>YJ</t>
  </si>
  <si>
    <t>YANKTON JCT.</t>
  </si>
  <si>
    <t>O&amp;M</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</si>
  <si>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</si>
  <si>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</si>
  <si>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</si>
  <si>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</si>
  <si>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</si>
  <si>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</si>
  <si>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</si>
  <si>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</si>
  <si>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</si>
  <si>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</si>
  <si>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</si>
  <si>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</si>
  <si>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</si>
  <si>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</si>
  <si>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</si>
  <si>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</si>
  <si>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</si>
  <si>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</si>
  <si>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</si>
  <si>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</si>
  <si>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</si>
  <si>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</si>
  <si>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</si>
  <si>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</si>
  <si>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</si>
  <si>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</si>
  <si>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</si>
  <si>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</si>
  <si>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</si>
  <si>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</si>
  <si>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</si>
  <si>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</si>
  <si>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</si>
  <si>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</si>
  <si>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</si>
  <si>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</si>
  <si>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</si>
  <si>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</si>
  <si>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</si>
  <si>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</si>
  <si>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</si>
  <si>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</si>
  <si>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</si>
  <si>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WTO</t>
  </si>
  <si>
    <t>WATERTOWN OPERATIONS CENT</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</si>
  <si>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</si>
  <si>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</si>
  <si>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</si>
  <si>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</si>
  <si>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</si>
  <si>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</si>
  <si>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</si>
  <si>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</si>
  <si>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</si>
  <si>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</si>
  <si>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</si>
  <si>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</si>
  <si>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</si>
  <si>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</si>
  <si>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</si>
  <si>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</si>
  <si>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</si>
  <si>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</si>
  <si>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</si>
  <si>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</si>
  <si>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</si>
  <si>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</si>
  <si>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</si>
  <si>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</si>
  <si>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</si>
  <si>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</si>
  <si>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</si>
  <si>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</si>
  <si>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</si>
  <si>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</si>
  <si>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</si>
  <si>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</si>
  <si>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</si>
  <si>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</si>
  <si>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</si>
  <si>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</si>
  <si>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</si>
  <si>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</si>
  <si>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</si>
  <si>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</si>
  <si>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</si>
  <si>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</si>
  <si>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</si>
  <si>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</si>
  <si>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</si>
  <si>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</si>
  <si>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</si>
  <si>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</si>
  <si>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</si>
  <si>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</si>
  <si>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</si>
  <si>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</si>
  <si>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</si>
  <si>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</si>
  <si>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</si>
  <si>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</si>
  <si>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</si>
  <si>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</si>
  <si>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</si>
  <si>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</si>
  <si>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</si>
  <si>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</si>
  <si>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</si>
  <si>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</si>
  <si>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</si>
  <si>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</si>
  <si>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</si>
  <si>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</si>
  <si>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</si>
  <si>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</si>
  <si>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</si>
  <si>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</si>
  <si>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</si>
  <si>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</si>
  <si>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</si>
  <si>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</si>
  <si>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</si>
  <si>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</si>
  <si>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</si>
  <si>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</si>
  <si>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</si>
  <si>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</si>
  <si>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</si>
  <si>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</si>
  <si>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</si>
  <si>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</si>
  <si>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</si>
  <si>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</si>
  <si>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</si>
  <si>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</si>
  <si>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</si>
  <si>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</si>
  <si>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</si>
  <si>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</si>
  <si>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</si>
  <si>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</si>
  <si>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</si>
  <si>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</si>
  <si>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</si>
  <si>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</si>
  <si>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</si>
  <si>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</si>
  <si>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</si>
  <si>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</si>
  <si>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</si>
  <si>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</si>
  <si>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</si>
  <si>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</si>
  <si>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</si>
  <si>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</si>
  <si>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</si>
  <si>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</si>
  <si>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</si>
  <si>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</si>
  <si>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</si>
  <si>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</si>
  <si>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</si>
  <si>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</si>
  <si>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</si>
  <si>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</si>
  <si>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</si>
  <si>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</si>
  <si>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</si>
  <si>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</si>
  <si>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</si>
  <si>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</si>
  <si>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</si>
  <si>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</si>
  <si>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</si>
  <si>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</si>
  <si>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</si>
  <si>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</si>
  <si>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</si>
  <si>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</si>
  <si>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</si>
  <si>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</si>
  <si>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</si>
  <si>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</si>
  <si>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</si>
  <si>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</si>
  <si>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</si>
  <si>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</si>
  <si>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</si>
  <si>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</si>
  <si>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</si>
  <si>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</si>
  <si>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</si>
  <si>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FCS</t>
  </si>
  <si>
    <t>FERGUS FALLS COMMUNICATIONS SITE</t>
  </si>
  <si>
    <t>FLW</t>
  </si>
  <si>
    <t>FLOWING WELLS</t>
  </si>
  <si>
    <t>FBS</t>
  </si>
  <si>
    <t>FORBES COMMUNICATION SITE</t>
  </si>
  <si>
    <t>FP1</t>
  </si>
  <si>
    <t>FORT PECK RELAY (WES)</t>
  </si>
  <si>
    <t>FPC</t>
  </si>
  <si>
    <t>FORT PECK COMMUNICATIONS BUILDING</t>
  </si>
  <si>
    <t>FPR</t>
  </si>
  <si>
    <t>FORT PECK REPEATER</t>
  </si>
  <si>
    <t>FTR</t>
  </si>
  <si>
    <t>FORT THOMPSON REPEATER</t>
  </si>
  <si>
    <t>FTP</t>
  </si>
  <si>
    <t>FORT THOMPSON REPEATER (EAST RIVER)</t>
  </si>
  <si>
    <t>FCR</t>
  </si>
  <si>
    <t>FOX CREEK MICROWAVE</t>
  </si>
  <si>
    <t>FRY</t>
  </si>
  <si>
    <t>FRYBURG SUB &amp; MICROWAVE</t>
  </si>
  <si>
    <t>GA</t>
  </si>
  <si>
    <t>GARRISON</t>
  </si>
  <si>
    <t>GRR</t>
  </si>
  <si>
    <t>GARY REPEATER</t>
  </si>
  <si>
    <t>GP</t>
  </si>
  <si>
    <t>GAVIN'S POINT</t>
  </si>
  <si>
    <t>GPR</t>
  </si>
  <si>
    <t>GAVINS POINT REPEATER</t>
  </si>
  <si>
    <t>GET</t>
  </si>
  <si>
    <t>GETTYSBURG REPEATER</t>
  </si>
  <si>
    <t>GH</t>
  </si>
  <si>
    <t>GLENHAM</t>
  </si>
  <si>
    <t>GKM</t>
  </si>
  <si>
    <t>GRAND FORKS MINNKOTA (MPC)</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</si>
  <si>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</si>
  <si>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</si>
  <si>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</si>
  <si>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</si>
  <si>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</si>
  <si>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</si>
  <si>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</si>
  <si>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</si>
  <si>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</si>
  <si>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</si>
  <si>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</si>
  <si>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</si>
  <si>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</si>
  <si>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</si>
  <si>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</si>
  <si>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</si>
  <si>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</si>
  <si>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</si>
  <si>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</si>
  <si>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</si>
  <si>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</si>
  <si>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</si>
  <si>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</si>
  <si>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</si>
  <si>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</si>
  <si>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</si>
  <si>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</si>
  <si>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</si>
  <si>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</si>
  <si>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</si>
  <si>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</si>
  <si>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</si>
  <si>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</si>
  <si>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</si>
  <si>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</si>
  <si>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</si>
  <si>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</si>
  <si>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</si>
  <si>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</si>
  <si>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</si>
  <si>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</si>
  <si>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</si>
  <si>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</si>
  <si>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</si>
  <si>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</si>
  <si>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</si>
  <si>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</si>
  <si>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</si>
  <si>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</si>
  <si>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</si>
  <si>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</si>
  <si>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</si>
  <si>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</si>
  <si>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</si>
  <si>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</si>
  <si>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</si>
  <si>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</si>
  <si>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</si>
  <si>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</si>
  <si>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</si>
  <si>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</si>
  <si>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</si>
  <si>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</si>
  <si>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</si>
  <si>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</si>
  <si>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</si>
  <si>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</si>
  <si>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</si>
  <si>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</si>
  <si>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</si>
  <si>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</si>
  <si>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</si>
  <si>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</si>
  <si>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</si>
  <si>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</si>
  <si>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</si>
  <si>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</si>
  <si>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</si>
  <si>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</si>
  <si>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</si>
  <si>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</si>
  <si>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</si>
  <si>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</si>
  <si>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</si>
  <si>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</si>
  <si>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</si>
  <si>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</si>
  <si>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</si>
  <si>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</si>
  <si>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</si>
  <si>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</si>
  <si>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</si>
  <si>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</si>
  <si>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</si>
  <si>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</si>
  <si>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</si>
  <si>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</si>
  <si>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</si>
  <si>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</si>
  <si>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</si>
  <si>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</si>
  <si>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</si>
  <si>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</si>
  <si>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</si>
  <si>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</si>
  <si>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</si>
  <si>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</si>
  <si>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</si>
  <si>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</si>
  <si>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</si>
  <si>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</si>
  <si>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</si>
  <si>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</si>
  <si>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</si>
  <si>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</si>
  <si>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</si>
  <si>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</si>
  <si>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</si>
  <si>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</si>
  <si>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</si>
  <si>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</si>
  <si>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</si>
  <si>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</si>
  <si>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</si>
  <si>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</si>
  <si>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</si>
  <si>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</si>
  <si>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</si>
  <si>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</si>
  <si>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</si>
  <si>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</si>
  <si>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</si>
  <si>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</si>
  <si>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</si>
  <si>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</si>
  <si>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</si>
  <si>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</si>
  <si>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</si>
  <si>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</si>
  <si>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</si>
  <si>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</si>
  <si>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</si>
  <si>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</si>
  <si>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</si>
  <si>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</si>
  <si>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</si>
  <si>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</si>
  <si>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</si>
  <si>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</si>
  <si>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</si>
  <si>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</si>
  <si>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</si>
  <si>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</si>
  <si>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</si>
  <si>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</si>
  <si>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</si>
  <si>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</si>
  <si>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</si>
  <si>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</si>
  <si>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</si>
  <si>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</si>
  <si>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</si>
  <si>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</si>
  <si>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</si>
  <si>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</si>
  <si>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WHITLOCK (BCPS)</t>
  </si>
  <si>
    <t>WOB</t>
  </si>
  <si>
    <t>WOLBACH REPEATER</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</si>
  <si>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</si>
  <si>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</si>
  <si>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</si>
  <si>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</si>
  <si>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</si>
  <si>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</si>
  <si>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</si>
  <si>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</si>
  <si>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</si>
  <si>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</si>
  <si>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</si>
  <si>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</si>
  <si>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BP</t>
  </si>
  <si>
    <t>BUFORD TRENTON PUMP SUB</t>
  </si>
  <si>
    <t>FN</t>
  </si>
  <si>
    <t>FALLON PUMPING PLANT SUBS</t>
  </si>
  <si>
    <t>FE</t>
  </si>
  <si>
    <t>FALLON RELIFT PUMPING PLA</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</si>
  <si>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</si>
  <si>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</si>
  <si>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</si>
  <si>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</si>
  <si>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</si>
  <si>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</si>
  <si>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</si>
  <si>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</si>
  <si>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</si>
  <si>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</si>
  <si>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</si>
  <si>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</si>
  <si>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</si>
  <si>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</si>
  <si>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</si>
  <si>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SUBS</t>
  </si>
  <si>
    <t>SY</t>
  </si>
  <si>
    <t>SHIRLEY PUMP SUBSTATION</t>
  </si>
  <si>
    <t>SK</t>
  </si>
  <si>
    <t>TE</t>
  </si>
  <si>
    <t>TI</t>
  </si>
  <si>
    <t>TIBER DAM SUBSTATION</t>
  </si>
  <si>
    <t>VA</t>
  </si>
  <si>
    <t>WIOTA SUBSTATION</t>
  </si>
  <si>
    <t>DIST Total</t>
  </si>
  <si>
    <t>DISTRIBUTION FACILITIES</t>
  </si>
  <si>
    <t>RMR</t>
  </si>
  <si>
    <t>NEW UNDERWOOD-STEGALL</t>
  </si>
  <si>
    <t>STEGALL SUBSTATION</t>
  </si>
  <si>
    <t>STEGALL-WAYSIDE</t>
  </si>
  <si>
    <t>YELLOWTAIL SWITCHYARD</t>
  </si>
  <si>
    <t>RMR Total</t>
  </si>
  <si>
    <t>ROCKY MOUNTAIN REGION FACILITIES</t>
  </si>
  <si>
    <t>COE</t>
  </si>
  <si>
    <t>COE Total</t>
  </si>
  <si>
    <t>CORPS OF ENGINEERS FACILITIES</t>
  </si>
  <si>
    <t>Grand Total</t>
  </si>
  <si>
    <t>TOTAL</t>
  </si>
  <si>
    <t>SUBTOTAL WESTERN-UGP ONLY</t>
  </si>
  <si>
    <t>111A</t>
  </si>
  <si>
    <t>BEFP - Maint</t>
  </si>
  <si>
    <t>BEFP - Ops</t>
  </si>
  <si>
    <t>BXPS - Maint</t>
  </si>
  <si>
    <t>BXPS - Ops</t>
  </si>
  <si>
    <t>Wage &amp; Salary Allocator</t>
  </si>
  <si>
    <t>Schedule 11B</t>
  </si>
  <si>
    <t>Long Term Debt Estimate</t>
  </si>
  <si>
    <t>From HFD Schedule 21RX and 21X</t>
  </si>
  <si>
    <t xml:space="preserve">     Transmission Plant</t>
  </si>
  <si>
    <t xml:space="preserve">Interest Attributable to </t>
  </si>
  <si>
    <t>Percent Transmission Plant</t>
  </si>
  <si>
    <t>Distribution Plant</t>
  </si>
  <si>
    <t>Transmission Plant</t>
  </si>
  <si>
    <t>Production Plant</t>
  </si>
  <si>
    <t>Total Plant</t>
  </si>
  <si>
    <t>Total Interest Expense</t>
  </si>
  <si>
    <t>Total</t>
  </si>
  <si>
    <t>UGP</t>
  </si>
  <si>
    <t>Schedule C</t>
  </si>
  <si>
    <t>Accum Depr</t>
  </si>
  <si>
    <t>Schedule B</t>
  </si>
  <si>
    <t>A&amp;G</t>
  </si>
  <si>
    <t>Plus Warehouse Interest</t>
  </si>
  <si>
    <t>Plus CME Interest</t>
  </si>
  <si>
    <t>Disposition of Assets</t>
  </si>
  <si>
    <t>Depreciation MOVP</t>
  </si>
  <si>
    <t xml:space="preserve">  Less Prior Year Adjustment</t>
  </si>
  <si>
    <t xml:space="preserve">  Less A&amp;G Expense</t>
  </si>
  <si>
    <t xml:space="preserve">  Less Ft. Peck FERC 567</t>
  </si>
  <si>
    <t xml:space="preserve">  Less Xmsn By Others</t>
  </si>
  <si>
    <t xml:space="preserve">  Less FERC 555 (Purch Pwr)</t>
  </si>
  <si>
    <t>Total Operating Expense</t>
  </si>
  <si>
    <t>Schedule A</t>
  </si>
  <si>
    <t xml:space="preserve">  </t>
  </si>
  <si>
    <t>R</t>
  </si>
  <si>
    <t>Includes income related only to transmission facilities, such as pole attachments, rentals and special use.</t>
  </si>
  <si>
    <t>Q</t>
  </si>
  <si>
    <t>P</t>
  </si>
  <si>
    <t>O</t>
  </si>
  <si>
    <t xml:space="preserve">Western does not have Common Plant. </t>
  </si>
  <si>
    <t>N</t>
  </si>
  <si>
    <t>Percentage of Total Plant Allocators are developed separately for Western-UGP and Western-RMR to allocate O&amp;M, A&amp;G, and Depreciation Expenses between Transmission and Generation.</t>
  </si>
  <si>
    <t>M</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</si>
  <si>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</si>
  <si>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L</t>
  </si>
  <si>
    <t>Removes transmission plant determined by Commission order to be state-jurisdictional according to the seven-factor test (until RUS 12 balances are adjusted to reflect application of seven-factor test).</t>
  </si>
  <si>
    <t>K</t>
  </si>
  <si>
    <t>Removes dollar amount of transmission expenses included in the OATT ancillary services rates, including Acct No. 561.  Western does not include transmission expenses in ancillary service rates.</t>
  </si>
  <si>
    <t>J</t>
  </si>
  <si>
    <t xml:space="preserve">  (percent of federal income tax deductible for state purposes)</t>
  </si>
  <si>
    <t>p =</t>
  </si>
  <si>
    <t xml:space="preserve">  (State Income Tax Rate or Composite SIT)</t>
  </si>
  <si>
    <t>SIT=</t>
  </si>
  <si>
    <t>FIT =</t>
  </si>
  <si>
    <t xml:space="preserve">         Inputs Required:</t>
  </si>
  <si>
    <t>Western is not subject to Federal or State Income Tax.</t>
  </si>
  <si>
    <t>I</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</si>
  <si>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</si>
  <si>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H</t>
  </si>
  <si>
    <t>G</t>
  </si>
  <si>
    <t>Totals of Results of Operations Schedule 11A Object Classes 1411, 1412, 1415, 1416, 1421, 1422, 1425, 1426, 1431, 1432, 1441, 1442.</t>
  </si>
  <si>
    <t>F</t>
  </si>
  <si>
    <t>For O&amp;M Expense, Calculated as Total O&amp;M from Results of Operations less Purchase Power, Transmission Service Provided by Others (FERC 565), O&amp;M Expense Fort Peck Powerhouse, Prior Year Adjustments, A&amp;G Expense from Schedule 11, plus CME and Warehouse Interest from Schedule 5.  Depreciation Expense from Results of Operations Schedule 4.</t>
  </si>
  <si>
    <t>D</t>
  </si>
  <si>
    <t>Transmission related only.</t>
  </si>
  <si>
    <t>C</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</si>
  <si>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</si>
  <si>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B</t>
  </si>
  <si>
    <t>Combines plant data for both the Western-Upper Great Plains Region (Western-UGP) and Western-Rocky Mountain Region (Western-RMR).</t>
  </si>
  <si>
    <t>A</t>
  </si>
  <si>
    <t>To the extent the references to ROOs data are missing, the entity will include a "Notes" section  to provide this data.</t>
  </si>
  <si>
    <t>Letter</t>
  </si>
  <si>
    <t xml:space="preserve">General Note:  References to Results of Operations in this revenue requirement template indicate the Financial Statement Results of Operations (ROOs) Schedule where data is located </t>
  </si>
  <si>
    <t>Note</t>
  </si>
  <si>
    <t xml:space="preserve">  b. Transmission charges for all transmission transactions included in Divisor on page 1</t>
  </si>
  <si>
    <t xml:space="preserve">  a. Transmission charges for all transmission transactions </t>
  </si>
  <si>
    <t>ACCOUNT 456 (OTHER ELECTRIC REVENUES)</t>
  </si>
  <si>
    <t>(Note Q)</t>
  </si>
  <si>
    <t>ACCOUNT 454 (RENT FROM ELECTRIC PROPERTY)</t>
  </si>
  <si>
    <t xml:space="preserve">  Total of (a)-(b)</t>
  </si>
  <si>
    <t xml:space="preserve">  b. Bundled Sales for Resale included in Divisor on page 1 </t>
  </si>
  <si>
    <t>(Note P)</t>
  </si>
  <si>
    <t xml:space="preserve">  a. Bundled Non-RQ Sales for Resale</t>
  </si>
  <si>
    <t>ACCOUNT 447 (SALES FOR RESALE)</t>
  </si>
  <si>
    <t>Load</t>
  </si>
  <si>
    <t>REVENUE CREDITS</t>
  </si>
  <si>
    <t>TIER =</t>
  </si>
  <si>
    <t xml:space="preserve">                                      Proprietary Capital Cost Rate =    </t>
  </si>
  <si>
    <t>Total (sum lines 31-32)</t>
  </si>
  <si>
    <t xml:space="preserve">  Proprietary Capital</t>
  </si>
  <si>
    <t>=R</t>
  </si>
  <si>
    <t>HFD Sch's 21RX &amp; 21X Col 8 Lines 23,25,26,29,30</t>
  </si>
  <si>
    <t xml:space="preserve">  Long Term Debt</t>
  </si>
  <si>
    <t>Weighted</t>
  </si>
  <si>
    <t>(Note O)</t>
  </si>
  <si>
    <t>%</t>
  </si>
  <si>
    <t>$</t>
  </si>
  <si>
    <t>=WCLTD</t>
  </si>
  <si>
    <t>Cost</t>
  </si>
  <si>
    <t xml:space="preserve">              Long Term Interest  Schedule 5</t>
  </si>
  <si>
    <t>RETURN (R)</t>
  </si>
  <si>
    <t xml:space="preserve">  Total</t>
  </si>
  <si>
    <t xml:space="preserve">  Water</t>
  </si>
  <si>
    <t>*</t>
  </si>
  <si>
    <t xml:space="preserve">  Gas</t>
  </si>
  <si>
    <t xml:space="preserve">  Electric</t>
  </si>
  <si>
    <t>Labor Ratio =</t>
  </si>
  <si>
    <t>% Electric</t>
  </si>
  <si>
    <t>CE</t>
  </si>
  <si>
    <t>(Note N)</t>
  </si>
  <si>
    <t>COMMON PLANT ALLOCATOR  (CE)</t>
  </si>
  <si>
    <t>=</t>
  </si>
  <si>
    <t>PTP/COE</t>
  </si>
  <si>
    <t>COE Percentage of Transmission Plant to Total Plant</t>
  </si>
  <si>
    <t>Total Plant in Service COE</t>
  </si>
  <si>
    <t>Transmission Plant in Service COE</t>
  </si>
  <si>
    <t>PTP/RMR</t>
  </si>
  <si>
    <t>RMR Percentage of Transmission Plant to Total Plant</t>
  </si>
  <si>
    <t>Total Plant in Service Western-RMR</t>
  </si>
  <si>
    <t>Transmission Plant in Service Western-RMR</t>
  </si>
  <si>
    <t>PTP/UGP</t>
  </si>
  <si>
    <t>UGP Percentage of Transmission Plant to Total Plant</t>
  </si>
  <si>
    <t>Total Plant in Service Western-UGP</t>
  </si>
  <si>
    <t>Transmission Plant in Service Western-UGP</t>
  </si>
  <si>
    <t>(Note M)</t>
  </si>
  <si>
    <t>PERCENTAGE OF TOTAL PLANT ALLOCATOR    PTP</t>
  </si>
  <si>
    <t>($ / Allocation)</t>
  </si>
  <si>
    <t xml:space="preserve">  Other</t>
  </si>
  <si>
    <t>W&amp;S Allocator</t>
  </si>
  <si>
    <t xml:space="preserve">  Distribution</t>
  </si>
  <si>
    <t xml:space="preserve">  Transmission</t>
  </si>
  <si>
    <t xml:space="preserve">  Production</t>
  </si>
  <si>
    <t>Allocation</t>
  </si>
  <si>
    <t>TP</t>
  </si>
  <si>
    <t>WAGES &amp; SALARY ALLOCATOR   (W&amp;S)</t>
  </si>
  <si>
    <t>TE=</t>
  </si>
  <si>
    <t>Percentage of transmission expenses included in UMZ Rates</t>
  </si>
  <si>
    <t>Percentage of transmission plant included in UMZ Rates</t>
  </si>
  <si>
    <t>Percentage of transmission expenses after adjustment (line 8 divided by line 6)</t>
  </si>
  <si>
    <t>Included transmission expenses</t>
  </si>
  <si>
    <t>(Note J)</t>
  </si>
  <si>
    <t>Less transmission expenses included in OATT Ancillary Services</t>
  </si>
  <si>
    <t>Total transmission expenses</t>
  </si>
  <si>
    <t xml:space="preserve">TRANSMISSION EXPENSES </t>
  </si>
  <si>
    <t>TP=</t>
  </si>
  <si>
    <t xml:space="preserve">Percentage of transmission plant included in UMZ Rates </t>
  </si>
  <si>
    <t>Transmission plant included in IS rates</t>
  </si>
  <si>
    <t>(Note L)</t>
  </si>
  <si>
    <t>Less transmission plant included in OATT Ancillary Services</t>
  </si>
  <si>
    <t>(Note K)</t>
  </si>
  <si>
    <t>Less transmission plant excluded from UMZ rates</t>
  </si>
  <si>
    <t>Total transmission plant</t>
  </si>
  <si>
    <t>TRANSMISSION PLANT INCLUDED IN UMZ RATES</t>
  </si>
  <si>
    <t xml:space="preserve">                                      SUPPORTING CALCULATIONS AND NOTES</t>
  </si>
  <si>
    <t>REV. REQUIREMENT</t>
  </si>
  <si>
    <t>RETURN  [ Rate Base * Rate of Return]</t>
  </si>
  <si>
    <t>Total Income Taxes</t>
  </si>
  <si>
    <t>NP</t>
  </si>
  <si>
    <t>ITC adjustment</t>
  </si>
  <si>
    <t>Income Tax Calculation</t>
  </si>
  <si>
    <t>(enter negative)</t>
  </si>
  <si>
    <t>Amortized Investment Tax Credit</t>
  </si>
  <si>
    <t xml:space="preserve">     CIT=(T/1-T) * (1-(WCLTD/R)) =</t>
  </si>
  <si>
    <t xml:space="preserve">     T=1 - {[(1 - SIT) * (1 - FIT)] / (1 - SIT * FIT * p)} =</t>
  </si>
  <si>
    <t>(Note I)</t>
  </si>
  <si>
    <t xml:space="preserve">INCOME TAXES          </t>
  </si>
  <si>
    <t>TOTAL OTHER TAXES</t>
  </si>
  <si>
    <t xml:space="preserve">         Payments in lieu of taxes</t>
  </si>
  <si>
    <t xml:space="preserve">         Other</t>
  </si>
  <si>
    <t xml:space="preserve">         Gross Receipts</t>
  </si>
  <si>
    <t xml:space="preserve">         Property</t>
  </si>
  <si>
    <t xml:space="preserve">  PLANT RELATED</t>
  </si>
  <si>
    <t xml:space="preserve">          Highway and vehicle</t>
  </si>
  <si>
    <t>W/S</t>
  </si>
  <si>
    <t xml:space="preserve">          Payroll</t>
  </si>
  <si>
    <t xml:space="preserve">  LABOR RELATED</t>
  </si>
  <si>
    <t>(Note H)</t>
  </si>
  <si>
    <t>TAXES OTHER THAN INCOME TAXES</t>
  </si>
  <si>
    <t>TOTAL DEPRECIATION</t>
  </si>
  <si>
    <t xml:space="preserve">  General </t>
  </si>
  <si>
    <t xml:space="preserve">          COE</t>
  </si>
  <si>
    <t xml:space="preserve">          Western-RMR</t>
  </si>
  <si>
    <t xml:space="preserve">          Western-UGP</t>
  </si>
  <si>
    <t>Schedule 4</t>
  </si>
  <si>
    <t>DEPRECIATION EXPENSE</t>
  </si>
  <si>
    <t xml:space="preserve">TOTAL O&amp;M </t>
  </si>
  <si>
    <t xml:space="preserve">  Transmission Lease Payments</t>
  </si>
  <si>
    <t xml:space="preserve">  Common</t>
  </si>
  <si>
    <t>(Note G)</t>
  </si>
  <si>
    <t xml:space="preserve">     Plus Transmission Related Reg. Comm. Exp</t>
  </si>
  <si>
    <t xml:space="preserve">     Less EPRI &amp; Reg. Comm. Exp. &amp; Non-safety Ad</t>
  </si>
  <si>
    <t xml:space="preserve">     Less FERC Annual Fees</t>
  </si>
  <si>
    <t>Schedule 11 (Note F)</t>
  </si>
  <si>
    <t xml:space="preserve">  A&amp;G</t>
  </si>
  <si>
    <t>(Note E)</t>
  </si>
  <si>
    <t xml:space="preserve">     Less Account 565</t>
  </si>
  <si>
    <t>COE Financial Stmts</t>
  </si>
  <si>
    <t>Schedule 11 (Note E)</t>
  </si>
  <si>
    <t xml:space="preserve">  Transmission </t>
  </si>
  <si>
    <t>RATE BASE</t>
  </si>
  <si>
    <t>TOTAL WORKING CAPITAL</t>
  </si>
  <si>
    <t xml:space="preserve">Bal Sheet Other Assets  </t>
  </si>
  <si>
    <t xml:space="preserve">  Prepayments</t>
  </si>
  <si>
    <t>Bal Sheet - Other Assets - SGL 151191 (Note C)</t>
  </si>
  <si>
    <t xml:space="preserve">  Materials &amp; Supplies</t>
  </si>
  <si>
    <t>calculated</t>
  </si>
  <si>
    <t xml:space="preserve">  CWC  </t>
  </si>
  <si>
    <t>(Note D)</t>
  </si>
  <si>
    <t>WORKING CAPITAL</t>
  </si>
  <si>
    <t>(Note C)</t>
  </si>
  <si>
    <t xml:space="preserve">LAND HELD FOR FUTURE USE </t>
  </si>
  <si>
    <t>TOTAL ADJUSTMENTS</t>
  </si>
  <si>
    <t xml:space="preserve">  Account No. 255</t>
  </si>
  <si>
    <t xml:space="preserve">  Account No. 190</t>
  </si>
  <si>
    <t xml:space="preserve">  Account No. 283</t>
  </si>
  <si>
    <t xml:space="preserve">  Account No. 282</t>
  </si>
  <si>
    <t xml:space="preserve">  Account No. 281</t>
  </si>
  <si>
    <t>(Note B)</t>
  </si>
  <si>
    <t xml:space="preserve">ADJUSTMENTS TO RATE BASE </t>
  </si>
  <si>
    <t>NP=</t>
  </si>
  <si>
    <t>TOTAL NET PLANT</t>
  </si>
  <si>
    <t>NET PLANT IN SERVICE</t>
  </si>
  <si>
    <t>TOTAL ACCUM. DEPRECIATION</t>
  </si>
  <si>
    <t>Bal Sheet - Other Assets - SGL 175902</t>
  </si>
  <si>
    <t>ACCUMULATED DEPRECIATION</t>
  </si>
  <si>
    <t>GP=</t>
  </si>
  <si>
    <t xml:space="preserve">TOTAL GROSS PLANT </t>
  </si>
  <si>
    <t>Bal Sheet - Other Assets - SGL 175002</t>
  </si>
  <si>
    <t xml:space="preserve">  General &amp; Intangible</t>
  </si>
  <si>
    <t>Schedule 1A Total</t>
  </si>
  <si>
    <t>(Note A)</t>
  </si>
  <si>
    <t>GROSS PLANT IN SERVICE</t>
  </si>
  <si>
    <t>(Col 3 times Col 4)</t>
  </si>
  <si>
    <t>RATE BASE:</t>
  </si>
  <si>
    <t>NET REVENUE REQUIREMENT</t>
  </si>
  <si>
    <t>PRIOR PERIOD TRUE-UP</t>
  </si>
  <si>
    <t>(Note R)</t>
  </si>
  <si>
    <t>GROSS REVENUE REQUIREMENT</t>
  </si>
  <si>
    <t>(5)</t>
  </si>
  <si>
    <t>(4)</t>
  </si>
  <si>
    <t>(3)</t>
  </si>
  <si>
    <t>(2)</t>
  </si>
  <si>
    <t>(1)</t>
  </si>
  <si>
    <t>No.</t>
  </si>
  <si>
    <t>ALLOCATED AMOUNT</t>
  </si>
  <si>
    <t>ALLOCATOR</t>
  </si>
  <si>
    <t>COMPANY TOTAL</t>
  </si>
  <si>
    <t>REFERENCE</t>
  </si>
  <si>
    <t>Line</t>
  </si>
  <si>
    <t>TRANSMISSION</t>
  </si>
  <si>
    <t>Utilizing Financial Statement Results of Operations</t>
  </si>
  <si>
    <t>Western-UGP</t>
  </si>
  <si>
    <t>Net Plant Investment Worksheet</t>
  </si>
  <si>
    <t xml:space="preserve">6/  The portion of O&amp;M expenses allocated to PS-ED generation is based on the ratio of generation plant-in-service to total plant-in-service, calculated on L6 of the </t>
  </si>
  <si>
    <t xml:space="preserve"> Net Plant Investment Worksheet</t>
  </si>
  <si>
    <t>5/  The portion of O&amp;M expenses allocated to PS-ED transmission is based on the ratio of transmission plant-in-service to total plant-in-service, calculated on L7 of the</t>
  </si>
  <si>
    <t>4/  Total BOR O&amp;M Expenses are from the Historical Financial Data in Support of the Power Repayment Study for the Pick-Sloan Missouri Basin Program, Schedule 14</t>
  </si>
  <si>
    <t>3/  Total Corps O&amp;M Expenses are from the Corps of Engineers Financial Statements</t>
  </si>
  <si>
    <t>Stores Interest, which are from Schedule 5</t>
  </si>
  <si>
    <t xml:space="preserve">2/  All Western RMR O&amp;M Expenses are from the RMCSR - Pick-Sloan Missouri River Basin Results of Operations, Schedule 11; except Moveable Property and Warehouse </t>
  </si>
  <si>
    <t>Moveable Property and Warehouse Stores Interest,  which are from Schedule 5</t>
  </si>
  <si>
    <t xml:space="preserve">1/  All Western-UGP O&amp;M Expenses are from the UGPCSR - Pick-Sloan Missouri River Basin and UGPCSR -  Ft. Peck Power System Results of Operations, Schedule 11; except </t>
  </si>
  <si>
    <t>PS-ED Generation O&amp;M  6/</t>
  </si>
  <si>
    <t>PS-ED Transmission O&amp;M  5/</t>
  </si>
  <si>
    <t>PS Total O&amp;M</t>
  </si>
  <si>
    <t xml:space="preserve">  Scheduling, System Control &amp; Dispatch</t>
  </si>
  <si>
    <t xml:space="preserve">  Warehouse Stores Interest</t>
  </si>
  <si>
    <t xml:space="preserve">  Moveable Property Interest</t>
  </si>
  <si>
    <t>Plus:</t>
  </si>
  <si>
    <t xml:space="preserve">  Prior Year Adjustments</t>
  </si>
  <si>
    <t xml:space="preserve">  A&amp;G Expenses</t>
  </si>
  <si>
    <t xml:space="preserve">  Other Power Supply Expenses</t>
  </si>
  <si>
    <t>Less:</t>
  </si>
  <si>
    <t>Total Electric Operating Expense</t>
  </si>
  <si>
    <t>BOR  4/</t>
  </si>
  <si>
    <t>COE  3/</t>
  </si>
  <si>
    <t>O&amp;M Expenses Worksheet</t>
  </si>
  <si>
    <t>BOR</t>
  </si>
  <si>
    <t>WESTERN RMR</t>
  </si>
  <si>
    <t xml:space="preserve">WESTERN-UGP </t>
  </si>
  <si>
    <t>6/  The portion of A&amp;G expenses allocated to PS-ED SSCD is based on the ratio of SSCD plant-in-service to total plant-in-service, calculated on L8 of the Net Plant Investment Worksheet</t>
  </si>
  <si>
    <t>Investment Worksheet</t>
  </si>
  <si>
    <t xml:space="preserve">5/  The portion of A&amp;G expenses allocated to PS-ED generation is based on the ratio of generation plant-in-service to total plant-in-service, calculated on L6 of the Net Plant </t>
  </si>
  <si>
    <t xml:space="preserve">4/  The portion of A&amp;G expenses allocated to PS-ED transmission is based on the ratio of transmission plant-in-service to total plant-in-service, calculated on L7 of the Net Plant </t>
  </si>
  <si>
    <t>3/  A&amp;G Expenses for COE and BOR are unavailable.  All COE and BOR A&amp;G expenses are included in O&amp;M Expenses</t>
  </si>
  <si>
    <t>2/  Western RMR A&amp;G Expenses are from the RMCSR - Pick-Sloan Missouri River Basin Results of Operations, Schedule 11A</t>
  </si>
  <si>
    <t>1/  Western-UGP A&amp;G Expenses are from the UGPCSR - Pick-Sloan Missouri River Basin and UGPCSR - Ft. Peck Power System Results of Operations, Schedule 11A</t>
  </si>
  <si>
    <t>PS-ED SSCD A&amp;G  6/</t>
  </si>
  <si>
    <t>PS-ED Generation A&amp;G  5/</t>
  </si>
  <si>
    <t>PS-ED Transmission A&amp;G  4/</t>
  </si>
  <si>
    <t>PS Total A&amp;G</t>
  </si>
  <si>
    <t>BOR  3/</t>
  </si>
  <si>
    <t>WESTERN RMR 2/</t>
  </si>
  <si>
    <t>WESTERN UGPR 1/</t>
  </si>
  <si>
    <t xml:space="preserve">Object Class    </t>
  </si>
  <si>
    <t>A&amp;G Expenses Worksheet</t>
  </si>
  <si>
    <t>13/ Interest from Results of Operations Schedule 5</t>
  </si>
  <si>
    <t>12/  (C2L6*C2L9)+(C3L6*C3L9)+(C4L6*C4L9)+(C5L6*C5L9)</t>
  </si>
  <si>
    <t>11/  C5L4, Net Plant Investment Worksheet/C6L4, Net Plant Investment Worksheet</t>
  </si>
  <si>
    <t>10/  C4L4, Net Plant Investment Worksheet/C6L4, Net Plant Investment Worksheet</t>
  </si>
  <si>
    <t>9/  C3L4, Net Plant Investment Worksheet/C6L4, Net Plant Investment Worksheet</t>
  </si>
  <si>
    <t>8/  C2L4, Net Plant Investment Worksheet/C6L4, Net Plant Investment Worksheet</t>
  </si>
  <si>
    <t>7/  (C2L6*C2L7)+(C3L6*C3L7)+(C4L6*C4L7)+(C5L6*C5L7)</t>
  </si>
  <si>
    <t>6/  C5L3, Net Plant Investment Worksheet/C6L3, Net Plant Investment Worksheet</t>
  </si>
  <si>
    <t>5/  C4L3, Net Plant Investment Worksheet/C6L3, Net Plant Investment Worksheet</t>
  </si>
  <si>
    <t>4/  C3L3, Net Plant Investment Worksheet/C6L3, Net Plant Investment Worksheet</t>
  </si>
  <si>
    <t>3/  C2L3, Net Plant Investment Worksheet/C6L3, Net Plant Investment Worksheet</t>
  </si>
  <si>
    <t>2/   Historical Financial Data in Support of the Power Repayment Study for the P-SMBP, Schedule 33, 33A and ROOs Schedule 5</t>
  </si>
  <si>
    <t>1/   Historical Financial Data in Support of the Power Repayment Study for the P-SMBP, Schedules 21X and 21RX</t>
  </si>
  <si>
    <t>12/</t>
  </si>
  <si>
    <t>Weighted Gen. Composite Rate</t>
  </si>
  <si>
    <t>11/</t>
  </si>
  <si>
    <t>10/</t>
  </si>
  <si>
    <t>9/</t>
  </si>
  <si>
    <t>8/</t>
  </si>
  <si>
    <t>Generation Plant Factor</t>
  </si>
  <si>
    <t>7/</t>
  </si>
  <si>
    <t>Weighted Trans. Composite Rate</t>
  </si>
  <si>
    <t>6/</t>
  </si>
  <si>
    <t>5/</t>
  </si>
  <si>
    <t>4/</t>
  </si>
  <si>
    <t>3/</t>
  </si>
  <si>
    <t>Transmission Plant Factor</t>
  </si>
  <si>
    <t>L6/L3</t>
  </si>
  <si>
    <t>Average Interest Rate</t>
  </si>
  <si>
    <t>2/</t>
  </si>
  <si>
    <t>13/</t>
  </si>
  <si>
    <t>Interest Expenses:</t>
  </si>
  <si>
    <t>1/</t>
  </si>
  <si>
    <t>Long Term Debt:</t>
  </si>
  <si>
    <t>Cost of Capital Worksheet</t>
  </si>
  <si>
    <t>WESTERN-RMR</t>
  </si>
  <si>
    <t xml:space="preserve"> Investment Worksheet</t>
  </si>
  <si>
    <t>7/ For UGPR, the portion of depreciation expense allocated to PS-ED SSCD is based on the ratio of SSCD plant-in-service to total plant in service, calculated on L8 of the Net Plant</t>
  </si>
  <si>
    <t>on L6 of the Net Plant Investment Worksheet.  COE generation depreciation is COE total depreciation less transmission depreciation</t>
  </si>
  <si>
    <t xml:space="preserve">6/  For UGPR, RMR and BOR the portion of depreciation expense allocated to PS-ED generation is based on the ratio of generation plant-in-service to total plant-in-service, calculated </t>
  </si>
  <si>
    <t>calculated on L7 of the Net Plant Investment Worksheet</t>
  </si>
  <si>
    <t xml:space="preserve">5/  For UGPR, RMR, COE, and BOR the portion of depreciation expense allocated to PS-ED transmission is based on the ratio of transmission plant-in-service to total plant-in-service, </t>
  </si>
  <si>
    <t>4/  From data provided by BOR</t>
  </si>
  <si>
    <t>3/  FY Corps of Engineers Statement of Revenues and Expenses</t>
  </si>
  <si>
    <t>2/  FY RMCSR - Pick-Sloan Missouri River Basin Results of Operations, Schedule 4</t>
  </si>
  <si>
    <t>1/  FY UGPCSR - Pick-Sloan Missouri River Basin and UGPCSR - Ft. Peck Power System Results of Operations, Schedule 4</t>
  </si>
  <si>
    <t>PS-ED SSCD Depreciation  7/</t>
  </si>
  <si>
    <t>PS-ED Generation Depreciation  6/</t>
  </si>
  <si>
    <t>PS-ED Transmission Depreciation  5/</t>
  </si>
  <si>
    <t>PS Depreciation Expense</t>
  </si>
  <si>
    <t>Depreciation Worksheet</t>
  </si>
  <si>
    <t>12/  Historical Financial Data in Support of the Power Repayment Study for the P-SMBP, Schedule 15</t>
  </si>
  <si>
    <t>11/  Corps of Engineers Financial Statements, Statement of Assets and Liabilities</t>
  </si>
  <si>
    <t>10/  RMCSR - Pick-Sloan Missouri River Basin Results of Operations, Schedule 4</t>
  </si>
  <si>
    <t>9/  UGPCSR - Pick-Sloan Missouri River Basin and UGPCSR - Ft. Peck Power System Results of Operations, Schedule 4</t>
  </si>
  <si>
    <t>8/ SSCD Plant-in-Service is based on a percentage of Watertown Operations Centers cost, based on FTE</t>
  </si>
  <si>
    <t>3/  Corps of Engineers Financial Statements, Electric and Power Multi-Purpose Plant in Service</t>
  </si>
  <si>
    <t>2/  RMCSR - Pick-Sloan Missouri River Basin Results of Operations, Schedule 1</t>
  </si>
  <si>
    <t>L5-L12</t>
  </si>
  <si>
    <t>PS-ED Net SSCD Plant</t>
  </si>
  <si>
    <t>L4-L11</t>
  </si>
  <si>
    <t>L4-L10</t>
  </si>
  <si>
    <t>PS-ED Net Generation Plant</t>
  </si>
  <si>
    <t>L3-L10</t>
  </si>
  <si>
    <t>L3-L9</t>
  </si>
  <si>
    <t>PS-ED Net Transmission Plant</t>
  </si>
  <si>
    <t>PS-ED SSCD Accumulated Depreciation</t>
  </si>
  <si>
    <t>L6*L9</t>
  </si>
  <si>
    <t>L9-L10</t>
  </si>
  <si>
    <t>PS-ED Gen. Accumulated Depreciation</t>
  </si>
  <si>
    <t>L7*L9</t>
  </si>
  <si>
    <t>PS-ED Trans. Accumulated Depreciation</t>
  </si>
  <si>
    <t>PS Accumulated Depreciation</t>
  </si>
  <si>
    <t>L5/L2</t>
  </si>
  <si>
    <t>SSCD Plant to Total Plant</t>
  </si>
  <si>
    <t>L3/L2</t>
  </si>
  <si>
    <t>Transmission Plant to Total Plant</t>
  </si>
  <si>
    <t>L4/L2</t>
  </si>
  <si>
    <t>Generation Plant to Total Plant</t>
  </si>
  <si>
    <t>PS-ED SSCD Plant-in-Service</t>
  </si>
  <si>
    <t>L2-L3</t>
  </si>
  <si>
    <t>PS-ED Generation Plant-in-Service</t>
  </si>
  <si>
    <t>PS-ED Transmission Plant-in-Service</t>
  </si>
  <si>
    <t>Total PS Plant-in-Service</t>
  </si>
  <si>
    <t>L30 * L31</t>
  </si>
  <si>
    <t xml:space="preserve">     Annual Western-UGPR Cost</t>
  </si>
  <si>
    <t>L5</t>
  </si>
  <si>
    <t xml:space="preserve">     Net Plant Investment</t>
  </si>
  <si>
    <t>L28</t>
  </si>
  <si>
    <t xml:space="preserve">      Fixed Charge Rate</t>
  </si>
  <si>
    <t>H.  Revenue Requirement</t>
  </si>
  <si>
    <t xml:space="preserve">             Total</t>
  </si>
  <si>
    <t>L20</t>
  </si>
  <si>
    <t xml:space="preserve">     Cost of Capital</t>
  </si>
  <si>
    <t xml:space="preserve">     Allocation of General Plant to Transmission</t>
  </si>
  <si>
    <t xml:space="preserve">     Taxes Other than Income Taxes</t>
  </si>
  <si>
    <t>L14</t>
  </si>
  <si>
    <t xml:space="preserve">     Depreciation Expense</t>
  </si>
  <si>
    <t>L10</t>
  </si>
  <si>
    <t xml:space="preserve">     A&amp;G Expense</t>
  </si>
  <si>
    <t>L6</t>
  </si>
  <si>
    <t xml:space="preserve">     Operation and Maintenance Expense</t>
  </si>
  <si>
    <t>G.  Fixed Charge Rate</t>
  </si>
  <si>
    <t xml:space="preserve">     Weighted Transmission Composite Interest Rate</t>
  </si>
  <si>
    <t>F.  Cost of Capital</t>
  </si>
  <si>
    <t xml:space="preserve">     No General Plant identified at this time, all plant is identified as either generation or transmission related.</t>
  </si>
  <si>
    <t xml:space="preserve">E.  Allocation of General Plant </t>
  </si>
  <si>
    <t xml:space="preserve">     Not applicable.</t>
  </si>
  <si>
    <t xml:space="preserve">D.  Taxes Other than Income Taxes for Transmission     </t>
  </si>
  <si>
    <t>L12/L13</t>
  </si>
  <si>
    <t xml:space="preserve">     Depreciation as a % of Net Plant Investment</t>
  </si>
  <si>
    <t>Depreciation Expense Worksheet</t>
  </si>
  <si>
    <t xml:space="preserve">C.  Depreciation Expense                    </t>
  </si>
  <si>
    <t>L8/L9</t>
  </si>
  <si>
    <t xml:space="preserve">      A&amp;G as % of Net Plant Investment</t>
  </si>
  <si>
    <t xml:space="preserve">      Net Plant Investment</t>
  </si>
  <si>
    <t xml:space="preserve">      A&amp;G Expense</t>
  </si>
  <si>
    <t xml:space="preserve">B.  A&amp;G Expense                              </t>
  </si>
  <si>
    <t>L4/L5</t>
  </si>
  <si>
    <t xml:space="preserve">     O&amp;M as % of Net Plant Investment</t>
  </si>
  <si>
    <t>L2 + L3</t>
  </si>
  <si>
    <t xml:space="preserve">     Total O&amp;M Expense</t>
  </si>
  <si>
    <t xml:space="preserve">     Transmission of Electricity by Others</t>
  </si>
  <si>
    <t xml:space="preserve">     O&amp;M Expense</t>
  </si>
  <si>
    <t>A. Operation and Maintenance Expense</t>
  </si>
  <si>
    <t xml:space="preserve"> Line No.</t>
  </si>
  <si>
    <t>COE GENERATION</t>
  </si>
  <si>
    <t>GENERATION</t>
  </si>
  <si>
    <t>DATA SOURCE:</t>
  </si>
  <si>
    <t xml:space="preserve">WAO </t>
  </si>
  <si>
    <t>IDC</t>
  </si>
  <si>
    <t>LAND &amp; RIGHTS</t>
  </si>
  <si>
    <t>LAND &amp; LAND RIGHTS</t>
  </si>
  <si>
    <t>LAND AT KCR</t>
  </si>
  <si>
    <t>MICROWAVE TOWER</t>
  </si>
  <si>
    <t>ANTENNA TOWER</t>
  </si>
  <si>
    <t>SCADA COMMUNICATION EQUIPMENT</t>
  </si>
  <si>
    <t>SEQUENTIAL EVENT RECORDING SYSTEM</t>
  </si>
  <si>
    <t>BUILDINGS</t>
  </si>
  <si>
    <t>SERVICE BUILDINGS</t>
  </si>
  <si>
    <t>ROOFING</t>
  </si>
  <si>
    <t>OTHER STRUCTURES AND IMPROVEMENTS</t>
  </si>
  <si>
    <t>OIL STORAGE TANK</t>
  </si>
  <si>
    <t>HEATING</t>
  </si>
  <si>
    <t>STATION EQUIPMENT</t>
  </si>
  <si>
    <t>AUXILIARY POWER SYSTEM</t>
  </si>
  <si>
    <t>REMOTE TERMINAL UNIT</t>
  </si>
  <si>
    <t>SCADA</t>
  </si>
  <si>
    <t>UNITERRUPTABLE POWER SUPPLY</t>
  </si>
  <si>
    <t>MICROWAVE COMMUNICATION EQUIPMENT</t>
  </si>
  <si>
    <t>MICROWAVE SYSTEM</t>
  </si>
  <si>
    <t>BATTERY</t>
  </si>
  <si>
    <t>BATTERY CHARGER</t>
  </si>
  <si>
    <t>TELEPHONE COMMUNICATION EQUIPMENT</t>
  </si>
  <si>
    <t>PLANT COMM SYSTEM</t>
  </si>
  <si>
    <t>FIBER OPTIC EQUIPMENT</t>
  </si>
  <si>
    <t>FIBER OPTICS EQUIPMENT</t>
  </si>
  <si>
    <t>ADD DROP MULTIPLEXER</t>
  </si>
  <si>
    <t>CABLE TYPE OPGW</t>
  </si>
  <si>
    <t>CHANNEL BANK EQUIPMENT</t>
  </si>
  <si>
    <t>TELEPHONE SYSTEM</t>
  </si>
  <si>
    <t>WTO F</t>
  </si>
  <si>
    <t>ALCATEL 5620 FIBER TERMINAL EQUIP PART 2 OF 2</t>
  </si>
  <si>
    <t>TERMINATION EQUIPMENT</t>
  </si>
  <si>
    <t>POWER SYSTEM DISPATCH CONSOLES</t>
  </si>
  <si>
    <t>MICROWAVE ALARM SYSTEM MASTER STATION</t>
  </si>
  <si>
    <t>DATA STATION</t>
  </si>
  <si>
    <t>VHF RADIO COMPARATOR</t>
  </si>
  <si>
    <t>FIXED RADIO COMM EQUIPMENT</t>
  </si>
  <si>
    <t>TELEPHONE SYSTEM - 40 CHANNEL RECORDER &amp; CRASH KIT</t>
  </si>
  <si>
    <t>VOICE RECORDER SYSTEM</t>
  </si>
  <si>
    <t>AUX PWR SYS - BACKUP GENERATOR</t>
  </si>
  <si>
    <t>(5) DIGITAL VOICE RECORDERS - WTO F</t>
  </si>
  <si>
    <t>BATTERY BANK FOR UPS</t>
  </si>
  <si>
    <t>DIGITAL TRANS &amp; REC EQUIP</t>
  </si>
  <si>
    <t>FREQUENCY CONTROL ADDITIONS</t>
  </si>
  <si>
    <t>LOAD AND FREQUENCY CONTROL EQUIP</t>
  </si>
  <si>
    <t>WATERTOWN OPERATIONS BUILDING</t>
  </si>
  <si>
    <t>CONTROL BUILDING</t>
  </si>
  <si>
    <t>RESURFACE PARKING LOT AT WATERTOWN OPS OFFICE</t>
  </si>
  <si>
    <t>OFFICE BUILDING</t>
  </si>
  <si>
    <t>REPLACE ROOF AT WATERTOWN OPS OFFICE</t>
  </si>
  <si>
    <t>ROOF COVERING</t>
  </si>
  <si>
    <t>SYNC UNIT</t>
  </si>
  <si>
    <t>REMOTE STATION</t>
  </si>
  <si>
    <t>VEHICLE/STORAGE BUILDING</t>
  </si>
  <si>
    <t>GARAGE</t>
  </si>
  <si>
    <t>STEEL GATE</t>
  </si>
  <si>
    <t>AIR CONDITIONER</t>
  </si>
  <si>
    <t>WALLS</t>
  </si>
  <si>
    <t>ROOF REPL</t>
  </si>
  <si>
    <t>PSOO-WATER SYSTEM</t>
  </si>
  <si>
    <t>METER EQUIPMENT</t>
  </si>
  <si>
    <t>PWR SYS OPERATIONS OFFICE BUILDING (Part 1 of 2)</t>
  </si>
  <si>
    <t>STORAGE BUILDING</t>
  </si>
  <si>
    <t>WATERTOWN OPS BLDG EXPANSION (PSOO)</t>
  </si>
  <si>
    <t>WATERTOWN OPS BLDG EXPANSION</t>
  </si>
  <si>
    <t>L1+L2+L3+L13</t>
  </si>
  <si>
    <t>L7*L8</t>
  </si>
  <si>
    <t>No General Plant identified at this time, all plant is identified as either generation or transmission related</t>
  </si>
  <si>
    <t>Not Applicable</t>
  </si>
  <si>
    <t>SSCD</t>
  </si>
  <si>
    <t>RESERVES</t>
  </si>
  <si>
    <t>Fixed Charge Rate</t>
  </si>
  <si>
    <t>Corps Generation Net Plant Costs ($)</t>
  </si>
  <si>
    <t>Annual Corps Generation Cost  ($)</t>
  </si>
  <si>
    <t>L1*L2</t>
  </si>
  <si>
    <t>Plant Capacity (kW)</t>
  </si>
  <si>
    <t>Cost/kW ($/kW-Yr)</t>
  </si>
  <si>
    <t>L3/L4</t>
  </si>
  <si>
    <t>Prior Year True-Up</t>
  </si>
  <si>
    <t>Western's Maximum Load in WAUW Control Area (kW)</t>
  </si>
  <si>
    <t>Maximum Generation in WAUW Control Area (kW)</t>
  </si>
  <si>
    <t>Capacity used for Reserves (kW) -- 3% Load + 3% Gen</t>
  </si>
  <si>
    <t>L8*3% + L9*3%</t>
  </si>
  <si>
    <t>Annual Reserves Revenue Requirement</t>
  </si>
  <si>
    <t xml:space="preserve">Determination of Pick-Sloan Missouri Basin Program, Eastern Division  </t>
  </si>
  <si>
    <t>Generation Net Plant Costs include the total Corps Generation Plant-in-Service</t>
  </si>
  <si>
    <t>REGULATION and FREQUENCY RESPONSE</t>
  </si>
  <si>
    <t>Cost/kW ($/kW)</t>
  </si>
  <si>
    <t>Capacity Used for Regulation (kW)</t>
  </si>
  <si>
    <t>Regulation Revenue Requirement ($) - Capacity</t>
  </si>
  <si>
    <t>Regulation Revenue Requirement ($) - Purchases</t>
  </si>
  <si>
    <t xml:space="preserve">     Total Regulation Revenue Requirement ($)</t>
  </si>
  <si>
    <t xml:space="preserve">Determination of Pick-Sloan Missouri Basin Program, Eastern Division </t>
  </si>
  <si>
    <t xml:space="preserve">Corps Generation Net Plant is Total Electric Plant in Service less </t>
  </si>
  <si>
    <t>SSCD Revenue from non-Transmission Facilities</t>
  </si>
  <si>
    <t>Ratio for Line 12</t>
  </si>
  <si>
    <t>L11-L12</t>
  </si>
  <si>
    <t>Revenue Requirement for SSCD for Transmission Facilities</t>
  </si>
  <si>
    <t xml:space="preserve">(1) </t>
  </si>
  <si>
    <t xml:space="preserve">(3) </t>
  </si>
  <si>
    <t>Column 4 shows percentage of the Watertown Operations Center that was prorated to generation based on FTE associated with generation.</t>
  </si>
  <si>
    <t>Annual</t>
  </si>
  <si>
    <t>Transmission and Ancillary Services</t>
  </si>
  <si>
    <t xml:space="preserve"> Transmission and Ancillary Services List of Workpapers and Schedules</t>
  </si>
  <si>
    <t>Rate True-up Calculation</t>
  </si>
  <si>
    <t>True-up Summary</t>
  </si>
  <si>
    <t>Description</t>
  </si>
  <si>
    <t>Attachment AI Criteria</t>
  </si>
  <si>
    <t>Facility</t>
  </si>
  <si>
    <t>Specific Plant Included</t>
  </si>
  <si>
    <t>East or West</t>
  </si>
  <si>
    <t>Costs</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</si>
  <si>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</si>
  <si>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</si>
  <si>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</si>
  <si>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</si>
  <si>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</si>
  <si>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</si>
  <si>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</si>
  <si>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</si>
  <si>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</si>
  <si>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</si>
  <si>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</si>
  <si>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</si>
  <si>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</si>
  <si>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</si>
  <si>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</si>
  <si>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</si>
  <si>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</si>
  <si>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</si>
  <si>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</si>
  <si>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</si>
  <si>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</si>
  <si>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</si>
  <si>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</si>
  <si>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</si>
  <si>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</si>
  <si>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</si>
  <si>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</si>
  <si>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</si>
  <si>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</si>
  <si>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</si>
  <si>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</si>
  <si>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</si>
  <si>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</si>
  <si>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</si>
  <si>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</si>
  <si>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</si>
  <si>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</si>
  <si>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</si>
  <si>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</si>
  <si>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</si>
  <si>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</si>
  <si>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</si>
  <si>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</si>
  <si>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</si>
  <si>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</si>
  <si>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</si>
  <si>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</si>
  <si>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</si>
  <si>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386, 482, 582, 682, 782, 882, 986, 9182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</si>
  <si>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</si>
  <si>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</si>
  <si>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</si>
  <si>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</si>
  <si>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</si>
  <si>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</si>
  <si>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</si>
  <si>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 xml:space="preserve">station service KW21A, switch 2123 </t>
  </si>
  <si>
    <t>230/69-kV transformer KV1A</t>
  </si>
  <si>
    <t>69-kV switches 1351, 1355</t>
  </si>
  <si>
    <t>69-kV breaker 1152 and assoc. switches</t>
  </si>
  <si>
    <t>Sun River Electric Cooperative and NorthWestern MT</t>
  </si>
  <si>
    <t>BO</t>
  </si>
  <si>
    <t>Bonesteel</t>
  </si>
  <si>
    <t>115-kV breakers 664, 764 and assoc. switches</t>
  </si>
  <si>
    <t>capacitors PY6A, PY7A</t>
  </si>
  <si>
    <t>115-kV switches 46x, 26x</t>
  </si>
  <si>
    <t>station service KW1A, switch 1521</t>
  </si>
  <si>
    <t>Brookings</t>
  </si>
  <si>
    <t>One East River member and two municipal customers served through KY1A (Sioux Valley Energy, City of White, and City of Volga)</t>
  </si>
  <si>
    <t>115 kV switches 161, 361, 461</t>
  </si>
  <si>
    <t>69 kV breaker 1052 and assoc. switches</t>
  </si>
  <si>
    <t>One East River member and two municipal customers served through 1052 (Sioux Valley Energy, City of White, and City of Volga)</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</si>
  <si>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</si>
  <si>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</si>
  <si>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</si>
  <si>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</si>
  <si>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</si>
  <si>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</si>
  <si>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</si>
  <si>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</si>
  <si>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</si>
  <si>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</si>
  <si>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</si>
  <si>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</si>
  <si>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</si>
  <si>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</si>
  <si>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</si>
  <si>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</si>
  <si>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</si>
  <si>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</si>
  <si>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</si>
  <si>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</si>
  <si>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</si>
  <si>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</si>
  <si>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</si>
  <si>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</si>
  <si>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</si>
  <si>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</si>
  <si>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</si>
  <si>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</si>
  <si>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</si>
  <si>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</si>
  <si>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</si>
  <si>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</si>
  <si>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</si>
  <si>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</si>
  <si>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</si>
  <si>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</si>
  <si>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</si>
  <si>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</si>
  <si>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</si>
  <si>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</si>
  <si>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</si>
  <si>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</si>
  <si>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</si>
  <si>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</si>
  <si>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</si>
  <si>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</si>
  <si>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</si>
  <si>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</si>
  <si>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</si>
  <si>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</si>
  <si>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</si>
  <si>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</si>
  <si>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</si>
  <si>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</si>
  <si>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</si>
  <si>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</si>
  <si>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</si>
  <si>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</si>
  <si>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</si>
  <si>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</si>
  <si>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</si>
  <si>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</si>
  <si>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</si>
  <si>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</si>
  <si>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</si>
  <si>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</si>
  <si>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</si>
  <si>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</si>
  <si>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</si>
  <si>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</si>
  <si>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</si>
  <si>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</si>
  <si>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</si>
  <si>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</si>
  <si>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</si>
  <si>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</si>
  <si>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</si>
  <si>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</si>
  <si>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</si>
  <si>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</si>
  <si>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</si>
  <si>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</si>
  <si>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</si>
  <si>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</si>
  <si>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</si>
  <si>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</si>
  <si>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</si>
  <si>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</si>
  <si>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</si>
  <si>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</si>
  <si>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</si>
  <si>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</si>
  <si>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</si>
  <si>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</si>
  <si>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</si>
  <si>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</si>
  <si>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</si>
  <si>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</si>
  <si>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</si>
  <si>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</si>
  <si>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</si>
  <si>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</si>
  <si>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</si>
  <si>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</si>
  <si>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</si>
  <si>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</si>
  <si>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</si>
  <si>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</si>
  <si>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</si>
  <si>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</si>
  <si>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</si>
  <si>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</si>
  <si>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</si>
  <si>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</si>
  <si>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</si>
  <si>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</si>
  <si>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</si>
  <si>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</si>
  <si>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</si>
  <si>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</si>
  <si>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</si>
  <si>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</si>
  <si>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</si>
  <si>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</si>
  <si>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</si>
  <si>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</si>
  <si>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</si>
  <si>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</si>
  <si>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</si>
  <si>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</si>
  <si>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</si>
  <si>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</si>
  <si>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</si>
  <si>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</si>
  <si>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</si>
  <si>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</si>
  <si>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</si>
  <si>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</si>
  <si>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</si>
  <si>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</si>
  <si>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</si>
  <si>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</si>
  <si>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</si>
  <si>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</si>
  <si>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</si>
  <si>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</si>
  <si>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</si>
  <si>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</si>
  <si>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</si>
  <si>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</si>
  <si>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</si>
  <si>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</si>
  <si>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</si>
  <si>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</si>
  <si>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</si>
  <si>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</si>
  <si>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</si>
  <si>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</si>
  <si>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</si>
  <si>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</si>
  <si>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</si>
  <si>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</si>
  <si>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</si>
  <si>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</si>
  <si>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</si>
  <si>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</si>
  <si>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</si>
  <si>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</si>
  <si>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</si>
  <si>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</si>
  <si>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</si>
  <si>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</si>
  <si>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</si>
  <si>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</si>
  <si>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</si>
  <si>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</si>
  <si>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</si>
  <si>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</si>
  <si>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station service KW1A and switch 521</t>
  </si>
  <si>
    <t>Groton</t>
  </si>
  <si>
    <t>115-kV  breakers 262, 362, 462, 562, 862, 966 and assoc. switches / switches 16x</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</si>
  <si>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</si>
  <si>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</si>
  <si>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</si>
  <si>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</si>
  <si>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</si>
  <si>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</si>
  <si>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</si>
  <si>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</si>
  <si>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</si>
  <si>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</si>
  <si>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</si>
  <si>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</si>
  <si>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</si>
  <si>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</si>
  <si>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Hilken</t>
  </si>
  <si>
    <t>230-kV breakers 186, 386, 482 and assoc. switches</t>
  </si>
  <si>
    <t>Huron</t>
  </si>
  <si>
    <t>230-kV breakers 582, 586, 782, 786, 882 and assoc. switches, switches 181, 281</t>
  </si>
  <si>
    <t>230/115-kV transformers KV1A</t>
  </si>
  <si>
    <t>reactors KW1A, KW3A, breakers 132, 332 and assoc. switches</t>
  </si>
  <si>
    <t>station service KW1C, KW1D and assoc. switches</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</si>
  <si>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</si>
  <si>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</si>
  <si>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</si>
  <si>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</si>
  <si>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</si>
  <si>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</si>
  <si>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</si>
  <si>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</si>
  <si>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</si>
  <si>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</si>
  <si>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</si>
  <si>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</si>
  <si>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</si>
  <si>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</si>
  <si>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</si>
  <si>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</si>
  <si>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</si>
  <si>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115/69-kV transformer KY1A, switches 362, 363</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</si>
  <si>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</si>
  <si>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</si>
  <si>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</si>
  <si>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</si>
  <si>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</si>
  <si>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</si>
  <si>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</si>
  <si>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</si>
  <si>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</si>
  <si>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</si>
  <si>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</si>
  <si>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</si>
  <si>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</si>
  <si>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</si>
  <si>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station service KW1A and switch 2021</t>
  </si>
  <si>
    <t>Maurine</t>
  </si>
  <si>
    <t>230-kV breakers 182, 282, 582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</si>
  <si>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</si>
  <si>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</si>
  <si>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</si>
  <si>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</si>
  <si>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</si>
  <si>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</si>
  <si>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</si>
  <si>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</si>
  <si>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</si>
  <si>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</si>
  <si>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</si>
  <si>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</si>
  <si>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</si>
  <si>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</si>
  <si>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station service K2, K1 and assoc switches</t>
  </si>
  <si>
    <t>13.8-kV SS to Miles City DC Converter Station</t>
  </si>
  <si>
    <t>Miles City 3</t>
  </si>
  <si>
    <t>All Facilities and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</si>
  <si>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</si>
  <si>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</si>
  <si>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</si>
  <si>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</si>
  <si>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</si>
  <si>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</si>
  <si>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</si>
  <si>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</si>
  <si>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</si>
  <si>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</si>
  <si>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</si>
  <si>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</si>
  <si>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</si>
  <si>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</si>
  <si>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</si>
  <si>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</si>
  <si>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</si>
  <si>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</si>
  <si>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</si>
  <si>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</si>
  <si>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</si>
  <si>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</si>
  <si>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</si>
  <si>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switches 116x, 1262, 136x</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</si>
  <si>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</si>
  <si>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</si>
  <si>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</si>
  <si>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</si>
  <si>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</si>
  <si>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</si>
  <si>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</si>
  <si>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PY</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</si>
  <si>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</si>
  <si>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</si>
  <si>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</si>
  <si>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</si>
  <si>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</si>
  <si>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</si>
  <si>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</si>
  <si>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</si>
  <si>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</si>
  <si>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</si>
  <si>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</si>
  <si>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</si>
  <si>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</si>
  <si>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</si>
  <si>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</si>
  <si>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</si>
  <si>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</si>
  <si>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Rolla</t>
  </si>
  <si>
    <t>115-kV breaker 1162 and assoc switches</t>
  </si>
  <si>
    <t>Rudyard</t>
  </si>
  <si>
    <t>115-kV switches 260, 261, 160, 161</t>
  </si>
  <si>
    <t>station service KW1A, switches 521, 523</t>
  </si>
  <si>
    <t>Rugby</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</si>
  <si>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</si>
  <si>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</si>
  <si>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</si>
  <si>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</si>
  <si>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</si>
  <si>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</si>
  <si>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</si>
  <si>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</si>
  <si>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</si>
  <si>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</si>
  <si>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</si>
  <si>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</si>
  <si>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</si>
  <si>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</si>
  <si>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</si>
  <si>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</si>
  <si>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</si>
  <si>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</si>
  <si>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</si>
  <si>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</si>
  <si>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</si>
  <si>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</si>
  <si>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</si>
  <si>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</si>
  <si>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</si>
  <si>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</si>
  <si>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</si>
  <si>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</si>
  <si>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</si>
  <si>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t>Spencer</t>
  </si>
  <si>
    <t>to NIPCO and Wisdom Sub</t>
  </si>
  <si>
    <t>Stegall</t>
  </si>
  <si>
    <t>Reactor KV3A, breaker 384 and assoc. switches</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</si>
  <si>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</si>
  <si>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</si>
  <si>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</si>
  <si>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</si>
  <si>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</si>
  <si>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</si>
  <si>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</si>
  <si>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</si>
  <si>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</si>
  <si>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Tyndall</t>
  </si>
  <si>
    <t>115-kV switches 16x, 26x, 361</t>
  </si>
  <si>
    <t>Station Service KZ1A and switches 351 and 751</t>
  </si>
  <si>
    <t>Utica Junction</t>
  </si>
  <si>
    <t>230-kV breakers 382, 486, 582,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</si>
  <si>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</si>
  <si>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</si>
  <si>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</si>
  <si>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</si>
  <si>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</si>
  <si>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</si>
  <si>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</si>
  <si>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</si>
  <si>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</si>
  <si>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Wall</t>
  </si>
  <si>
    <t>115-kV switches 16x, 26x, 36x, 461</t>
  </si>
  <si>
    <t>station service KW1B, switch 821</t>
  </si>
  <si>
    <t>Ward</t>
  </si>
  <si>
    <t>230-kV breakers 182, 282, 286 and assoc switches</t>
  </si>
  <si>
    <t>Washburn</t>
  </si>
  <si>
    <t>230-kV switches 18x, 28x</t>
  </si>
  <si>
    <t>station service KX3A, KW9A and assoc switches</t>
  </si>
  <si>
    <t>Watertown</t>
  </si>
  <si>
    <t>230-kV breakers 182, 282, 382, 482, 582, 682, 882, 984, 1182, 9182 and assoc switches</t>
  </si>
  <si>
    <t>reactor KV9A</t>
  </si>
  <si>
    <t>capacitor PV9A</t>
  </si>
  <si>
    <t>230/115-kV transformers KV2A, KV8A</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</si>
  <si>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</si>
  <si>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</si>
  <si>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</si>
  <si>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</si>
  <si>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</si>
  <si>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</si>
  <si>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</si>
  <si>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</si>
  <si>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</si>
  <si>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</si>
  <si>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</si>
  <si>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</si>
  <si>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</si>
  <si>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</si>
  <si>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</si>
  <si>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</si>
  <si>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</si>
  <si>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</si>
  <si>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</si>
  <si>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</si>
  <si>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</si>
  <si>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</si>
  <si>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</si>
  <si>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</si>
  <si>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</si>
  <si>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</si>
  <si>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</si>
  <si>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</si>
  <si>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</si>
  <si>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</si>
  <si>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</si>
  <si>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</si>
  <si>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</si>
  <si>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</si>
  <si>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</si>
  <si>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</si>
  <si>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</si>
  <si>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</si>
  <si>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</si>
  <si>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</si>
  <si>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</si>
  <si>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</si>
  <si>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</si>
  <si>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</si>
  <si>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</si>
  <si>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</si>
  <si>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</si>
  <si>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</si>
  <si>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</si>
  <si>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</si>
  <si>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</si>
  <si>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</si>
  <si>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</si>
  <si>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CANYON FERRY TAP</t>
  </si>
  <si>
    <t>CHARLIE CREEK - BEULAH</t>
  </si>
  <si>
    <t>230-kV</t>
  </si>
  <si>
    <t>FORT PECK-DAWSON #1</t>
  </si>
  <si>
    <t>FORT PECK-DAWSON #2</t>
  </si>
  <si>
    <t>161-kV</t>
  </si>
  <si>
    <t>69-kV</t>
  </si>
  <si>
    <t>HAVRE-VERONA</t>
  </si>
  <si>
    <t>115-kV</t>
  </si>
  <si>
    <t>RAPID CITY-DRY CREEK</t>
  </si>
  <si>
    <t>VERONA GREAT FALLS</t>
  </si>
  <si>
    <t>YELLOWTAIL-YELLOWTAIL (PACE)</t>
  </si>
  <si>
    <t>Taps</t>
  </si>
  <si>
    <t>Charlie Creek</t>
  </si>
  <si>
    <t>345-kV breakers 4096, 4192 and assoc switches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</si>
  <si>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</si>
  <si>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</si>
  <si>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</si>
  <si>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</si>
  <si>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</si>
  <si>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</si>
  <si>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</si>
  <si>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</si>
  <si>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</si>
  <si>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</si>
  <si>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</si>
  <si>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</si>
  <si>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</si>
  <si>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</si>
  <si>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</si>
  <si>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</si>
  <si>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</si>
  <si>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</si>
  <si>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</si>
  <si>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</si>
  <si>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meters for NWMT NITS from Havre</t>
  </si>
  <si>
    <t>microwave, RTU</t>
  </si>
  <si>
    <t>Bison</t>
  </si>
  <si>
    <t>microwave alarm system</t>
  </si>
  <si>
    <t>meters for Central MT (Basin NITS)</t>
  </si>
  <si>
    <t>communications equipment</t>
  </si>
  <si>
    <t>microwave, RTU, SCADA</t>
  </si>
  <si>
    <t>fiber, microwave, SCADA</t>
  </si>
  <si>
    <t>radio, quarters, fence</t>
  </si>
  <si>
    <t>E/W</t>
  </si>
  <si>
    <t>Fort Randall</t>
  </si>
  <si>
    <t>Multiplexer, Termination Equiment</t>
  </si>
  <si>
    <t>RTU, PTs</t>
  </si>
  <si>
    <t>meters NWMT NITS from Great Falls</t>
  </si>
  <si>
    <t>RTU, SCADA</t>
  </si>
  <si>
    <t>Mandan</t>
  </si>
  <si>
    <t>multiplexer</t>
  </si>
  <si>
    <t>MILES CITY SUB (BEFP)</t>
  </si>
  <si>
    <t>antenna, meters for MDU</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</si>
  <si>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</si>
  <si>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</si>
  <si>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</si>
  <si>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</si>
  <si>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</si>
  <si>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</si>
  <si>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</si>
  <si>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</si>
  <si>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</si>
  <si>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</si>
  <si>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YT</t>
  </si>
  <si>
    <t>230-kV breakers 182, 282, 9182 and assoc switches</t>
  </si>
  <si>
    <t>Corps Switchyard Facilities</t>
  </si>
  <si>
    <t>Big Bend</t>
  </si>
  <si>
    <t>Fort Peck</t>
  </si>
  <si>
    <t>69-kV breaker 1142 and assoc. switches</t>
  </si>
  <si>
    <t>230-kV breaker 1382 and associated switches</t>
  </si>
  <si>
    <t>230/115-kV transformer</t>
  </si>
  <si>
    <t>Garrison</t>
  </si>
  <si>
    <t>Gavins Point</t>
  </si>
  <si>
    <t>115-kV breakers 462, 562, 662, 762, 862 and assoc switches</t>
  </si>
  <si>
    <t>Oahe</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</si>
  <si>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</si>
  <si>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</si>
  <si>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</si>
  <si>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</si>
  <si>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</si>
  <si>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</si>
  <si>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</si>
  <si>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</si>
  <si>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t>Column1</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</si>
  <si>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</si>
  <si>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</si>
  <si>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</si>
  <si>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</si>
  <si>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</si>
  <si>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</si>
  <si>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</si>
  <si>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</si>
  <si>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</si>
  <si>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</si>
  <si>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</si>
  <si>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</si>
  <si>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</si>
  <si>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</si>
  <si>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</si>
  <si>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</si>
  <si>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</si>
  <si>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</si>
  <si>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</si>
  <si>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</si>
  <si>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</si>
  <si>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</si>
  <si>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</si>
  <si>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</si>
  <si>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</si>
  <si>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</si>
  <si>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</si>
  <si>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</si>
  <si>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</si>
  <si>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</si>
  <si>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</si>
  <si>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</si>
  <si>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</si>
  <si>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</si>
  <si>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</si>
  <si>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</si>
  <si>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</si>
  <si>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</si>
  <si>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</si>
  <si>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</si>
  <si>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</si>
  <si>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</si>
  <si>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</si>
  <si>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</si>
  <si>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</si>
  <si>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</si>
  <si>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</si>
  <si>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</si>
  <si>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</si>
  <si>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</si>
  <si>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</si>
  <si>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</si>
  <si>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</si>
  <si>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</si>
  <si>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</si>
  <si>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</si>
  <si>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</si>
  <si>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</si>
  <si>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</si>
  <si>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</si>
  <si>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</si>
  <si>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</si>
  <si>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</si>
  <si>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</si>
  <si>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</si>
  <si>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</si>
  <si>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</si>
  <si>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</si>
  <si>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</si>
  <si>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</si>
  <si>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</si>
  <si>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</si>
  <si>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</si>
  <si>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</si>
  <si>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</si>
  <si>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</si>
  <si>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</si>
  <si>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</si>
  <si>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</si>
  <si>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</si>
  <si>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</si>
  <si>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</si>
  <si>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</si>
  <si>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</si>
  <si>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</si>
  <si>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</si>
  <si>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</si>
  <si>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</si>
  <si>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</si>
  <si>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</si>
  <si>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</si>
  <si>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</si>
  <si>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</si>
  <si>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 3262 and assoc. switches</t>
  </si>
  <si>
    <t>115-kV Disconnect Switch 463</t>
  </si>
  <si>
    <t>12.47-kV breaker 422 and asswoc. Switches</t>
  </si>
  <si>
    <t>12.5-kV breaker 822 and assoc. switches</t>
  </si>
  <si>
    <t>Hill County</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</si>
  <si>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</si>
  <si>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</si>
  <si>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</si>
  <si>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</si>
  <si>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</si>
  <si>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</si>
  <si>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</si>
  <si>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</si>
  <si>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</si>
  <si>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</si>
  <si>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</si>
  <si>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</si>
  <si>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</si>
  <si>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</si>
  <si>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</si>
  <si>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</si>
  <si>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</si>
  <si>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</si>
  <si>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69/12.5-kV transformer KZ3A and switch 645</t>
  </si>
  <si>
    <t>12.5-kV breaker 624 and assoc. switches</t>
  </si>
  <si>
    <t>115/34.5-kV tranformer KY1A and interrupter 962</t>
  </si>
  <si>
    <t>34.5-kV breaker 1242 and assoc. switches</t>
  </si>
  <si>
    <t>LaCreek</t>
  </si>
  <si>
    <t>115/69-kV transformer KY1A and switches 1263, 1265</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</si>
  <si>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</si>
  <si>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</si>
  <si>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</si>
  <si>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</si>
  <si>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</si>
  <si>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</si>
  <si>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</si>
  <si>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</si>
  <si>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</si>
  <si>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</si>
  <si>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</si>
  <si>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</si>
  <si>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</si>
  <si>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</si>
  <si>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</si>
  <si>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</si>
  <si>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</si>
  <si>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</si>
  <si>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</si>
  <si>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</si>
  <si>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</si>
  <si>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</si>
  <si>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</si>
  <si>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</si>
  <si>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</si>
  <si>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</si>
  <si>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</si>
  <si>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</si>
  <si>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</si>
  <si>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</si>
  <si>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</si>
  <si>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</si>
  <si>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</si>
  <si>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</si>
  <si>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</si>
  <si>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</si>
  <si>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</si>
  <si>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</si>
  <si>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</si>
  <si>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</si>
  <si>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</si>
  <si>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</si>
  <si>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</si>
  <si>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</si>
  <si>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</si>
  <si>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</si>
  <si>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</si>
  <si>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</si>
  <si>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</si>
  <si>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</si>
  <si>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</si>
  <si>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230-kV Switch 889</t>
  </si>
  <si>
    <t>230/41.8-kV transformer KU1A and breaker 282</t>
  </si>
  <si>
    <t>41.8-kV breaker 342 and assoc. switches</t>
  </si>
  <si>
    <t>Otter Tail - emergency tie</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</si>
  <si>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</si>
  <si>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</si>
  <si>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</si>
  <si>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</si>
  <si>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</si>
  <si>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</si>
  <si>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</si>
  <si>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</si>
  <si>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</si>
  <si>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</si>
  <si>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</si>
  <si>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</si>
  <si>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</si>
  <si>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</si>
  <si>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</si>
  <si>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</si>
  <si>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</si>
  <si>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</si>
  <si>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</si>
  <si>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</si>
  <si>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</si>
  <si>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</si>
  <si>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</si>
  <si>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</si>
  <si>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</si>
  <si>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LCS</t>
  </si>
  <si>
    <t xml:space="preserve"> WESTERN-UGP  1/</t>
  </si>
  <si>
    <t>WESTERN-RMR  2/</t>
  </si>
  <si>
    <t>Total Revenue Credits</t>
  </si>
  <si>
    <t>Prior Year True Up</t>
  </si>
  <si>
    <t>SNAKE CREEK PUMP SUBSTATION</t>
  </si>
  <si>
    <t>TERRY PUMPING PLANT SWITCH</t>
  </si>
  <si>
    <t>CB</t>
  </si>
  <si>
    <t>GRP</t>
  </si>
  <si>
    <t>HBN</t>
  </si>
  <si>
    <t>PLANT NOT CLASSIFIED</t>
  </si>
  <si>
    <t>Column 4 shows 31.70% of the Communication Facilities that were prorated to generation based on the number of communication channels dedicated to generation.</t>
  </si>
  <si>
    <t>Group in FERC docket ER15-1775-000.</t>
  </si>
  <si>
    <t>AI Working Group in FERC docket ER15-1775-000.</t>
  </si>
  <si>
    <t>YELLOWTAIL SWITCHYARD-YELLOWTAIL (PPL)</t>
  </si>
  <si>
    <t>YELLOWTAIL (PPL)</t>
  </si>
  <si>
    <t>YELLOWTAIL SWITCHYARD (YT)</t>
  </si>
  <si>
    <t>GRAND PRAIRIE SUBSTATION /1</t>
  </si>
  <si>
    <t>CAMPBELL COUNTY SWITCHING STATION /1</t>
  </si>
  <si>
    <t>HEBRON SUBSTATION /1</t>
  </si>
  <si>
    <t>1/ Plant balance does not include customer liability for network upgrades.  Investment is only brought</t>
  </si>
  <si>
    <t>SH SH2</t>
  </si>
  <si>
    <t>CHI F</t>
  </si>
  <si>
    <t>WK C</t>
  </si>
  <si>
    <t>YT P</t>
  </si>
  <si>
    <t>NU SG</t>
  </si>
  <si>
    <t>SG</t>
  </si>
  <si>
    <t>SG WY</t>
  </si>
  <si>
    <t>WY</t>
  </si>
  <si>
    <t xml:space="preserve">YT PY </t>
  </si>
  <si>
    <t xml:space="preserve">PY </t>
  </si>
  <si>
    <t xml:space="preserve">YT P </t>
  </si>
  <si>
    <t>RC DRY</t>
  </si>
  <si>
    <t>MINGUSVILLE SUBSTATION</t>
  </si>
  <si>
    <t>MGV</t>
  </si>
  <si>
    <t>GWINNER COMMUNICATIONS SITE</t>
  </si>
  <si>
    <t>GWN</t>
  </si>
  <si>
    <t>FY Balances</t>
  </si>
  <si>
    <t>FY Interest</t>
  </si>
  <si>
    <t>ANTENNA</t>
  </si>
  <si>
    <t>SIDEWALKS</t>
  </si>
  <si>
    <t>BAO</t>
  </si>
  <si>
    <t>BILLINGS AREA OFFICE</t>
  </si>
  <si>
    <t>station service KW1A, KZ1A and assoc. switches</t>
  </si>
  <si>
    <t>Campbell County</t>
  </si>
  <si>
    <t>230-kV breakers 182, 282, 382 and assoc. switches</t>
  </si>
  <si>
    <t>69-kV breakers 152, 252, 452 and assoc. switches</t>
  </si>
  <si>
    <t>Grande Prairie</t>
  </si>
  <si>
    <t>345-kV breakers 196, 292, 396, 298, 198 and assoc. switches</t>
  </si>
  <si>
    <t>reactors KU1A and KU2A</t>
  </si>
  <si>
    <t>862 due to Groton Synch Condensor</t>
  </si>
  <si>
    <t>69-kV breakers 1152 and 1352 and assoc. switches</t>
  </si>
  <si>
    <t>East River 2 customers</t>
  </si>
  <si>
    <t>Groton South</t>
  </si>
  <si>
    <t>115-kV breakers 1162, 1262, 1266, 1362, 1462, 1466, 1562, 1662, 1666, 2062, 2066 and assoc. switches</t>
  </si>
  <si>
    <t>Hebron</t>
  </si>
  <si>
    <t>230-kV breakers 586, 682, 882, 986 and assoc switches</t>
  </si>
  <si>
    <t>115-kV breakers 1062, 1162, 1362, 1962 and assoc. switches, switches 126x, 1761</t>
  </si>
  <si>
    <t>Mingusville</t>
  </si>
  <si>
    <t>230-kV breakers 182, 282, 382 and assoc. switches, and line disconnects</t>
  </si>
  <si>
    <t>station service transformer KV10A and station service equipment</t>
  </si>
  <si>
    <t>115-kV breakers 1262, 1362, 1462, 1566, 1662, 1762, 1864, 1966 and assoc switches</t>
  </si>
  <si>
    <t>161-kV breakers 162,462,562, 662 and assoc switches</t>
  </si>
  <si>
    <t>Reactor PY6A</t>
  </si>
  <si>
    <t>161/69-kV transformer KY1A</t>
  </si>
  <si>
    <t>69-kV breakers 1142, 1242, 1342, 1442, 1542 and assoc switches</t>
  </si>
  <si>
    <t>station service KW10A and assoc switches</t>
  </si>
  <si>
    <t>230 kV main and transfer bus, breaker 382 and assoc switches</t>
  </si>
  <si>
    <t>Towner</t>
  </si>
  <si>
    <t>VT Hanlon</t>
  </si>
  <si>
    <t>Wanblee Tap</t>
  </si>
  <si>
    <t>115-kV interrupters 162 and 262 and assoc. switches</t>
  </si>
  <si>
    <t>Zero costs, customer funded</t>
  </si>
  <si>
    <t>new 230-kV breaker in ring bus</t>
  </si>
  <si>
    <t>115-kV breakers 862, 1162, 1262, 1362, 1562, 1762, 1862, 1962, 8162 and assoc switches</t>
  </si>
  <si>
    <t>230-kV Bay Addition</t>
  </si>
  <si>
    <t xml:space="preserve">MDU </t>
  </si>
  <si>
    <t>115-kV breakers 2162, 2266, 2362, 2466, 2562, 2662, 2666 and assoc switches</t>
  </si>
  <si>
    <t>Reactors KW1C and KW2C, breakers 1224 and 2224 and switches 1223 and 2223</t>
  </si>
  <si>
    <t>230-kV, 110 MW Capacity Rights on RMR Line</t>
  </si>
  <si>
    <t>SAVAGE</t>
  </si>
  <si>
    <t>115/41.8-kV transformer KY1A and breaker 1162 and assoc. switches</t>
  </si>
  <si>
    <t>2017 LT Debt</t>
  </si>
  <si>
    <t>SCADA SYSTEM HISTORIAN SOFTWARE</t>
  </si>
  <si>
    <t>ADD DROP MULTIPLEXER (PART 2 OF 2)</t>
  </si>
  <si>
    <t>ADD DROP MULTIPLEXER (PART 1 OF 2)</t>
  </si>
  <si>
    <t>MULTIPLEXER EXPANDED CAPABILITY ASSET 166934 - PROJECT WTO 0025C (PART 2)</t>
  </si>
  <si>
    <t>IDC - ASSET 166934 MULTIPLEXER EXPANSION (PART 2)</t>
  </si>
  <si>
    <t>ALCATEL 5620 FIBER TERMINAL EQUIP (PART 1 OF 2)</t>
  </si>
  <si>
    <t>IDC - REPLACEMENTS</t>
  </si>
  <si>
    <t>IDC - ADDITIONS</t>
  </si>
  <si>
    <t>TRANS %</t>
  </si>
  <si>
    <t>SSCD %</t>
  </si>
  <si>
    <t>2017 ROOS BALANCE</t>
  </si>
  <si>
    <t>WATERTOWN OPERATIONS CENTER</t>
  </si>
  <si>
    <t xml:space="preserve">WATERTOWN OPERATIONS CENTER (BFPS) </t>
  </si>
  <si>
    <t>ADDITIONAL:</t>
  </si>
  <si>
    <t>ATTACHMENT AI ADJUSTMENTS ($)</t>
  </si>
  <si>
    <t>GENERATION ADJUSTMENTS ($)</t>
  </si>
  <si>
    <t>TRANS TOTAL ($)</t>
  </si>
  <si>
    <t>SSCD TOTAL ($)</t>
  </si>
  <si>
    <t>FID COST DETAIL ($)</t>
  </si>
  <si>
    <t>less Depreciation Reserve</t>
  </si>
  <si>
    <t>Cost of Purchases Required to Regulate for Intermittent Resources</t>
  </si>
  <si>
    <t>less total Corps Generation Plant depreciation</t>
  </si>
  <si>
    <t>Northwest Power Pool Reserve Sharing System</t>
  </si>
  <si>
    <t>into plant balance as WAPA incurs expense (e.g. if transmission credits are provided to customer)</t>
  </si>
  <si>
    <r>
      <t>115-kV breakers 266,</t>
    </r>
    <r>
      <rPr>
        <sz val="11"/>
        <color rgb="FFFF0000"/>
        <rFont val="Calibri"/>
        <family val="2"/>
      </rPr>
      <t xml:space="preserve"> </t>
    </r>
    <r>
      <rPr>
        <sz val="11"/>
        <color theme="1"/>
        <rFont val="Calibri"/>
        <family val="2"/>
        <scheme val="minor"/>
      </rPr>
      <t>464, 562, 662 and assoc. switches</t>
    </r>
  </si>
  <si>
    <r>
      <t>115-kV breakers 162, 262, 362, 462, 562, 662</t>
    </r>
    <r>
      <rPr>
        <sz val="11"/>
        <rFont val="Calibri"/>
        <family val="2"/>
      </rPr>
      <t xml:space="preserve">, 762, </t>
    </r>
    <r>
      <rPr>
        <sz val="11"/>
        <color theme="1"/>
        <rFont val="Calibri"/>
        <family val="2"/>
        <scheme val="minor"/>
      </rPr>
      <t>966, 7162 and assoc switches</t>
    </r>
  </si>
  <si>
    <t>230-kV interrupters 1083, 7089, 4083 and assoc. switches</t>
  </si>
  <si>
    <t>161-kV breaker 762</t>
  </si>
  <si>
    <t>115-kV breakers 772, 776, 1572, 1576, 1672, 1676 and assoc switches</t>
  </si>
  <si>
    <t>161/115-kV transformer KV7A</t>
  </si>
  <si>
    <t>230-kV breakers 1182, 1186, 1282, 1286, 1382, 1386, 1982, 1986, 2182, 2186, 2282, 2286, 2382, 2386, 2482, 2486, 2682, 2686 and assoc breakers</t>
  </si>
  <si>
    <t>2 - 230/115-kV transformers</t>
  </si>
  <si>
    <t>115-kV breakers 2062, 2066, 2162, 2166, 2262, 2266, 2362, 2366, 2462, 2466, 2562, 2566, 2662, 2666, 2769 and assoc switches</t>
  </si>
  <si>
    <t>230-kV breakers 3389, 3482, 3486, 3682, 3686, 3782, 3786, 3882, 3886, 3982, 3986, 4082, 4086, 4182, 4186 and assoc switches, switches 33xx</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</si>
  <si>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</si>
  <si>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230-kV interrupters 1081, 2081, 3081, 4081 and assoc switches</t>
  </si>
  <si>
    <t>230-kV interrupters 481, 581 and assoc switches</t>
  </si>
  <si>
    <t>115-kV switches 861, 961</t>
  </si>
  <si>
    <t>230-kV breakers 182, 282, 382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</si>
  <si>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</si>
  <si>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</si>
  <si>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1/  Transmission Plant-in-Service Worksheet, C2L495</t>
  </si>
  <si>
    <t>5/  Transmission Plant-in-Service Worksheet, C4L486</t>
  </si>
  <si>
    <t>4/  Transmission Plant-in-Service Worksheet, C4L495</t>
  </si>
  <si>
    <t>6/  Transmission Plant-in-Service Worksheet, C4L493</t>
  </si>
  <si>
    <t>7/  Transmission Plant-in-Service Worksheet, C3L495</t>
  </si>
  <si>
    <t>January - December 2018 Estimate</t>
  </si>
  <si>
    <t>January - December 2018 Actual</t>
  </si>
  <si>
    <t>Western-UGP 2018 Difference</t>
  </si>
  <si>
    <t>2018 Net Revenue Requirement</t>
  </si>
  <si>
    <t xml:space="preserve">  2018 Network Revenue (estimated/received)</t>
  </si>
  <si>
    <t xml:space="preserve">2018 Actual SSCD Revenue Requirement </t>
  </si>
  <si>
    <t>2018 Revenue received for SSCD service</t>
  </si>
  <si>
    <t>2018 Actual Regulation &amp; Frequency Response Revenue Requirement</t>
  </si>
  <si>
    <t>2018 Revenue received (Western-UGP Ancillary Billing Summary)</t>
  </si>
  <si>
    <t>2018 Actual Reserves Revenue Requirement</t>
  </si>
  <si>
    <t>1/ Short-Term Firm Point-to-Point Transmission Service Credit reduced by Z2 claw-back total for 2018</t>
  </si>
  <si>
    <t>12 Months Ending 09/30/2018 ACTUAL</t>
  </si>
  <si>
    <t>FY2018 ACT SPP TOTALS ($)</t>
  </si>
  <si>
    <t>Annual Corps Revenue Requirement for 2018 Rate</t>
  </si>
  <si>
    <t>Annual Generation Revenue Requirement for 2018 Rate</t>
  </si>
  <si>
    <t>WAUW load monthly peaks for 2018</t>
  </si>
  <si>
    <t>2018 SPP TRUE UP SUMMARY</t>
  </si>
  <si>
    <t xml:space="preserve">2018 SPP  DETAIL: </t>
  </si>
  <si>
    <t>FAC</t>
  </si>
  <si>
    <t>FARGO MICROWAVE</t>
  </si>
  <si>
    <t>FPI</t>
  </si>
  <si>
    <t>FORT PIERRE POLE YARD</t>
  </si>
  <si>
    <t>GSO</t>
  </si>
  <si>
    <t>GROTON SOUTH SUBSTATION</t>
  </si>
  <si>
    <t>TN</t>
  </si>
  <si>
    <t>TOWNER</t>
  </si>
  <si>
    <t>FORT PECK</t>
  </si>
  <si>
    <t>GAVINS POINT</t>
  </si>
  <si>
    <t>115-kV breakers 1166, 1562, 1462, 1762, 1362, 1861, 1932 and assoc. switches</t>
  </si>
  <si>
    <t>capacitors PY11A and PY20A, breakers 1164, 2064</t>
  </si>
  <si>
    <t>115-kV breakers 262, 362, 462, 662 and assoc. switches</t>
  </si>
  <si>
    <t>115-kV breakers 2166, 2262, 2362 and assoc switches</t>
  </si>
  <si>
    <t>station service KY1A1</t>
  </si>
  <si>
    <t>230-kV breakers 382, 482, 582, 682, 686 and assoc switches</t>
  </si>
  <si>
    <t>Reactor KW70A and breaker 7024</t>
  </si>
  <si>
    <t>69-kV breaker 5053 and assoc switch</t>
  </si>
  <si>
    <t>station service KW60A, KW24A, breaker 7423 and assoc switches</t>
  </si>
  <si>
    <t>115-kV breakers 962, 966, 1562, 1556, 1662, 1666, 1762, 1766, 1862, 1866, 1962, 1966 and assoc switches</t>
  </si>
  <si>
    <t>230-kV breakers 2182, 2282, 2286, 2382, 2482, 2486, 2582, 2682, 2782, 2982, 3082 and assoc switches</t>
  </si>
  <si>
    <t>115-kV breakers 1262, 1362, 1386, 1462, 1562, 1566 and assoc switches</t>
  </si>
  <si>
    <t>Interrupter 1862 and assoc. switches</t>
  </si>
  <si>
    <t>115-kV switch 960</t>
  </si>
  <si>
    <t>230-kV switches 1180, 1280, 1380</t>
  </si>
  <si>
    <t>115-kV breakers 462, 561, 1762 and assoc switches</t>
  </si>
  <si>
    <t>13.8-kV breaker 2722 and assoc switches</t>
  </si>
  <si>
    <t>BUILDING</t>
  </si>
  <si>
    <t>Added new Substation, customer funded GI Interconnection, no plant costs yet, 230 breakers 182, 282, 382 and assoc. switches</t>
  </si>
  <si>
    <t>Added existing 69 breaker 452 and assoc. switches (Inadvertently left out of list previously.  Costs previously included)</t>
  </si>
  <si>
    <t>Added new Substation, customer funded GI Interconnection, no plant costs yet, 345 breakers 196, 292, 396, 298, 198 and assoc. switches, and reactors KU1A and KU2A</t>
  </si>
  <si>
    <t>Added existing 115 breaker 1352 and assoc. switches, which now qualifies under AI (East River delivery – 2 customers)</t>
  </si>
  <si>
    <r>
      <t>Added new Substation (pre-SPP join requirement for 2</t>
    </r>
    <r>
      <rPr>
        <vertAlign val="superscript"/>
        <sz val="11"/>
        <color theme="1"/>
        <rFont val="Calibri"/>
        <family val="2"/>
        <scheme val="minor"/>
      </rPr>
      <t>nd</t>
    </r>
    <r>
      <rPr>
        <sz val="11"/>
        <color theme="1"/>
        <rFont val="Calibri"/>
        <family val="2"/>
        <scheme val="minor"/>
      </rPr>
      <t xml:space="preserve"> Groton-Ordway 115kV line) and maintenance required replacement of existing Groton Substation equipment, 115 breakers 1162, 1262, 1266, 1362, 1462, 1466, 1562, 1662, 1666, 2062, 2066 and assoc. switches (breaker and one-half)</t>
    </r>
  </si>
  <si>
    <t>Added new Substation, customer funded GI Interconnection, no plant costs yet, 230 breakers 586, 682, 882, 986 and assoc. switches</t>
  </si>
  <si>
    <t xml:space="preserve">Lakota </t>
  </si>
  <si>
    <t>Removed 115/69-kV transformer KY1A, switches 362, 363 (AI criteria)</t>
  </si>
  <si>
    <t>Added new Substation (pre-SPP join requirement), 230 breakers 182, 282, 382, associated switches, line disconnects, and station service transformer KV10A and equipment</t>
  </si>
  <si>
    <t>Added Reactor PY6A, 161-kV breakers 162 and 662 and assoc. switches.  Removed 161-kV switches 864 and 964.  Added 69-kV breaker 1342 and assoc. switches.  Removed voltage regulator KZ1A and assoc. switches.  (substation reconfigured)</t>
  </si>
  <si>
    <t>Added maintenance required replacement of existing Substation (previously owned by Central Power and included in Zone 19), 115 ring bus</t>
  </si>
  <si>
    <t>Added maintenance required replacement of existing Substation (previously owned by East River and included in Zone 19), 230 ring bus</t>
  </si>
  <si>
    <t>Added new Substation 115-kV interrupters 162 and 262 and assoc. switches (customer funded, no new plant costs included)</t>
  </si>
  <si>
    <t>Added new 230-kV breaker and assoc. switches in ring bus (customer funded, no new plant costs included)</t>
  </si>
  <si>
    <t>Added new 230-kV breaker bay addition for MDU Interconnection (customer funded, no new plant costs included)</t>
  </si>
  <si>
    <t>Removed 230/115 transformers KV1A and KV2A (ownership clarified)</t>
  </si>
  <si>
    <t>ALLOCATION %</t>
  </si>
  <si>
    <t>MONTH</t>
  </si>
  <si>
    <t>ACCOUNT</t>
  </si>
  <si>
    <t>Adjustments</t>
  </si>
  <si>
    <t>Z2</t>
  </si>
  <si>
    <t>Z2 Sch 7/8</t>
  </si>
  <si>
    <t>Sch 7/8/11</t>
  </si>
  <si>
    <t>MISO SEAMS</t>
  </si>
  <si>
    <t>NOTES:</t>
  </si>
  <si>
    <t xml:space="preserve">Includes twelve months of revenue credits from January-December or February-January depending on when WAPA began receiving revenue credits from SPP. </t>
  </si>
  <si>
    <t>RENT FROM ELECTRIC PROPERTY</t>
  </si>
  <si>
    <t>REVENUE FROM TRANS.</t>
  </si>
  <si>
    <t>OTHER ELEC. REVENUE</t>
  </si>
  <si>
    <t>RESRV-SUPPLEMENTAL</t>
  </si>
  <si>
    <t>RESRV-SPIN</t>
  </si>
  <si>
    <t>REGULATION</t>
  </si>
  <si>
    <t>OTHER ADJUSTMENTS</t>
  </si>
  <si>
    <t>Project Name and #</t>
  </si>
  <si>
    <t>Type</t>
  </si>
  <si>
    <t>Project Gross Plant</t>
  </si>
  <si>
    <t>Project Accumulated Depreciation</t>
  </si>
  <si>
    <t>Allocation for Transmission O&amp;M</t>
  </si>
  <si>
    <t>Allocation for General Plant Depreciation</t>
  </si>
  <si>
    <t>Allocation for A&amp;G</t>
  </si>
  <si>
    <t>Cost of Capital</t>
  </si>
  <si>
    <t>Project Net Plant</t>
  </si>
  <si>
    <t>Project ATRR</t>
  </si>
  <si>
    <t>FY2019-20 ESTIMATE ADD/REPL/RETIRE ($)</t>
  </si>
  <si>
    <t>BASE PLAN UPGRADES-REGIONAL</t>
  </si>
  <si>
    <t>BASE PLAN UPGRADES-ZONAL</t>
  </si>
  <si>
    <t>FY2020 EST SPP TOTALS ($)</t>
  </si>
  <si>
    <t>Subtotal</t>
  </si>
  <si>
    <t>REG %</t>
  </si>
  <si>
    <t>REG TOTAL ($)</t>
  </si>
  <si>
    <t>ZONAL %</t>
  </si>
  <si>
    <t>ZONAL TOTAL ($)</t>
  </si>
  <si>
    <t>13/  Combined Financial Statements, Combining Schedules of Revenues and Expenses Data by Agency</t>
  </si>
  <si>
    <t>2018 SPP TRUE-UP SUMMARY</t>
  </si>
  <si>
    <t xml:space="preserve">2018 SPP TRUE-UP DETAIL: </t>
  </si>
  <si>
    <t>Allocation Factor %</t>
  </si>
  <si>
    <t>Revenue credit sheet may be updated or adjusted as necessary to include all revenue credits received.</t>
  </si>
  <si>
    <t xml:space="preserve">     Firm Point-to-Point Transmission Service Credit/1</t>
  </si>
  <si>
    <t xml:space="preserve">     Non-Firm Point-to-Point Transmission Service Credit</t>
  </si>
  <si>
    <t xml:space="preserve">     Revenue from Existing Transmission Agreements</t>
  </si>
  <si>
    <t xml:space="preserve">     Scheduling, System Control, and Dispatch Service Credit</t>
  </si>
  <si>
    <t xml:space="preserve">     Account No. 454</t>
  </si>
  <si>
    <t xml:space="preserve">     Z2 Nonfirm Point-to-Point Revenue Credit</t>
  </si>
  <si>
    <t>Total Schedule 11 Revenue Requirement</t>
  </si>
  <si>
    <t>SPP Upgrades - Zonal Gross Revenue Requirement</t>
  </si>
  <si>
    <t xml:space="preserve">     Point-to-Point Revenue Credit</t>
  </si>
  <si>
    <t>TOTAL ZONAL REVENUE CREDIT</t>
  </si>
  <si>
    <t>TRUE-UP ADJUSTMENT</t>
  </si>
  <si>
    <t>Net Revenue Requirement SPP Upgrades - Zonal</t>
  </si>
  <si>
    <t>SPP Upgrades - Regional Gross Revenue Requirement</t>
  </si>
  <si>
    <t>TOTAL REGIONAL REVENUE CREDIT</t>
  </si>
  <si>
    <t>Net Revenue Requirement SPP Upgrades - Regional</t>
  </si>
  <si>
    <t>Reference</t>
  </si>
  <si>
    <t>Gross Zonal Revenue Requirement</t>
  </si>
  <si>
    <t>Sch 9</t>
  </si>
  <si>
    <t>Sch 1</t>
  </si>
  <si>
    <t>Sch 11</t>
  </si>
  <si>
    <t>2018 ROOS BALANCE</t>
  </si>
  <si>
    <t>Annual Reserve Sharing Group Cost</t>
  </si>
  <si>
    <t>L10*L5 + L11</t>
  </si>
  <si>
    <t>Annual cost associated with Western-UGP's current reserve sharing group membership</t>
  </si>
  <si>
    <t>(Rate Order No. WAPA-188)</t>
  </si>
  <si>
    <t>WAPA-UGP</t>
  </si>
  <si>
    <t>Western Area Power Administration (WAPA)</t>
  </si>
  <si>
    <t>Upper Great Plains Region (WAPA-UGP)</t>
  </si>
  <si>
    <t>12 Months Ending 09/30/2018 True-up</t>
  </si>
  <si>
    <t>Worksheet 1 - Schedule 9 Revenue Requirement - Non-Levelized</t>
  </si>
  <si>
    <t>Worksheet 3 - Revenue Credit Calculation</t>
  </si>
  <si>
    <t>Worksheet 4 - Cost Support Data</t>
  </si>
  <si>
    <t>Worksheet 5 - Zonal SPP Upgrade Calculations</t>
  </si>
  <si>
    <t>Worksheet 6 - Base Plan Upgrades-Regional</t>
  </si>
  <si>
    <t>Worksheet 7 - SPP Base Plan Upgrades-Facilities</t>
  </si>
  <si>
    <t>Worksheet 8 - Transmission Facilities</t>
  </si>
  <si>
    <t xml:space="preserve">WAPA-UGP 2018 True-up Calculation </t>
  </si>
  <si>
    <t>Worksheet 11 - Facility Changes</t>
  </si>
  <si>
    <t>Worksheet 12 - Scheduling, System Control, and Dispatch Service</t>
  </si>
  <si>
    <t>Worksheet 13 - SSCD Facilities</t>
  </si>
  <si>
    <t>Worksheet 14 - Rate for Regulation and Frequency Response</t>
  </si>
  <si>
    <t>Worksheet 15 - Rate for Reserves</t>
  </si>
  <si>
    <t>WS1-RateBase</t>
  </si>
  <si>
    <t>WS2-AllocFactor</t>
  </si>
  <si>
    <t>WS3-RevCredits</t>
  </si>
  <si>
    <t>WS4-CostData</t>
  </si>
  <si>
    <t>WS5-BPUz</t>
  </si>
  <si>
    <t>WS6-BPUr</t>
  </si>
  <si>
    <t>WS7-BPUFac</t>
  </si>
  <si>
    <t>WS8-TranFac</t>
  </si>
  <si>
    <t>WS9-AI-Inc</t>
  </si>
  <si>
    <t>WS10-AI-Excl</t>
  </si>
  <si>
    <t>WS11-FacChanges</t>
  </si>
  <si>
    <t>WS12-SSCD</t>
  </si>
  <si>
    <t>WS13-SSCDFac</t>
  </si>
  <si>
    <t>WS14-Reg</t>
  </si>
  <si>
    <t>WS15-Res</t>
  </si>
  <si>
    <t>Effective October 1, 2020</t>
  </si>
  <si>
    <t xml:space="preserve">  Annual Reserve Sharing Group Cost</t>
  </si>
  <si>
    <t>115-kV breakers 1362, 1462, 1562, 1662, 1964, 2064 and assoc switches</t>
  </si>
  <si>
    <t>115-kV breaker 1762</t>
  </si>
  <si>
    <t>WAPA-UGP 2018 Rate True-up Calculation</t>
  </si>
  <si>
    <t>Worksheet 9 - WAPA-UGP Facilities Included per SPP Tariff Attachment AI*</t>
  </si>
  <si>
    <t>Worksheet 10 - WAPA-UGP Facilities Excluded under SPP Tariff Attachment AI*</t>
  </si>
  <si>
    <t>Worksheet 2 - Determination of Pick-Sloan Missouri Basin Program, Eastern Division Annual Costs</t>
  </si>
  <si>
    <t>Summary-TrueUp</t>
  </si>
  <si>
    <t>Worksheet Tab Label</t>
  </si>
  <si>
    <t>Worksheet Tab Description</t>
  </si>
  <si>
    <t>Worksheet "Summary-TrueUp" -- Calculation of True-ups</t>
  </si>
  <si>
    <t>Worksheet 1 -- Calculation of Rate Base</t>
  </si>
  <si>
    <t>Worksheet 2 -- Allocation Factors</t>
  </si>
  <si>
    <t>Worksheet 3 -- Revenue Credit detail</t>
  </si>
  <si>
    <t>Worksheet 8 -- Transmission Facilities</t>
  </si>
  <si>
    <t>Worksheet 4 -- Cost Support Data</t>
  </si>
  <si>
    <t>Worksheet 5 -- SPP Base Plan Upgrades (BPU) - Zonal</t>
  </si>
  <si>
    <t>Worksheet 6 -- SPP Base Plan Upgrades (BPU) - Regional</t>
  </si>
  <si>
    <t>Worksheet 7 -- SPP Base Plan Upgrades (BPU) - Facilities</t>
  </si>
  <si>
    <t>Worksheet 9 -- WAPA-UGP Facilities Included per SPP Tariff Attachment AI</t>
  </si>
  <si>
    <t>Worksheet 10 -- WAPA-UGP Facilities Excluded per SPP Tariff Attachment AI</t>
  </si>
  <si>
    <t>Worksheet 11 -- Facility Changes Detail</t>
  </si>
  <si>
    <t>Worksheet 12 -- Scheduling, System Control and Dispatch Service (SSCD) ARR</t>
  </si>
  <si>
    <t>Worksheet 13 -- Scheduling, System Conrol and Dispatch Service (SSCD) Facilities</t>
  </si>
  <si>
    <t>Worksheet 14 -- Regulaton and Frequency Response ARR</t>
  </si>
  <si>
    <t>Worksheet 15 -- Reserves ARR</t>
  </si>
  <si>
    <t>Sch 7</t>
  </si>
  <si>
    <t>Sch 8</t>
  </si>
  <si>
    <r>
      <t xml:space="preserve">Total 2018 True-up </t>
    </r>
    <r>
      <rPr>
        <sz val="10"/>
        <color rgb="FFFF0000"/>
        <rFont val="Calibri"/>
        <family val="2"/>
        <scheme val="minor"/>
      </rPr>
      <t xml:space="preserve">(to WS1-RateBase, Line 3, 2020 est) </t>
    </r>
  </si>
  <si>
    <r>
      <t xml:space="preserve">Total true-up to include in 2020 estimate </t>
    </r>
    <r>
      <rPr>
        <sz val="10"/>
        <color rgb="FFFF0000"/>
        <rFont val="Calibri"/>
        <family val="2"/>
        <scheme val="minor"/>
      </rPr>
      <t>(to WS12-SSCD, Line 13, 2020 est)</t>
    </r>
  </si>
  <si>
    <r>
      <t xml:space="preserve">Total true-up to include in 2020 estimate </t>
    </r>
    <r>
      <rPr>
        <sz val="10"/>
        <color rgb="FFFF0000"/>
        <rFont val="Calibri"/>
        <family val="2"/>
        <scheme val="minor"/>
      </rPr>
      <t>(to WS14-Reg, Line 6, 2020 est)</t>
    </r>
  </si>
  <si>
    <r>
      <t xml:space="preserve">Total true-up to include in 2020 estimate </t>
    </r>
    <r>
      <rPr>
        <sz val="10"/>
        <color rgb="FFFF0000"/>
        <rFont val="Calibri"/>
        <family val="2"/>
        <scheme val="minor"/>
      </rPr>
      <t>(to WS15-Res, Line 11, 2020 est)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</si>
</sst>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quot;$&quot;#,##0"/>
    <numFmt numFmtId="171" formatCode="_(* #,##0.00000_);_(* \(#,##0.00000\);_(* &quot;-&quot;??_);_(@_)"/>
    <numFmt numFmtId="172" formatCode="&quot;$&quot;#,##0.000"/>
    <numFmt numFmtId="173" formatCode="0.00000"/>
    <numFmt numFmtId="174" formatCode="0.0000"/>
    <numFmt numFmtId="175" formatCode="0.000%"/>
    <numFmt numFmtId="176" formatCode="#,##0.00000"/>
    <numFmt numFmtId="177" formatCode="#,##0.0000"/>
    <numFmt numFmtId="178" formatCode="0_);[Red]\(0\)"/>
    <numFmt numFmtId="179" formatCode="#,##0.00000_);[Red]\(#,##0.00000\)"/>
    <numFmt numFmtId="180" formatCode="#,##0.00;\&lt;#,##0.00\&gt;"/>
  </numFmts>
  <fonts count="76">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color indexed="81"/>
      <name val="Tahoma"/>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u/>
      <sz val="10"/>
      <color theme="1"/>
      <name val="Calibri"/>
      <family val="2"/>
      <scheme val="minor"/>
    </font>
    <font>
      <strike/>
      <sz val="10"/>
      <color theme="1"/>
      <name val="Calibri"/>
      <family val="2"/>
      <scheme val="minor"/>
    </font>
    <font>
      <b/>
      <sz val="10"/>
      <color theme="1"/>
      <name val="Calibri"/>
      <family val="2"/>
      <scheme val="minor"/>
    </font>
    <font>
      <sz val="10"/>
      <name val="Times New Roman"/>
      <family val="1"/>
    </font>
    <font>
      <sz val="10"/>
      <color indexed="10"/>
      <name val="Calibri"/>
      <family val="2"/>
      <scheme val="minor"/>
    </font>
    <font>
      <sz val="10"/>
      <color rgb="FF666666"/>
      <name val="Arial Unicode MS"/>
      <family val="2"/>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b/>
      <sz val="12"/>
      <name val="Calibri"/>
      <family val="2"/>
    </font>
    <font>
      <sz val="9"/>
      <color indexed="81"/>
      <name val="Tahoma"/>
      <family val="2"/>
    </font>
    <font>
      <b/>
      <sz val="9"/>
      <color indexed="81"/>
      <name val="Tahoma"/>
      <family val="2"/>
    </font>
    <font>
      <vertAlign val="superscript"/>
      <sz val="11"/>
      <color theme="1"/>
      <name val="Calibri"/>
      <family val="2"/>
      <scheme val="minor"/>
    </font>
    <font>
      <b/>
      <sz val="10"/>
      <color theme="1"/>
      <name val="Calibri"/>
      <family val="2"/>
    </font>
    <font>
      <u/>
      <sz val="11"/>
      <color theme="10"/>
      <name val="Calibri"/>
      <family val="2"/>
      <scheme val="minor"/>
    </font>
    <font>
      <sz val="28"/>
      <color theme="1"/>
      <name val="Calibri"/>
      <family val="2"/>
      <scheme val="minor"/>
    </font>
    <font>
      <b/>
      <sz val="10"/>
      <color rgb="FF000000"/>
      <name val="Calibri"/>
      <family val="2"/>
    </font>
    <font>
      <b/>
      <u/>
      <sz val="11"/>
      <color theme="1"/>
      <name val="Calibri"/>
      <family val="2"/>
      <scheme val="minor"/>
    </font>
  </fonts>
  <fills count="2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indexed="9"/>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rgb="FFFFFF00"/>
        <bgColor indexed="64"/>
      </patternFill>
    </fill>
  </fills>
  <borders count="63">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s>
  <cellStyleXfs count="4233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7" fillId="0" borderId="0" applyFill="0"/>
    <xf numFmtId="166" fontId="7" fillId="0" borderId="0">
      <alignment horizontal="center"/>
    </xf>
    <xf numFmtId="0" fontId="7" fillId="0" borderId="0" applyFill="0">
      <alignment horizontal="center"/>
    </xf>
    <xf numFmtId="166" fontId="8" fillId="0" borderId="3" applyFill="0"/>
    <xf numFmtId="0" fontId="9" fillId="0" borderId="0" applyFont="0" applyAlignment="0"/>
    <xf numFmtId="0" fontId="10" fillId="0" borderId="0" applyFill="0">
      <alignment vertical="top"/>
    </xf>
    <xf numFmtId="0" fontId="8" fillId="0" borderId="0" applyFill="0">
      <alignment horizontal="left" vertical="top"/>
    </xf>
    <xf numFmtId="166" fontId="11" fillId="0" borderId="4" applyFill="0"/>
    <xf numFmtId="0" fontId="9" fillId="0" borderId="0" applyNumberFormat="0" applyFont="0" applyAlignment="0"/>
    <xf numFmtId="0" fontId="10" fillId="0" borderId="0" applyFill="0">
      <alignment wrapText="1"/>
    </xf>
    <xf numFmtId="0" fontId="8" fillId="0" borderId="0" applyFill="0">
      <alignment horizontal="left" vertical="top" wrapText="1"/>
    </xf>
    <xf numFmtId="166" fontId="12" fillId="0" borderId="0" applyFill="0"/>
    <xf numFmtId="0" fontId="13" fillId="0" borderId="0" applyNumberFormat="0" applyFont="0" applyAlignment="0">
      <alignment horizontal="center"/>
    </xf>
    <xf numFmtId="0" fontId="14" fillId="0" borderId="0" applyFill="0">
      <alignment vertical="top" wrapText="1"/>
    </xf>
    <xf numFmtId="0" fontId="11" fillId="0" borderId="0" applyFill="0">
      <alignment horizontal="left" vertical="top" wrapText="1"/>
    </xf>
    <xf numFmtId="166" fontId="9" fillId="0" borderId="0" applyFill="0"/>
    <xf numFmtId="0" fontId="13" fillId="0" borderId="0" applyNumberFormat="0" applyFont="0" applyAlignment="0">
      <alignment horizontal="center"/>
    </xf>
    <xf numFmtId="0" fontId="15" fillId="0" borderId="0" applyFill="0">
      <alignment vertical="center" wrapText="1"/>
    </xf>
    <xf numFmtId="0" fontId="16" fillId="0" borderId="0">
      <alignment horizontal="left" vertical="center" wrapText="1"/>
    </xf>
    <xf numFmtId="166" fontId="17" fillId="0" borderId="0" applyFill="0"/>
    <xf numFmtId="0" fontId="13" fillId="0" borderId="0" applyNumberFormat="0" applyFont="0" applyAlignment="0">
      <alignment horizontal="center"/>
    </xf>
    <xf numFmtId="0" fontId="18" fillId="0" borderId="0" applyFill="0">
      <alignment horizontal="center" vertical="center" wrapText="1"/>
    </xf>
    <xf numFmtId="0" fontId="9" fillId="0" borderId="0" applyFill="0">
      <alignment horizontal="center" vertical="center" wrapText="1"/>
    </xf>
    <xf numFmtId="166" fontId="19" fillId="0" borderId="0" applyFill="0"/>
    <xf numFmtId="0" fontId="13" fillId="0" borderId="0" applyNumberFormat="0" applyFont="0" applyAlignment="0">
      <alignment horizontal="center"/>
    </xf>
    <xf numFmtId="0" fontId="20" fillId="0" borderId="0" applyFill="0">
      <alignment horizontal="center" vertical="center" wrapText="1"/>
    </xf>
    <xf numFmtId="0" fontId="21" fillId="0" borderId="0" applyFill="0">
      <alignment horizontal="center" vertical="center" wrapText="1"/>
    </xf>
    <xf numFmtId="166" fontId="22" fillId="0" borderId="0" applyFill="0"/>
    <xf numFmtId="0" fontId="13" fillId="0" borderId="0" applyNumberFormat="0" applyFont="0" applyAlignment="0">
      <alignment horizontal="center"/>
    </xf>
    <xf numFmtId="0" fontId="23" fillId="0" borderId="0">
      <alignment horizontal="center" wrapText="1"/>
    </xf>
    <xf numFmtId="0" fontId="19" fillId="0" borderId="0" applyFill="0">
      <alignment horizontal="center" wrapText="1"/>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9"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8" fontId="2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167" fontId="7" fillId="15" borderId="5" applyFill="0" applyBorder="0" applyProtection="0">
      <alignment horizontal="left"/>
    </xf>
    <xf numFmtId="38" fontId="7" fillId="16" borderId="0" applyNumberFormat="0" applyBorder="0" applyAlignment="0" applyProtection="0"/>
    <xf numFmtId="0" fontId="29" fillId="0" borderId="0" applyFont="0" applyFill="0" applyBorder="0" applyAlignment="0" applyProtection="0"/>
    <xf numFmtId="0" fontId="11" fillId="0" borderId="0" applyFont="0" applyFill="0" applyBorder="0" applyAlignment="0" applyProtection="0"/>
    <xf numFmtId="0" fontId="30" fillId="0" borderId="6"/>
    <xf numFmtId="0" fontId="31" fillId="0" borderId="0"/>
    <xf numFmtId="0" fontId="32" fillId="0" borderId="0" applyNumberFormat="0" applyFill="0" applyBorder="0" applyAlignment="0" applyProtection="0"/>
    <xf numFmtId="10" fontId="7" fillId="17" borderId="7" applyNumberFormat="0" applyBorder="0" applyAlignment="0" applyProtection="0"/>
    <xf numFmtId="168" fontId="33"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5" fontId="34"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25"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9" fillId="0" borderId="0"/>
    <xf numFmtId="0" fontId="9"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25" fillId="0" borderId="0"/>
    <xf numFmtId="0" fontId="25" fillId="0" borderId="0"/>
    <xf numFmtId="0" fontId="1" fillId="0" borderId="0"/>
    <xf numFmtId="0" fontId="9"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9" fillId="0" borderId="0"/>
    <xf numFmtId="0" fontId="1" fillId="0" borderId="0"/>
    <xf numFmtId="0" fontId="1" fillId="0" borderId="0"/>
    <xf numFmtId="0" fontId="1" fillId="0" borderId="0"/>
    <xf numFmtId="0" fontId="1" fillId="0" borderId="0"/>
    <xf numFmtId="0" fontId="28"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5" fontId="34" fillId="0" borderId="0"/>
    <xf numFmtId="0" fontId="1" fillId="0" borderId="0"/>
    <xf numFmtId="0" fontId="9" fillId="0" borderId="0"/>
    <xf numFmtId="5"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5" fontId="34"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5" fontId="34" fillId="0" borderId="0"/>
    <xf numFmtId="0" fontId="1" fillId="0" borderId="0"/>
    <xf numFmtId="0" fontId="1" fillId="0" borderId="0"/>
    <xf numFmtId="0" fontId="9" fillId="0" borderId="0"/>
    <xf numFmtId="5" fontId="34"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5" fontId="34" fillId="0" borderId="0"/>
    <xf numFmtId="0" fontId="9" fillId="0" borderId="0"/>
    <xf numFmtId="0" fontId="9" fillId="0" borderId="0"/>
    <xf numFmtId="0" fontId="9" fillId="0" borderId="0"/>
    <xf numFmtId="0" fontId="9" fillId="0" borderId="0"/>
    <xf numFmtId="0" fontId="9" fillId="0" borderId="0"/>
    <xf numFmtId="5" fontId="34" fillId="0" borderId="0"/>
    <xf numFmtId="0" fontId="1" fillId="0" borderId="0"/>
    <xf numFmtId="0" fontId="1" fillId="0" borderId="0"/>
    <xf numFmtId="5" fontId="34" fillId="0" borderId="0"/>
    <xf numFmtId="0" fontId="9" fillId="0" borderId="0"/>
    <xf numFmtId="5" fontId="34" fillId="0" borderId="0"/>
    <xf numFmtId="5" fontId="34" fillId="0" borderId="0"/>
    <xf numFmtId="0" fontId="9" fillId="0" borderId="0"/>
    <xf numFmtId="5" fontId="34" fillId="0" borderId="0"/>
    <xf numFmtId="5" fontId="34" fillId="0" borderId="0"/>
    <xf numFmtId="0" fontId="1" fillId="0" borderId="0"/>
    <xf numFmtId="5" fontId="34" fillId="0" borderId="0"/>
    <xf numFmtId="0" fontId="1" fillId="0" borderId="0"/>
    <xf numFmtId="5" fontId="34"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 fillId="0" borderId="0"/>
    <xf numFmtId="0" fontId="1" fillId="0" borderId="0"/>
    <xf numFmtId="0" fontId="16"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8"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 fillId="0" borderId="0"/>
    <xf numFmtId="0" fontId="25" fillId="0" borderId="0"/>
    <xf numFmtId="0" fontId="1" fillId="0" borderId="0"/>
    <xf numFmtId="0" fontId="9" fillId="0" borderId="0"/>
    <xf numFmtId="0" fontId="25" fillId="0" borderId="0"/>
    <xf numFmtId="0" fontId="1" fillId="0" borderId="0"/>
    <xf numFmtId="0" fontId="25" fillId="0" borderId="0"/>
    <xf numFmtId="0" fontId="25" fillId="0" borderId="0"/>
    <xf numFmtId="0" fontId="25" fillId="0" borderId="0"/>
    <xf numFmtId="0" fontId="16" fillId="0" borderId="0"/>
    <xf numFmtId="0" fontId="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6" fillId="0" borderId="0"/>
    <xf numFmtId="0" fontId="25" fillId="0" borderId="0"/>
    <xf numFmtId="0" fontId="1" fillId="0" borderId="0"/>
    <xf numFmtId="0" fontId="27" fillId="0" borderId="0"/>
    <xf numFmtId="0" fontId="16"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16" fillId="0" borderId="0"/>
    <xf numFmtId="0" fontId="1" fillId="0" borderId="0"/>
    <xf numFmtId="0" fontId="1" fillId="0" borderId="0"/>
    <xf numFmtId="0" fontId="9" fillId="0" borderId="0"/>
    <xf numFmtId="0" fontId="1" fillId="0" borderId="0"/>
    <xf numFmtId="0" fontId="16" fillId="0" borderId="0"/>
    <xf numFmtId="0" fontId="1" fillId="0" borderId="0"/>
    <xf numFmtId="0" fontId="16" fillId="0" borderId="0"/>
    <xf numFmtId="166" fontId="36"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36"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10"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9" fillId="0" borderId="0">
      <alignment horizontal="left" vertical="top"/>
    </xf>
    <xf numFmtId="0" fontId="38" fillId="0" borderId="6">
      <alignment horizontal="center"/>
    </xf>
    <xf numFmtId="3" fontId="25" fillId="0" borderId="0" applyFont="0" applyFill="0" applyBorder="0" applyAlignment="0" applyProtection="0"/>
    <xf numFmtId="0" fontId="25" fillId="18" borderId="0" applyNumberFormat="0" applyFont="0" applyBorder="0" applyAlignment="0" applyProtection="0"/>
    <xf numFmtId="3" fontId="9" fillId="0" borderId="0">
      <alignment horizontal="right" vertical="top"/>
    </xf>
    <xf numFmtId="41" fontId="16" fillId="16" borderId="8" applyFill="0"/>
    <xf numFmtId="0" fontId="39" fillId="0" borderId="0">
      <alignment horizontal="left" indent="7"/>
    </xf>
    <xf numFmtId="41" fontId="16" fillId="0" borderId="8" applyFill="0">
      <alignment horizontal="left" indent="2"/>
    </xf>
    <xf numFmtId="166" fontId="40" fillId="0" borderId="9" applyFill="0">
      <alignment horizontal="right"/>
    </xf>
    <xf numFmtId="0" fontId="41" fillId="0" borderId="7" applyNumberFormat="0" applyFont="0" applyBorder="0">
      <alignment horizontal="right"/>
    </xf>
    <xf numFmtId="0" fontId="42" fillId="0" borderId="0" applyFill="0"/>
    <xf numFmtId="0" fontId="11" fillId="0" borderId="0" applyFill="0"/>
    <xf numFmtId="4" fontId="40" fillId="0" borderId="9" applyFill="0"/>
    <xf numFmtId="0" fontId="9" fillId="0" borderId="0" applyNumberFormat="0" applyFont="0" applyBorder="0" applyAlignment="0"/>
    <xf numFmtId="0" fontId="14" fillId="0" borderId="0" applyFill="0">
      <alignment horizontal="left" indent="1"/>
    </xf>
    <xf numFmtId="0" fontId="43" fillId="0" borderId="0" applyFill="0">
      <alignment horizontal="left" indent="1"/>
    </xf>
    <xf numFmtId="4" fontId="17" fillId="0" borderId="0" applyFill="0"/>
    <xf numFmtId="0" fontId="9" fillId="0" borderId="0" applyNumberFormat="0" applyFont="0" applyFill="0" applyBorder="0" applyAlignment="0"/>
    <xf numFmtId="0" fontId="14" fillId="0" borderId="0" applyFill="0">
      <alignment horizontal="left" indent="2"/>
    </xf>
    <xf numFmtId="0" fontId="11" fillId="0" borderId="0" applyFill="0">
      <alignment horizontal="left" indent="2"/>
    </xf>
    <xf numFmtId="4" fontId="17" fillId="0" borderId="0" applyFill="0"/>
    <xf numFmtId="0" fontId="9" fillId="0" borderId="0" applyNumberFormat="0" applyFont="0" applyBorder="0" applyAlignment="0"/>
    <xf numFmtId="0" fontId="44" fillId="0" borderId="0">
      <alignment horizontal="left" indent="3"/>
    </xf>
    <xf numFmtId="0" fontId="34" fillId="0" borderId="0" applyFill="0">
      <alignment horizontal="left" indent="3"/>
    </xf>
    <xf numFmtId="4" fontId="17" fillId="0" borderId="0" applyFill="0"/>
    <xf numFmtId="0" fontId="9" fillId="0" borderId="0" applyNumberFormat="0" applyFont="0" applyBorder="0" applyAlignment="0"/>
    <xf numFmtId="0" fontId="18" fillId="0" borderId="0">
      <alignment horizontal="left" indent="4"/>
    </xf>
    <xf numFmtId="0" fontId="9" fillId="0" borderId="0" applyFill="0">
      <alignment horizontal="left" indent="4"/>
    </xf>
    <xf numFmtId="4" fontId="19" fillId="0" borderId="0" applyFill="0"/>
    <xf numFmtId="0" fontId="9" fillId="0" borderId="0" applyNumberFormat="0" applyFont="0" applyBorder="0" applyAlignment="0"/>
    <xf numFmtId="0" fontId="20" fillId="0" borderId="0">
      <alignment horizontal="left" indent="5"/>
    </xf>
    <xf numFmtId="0" fontId="21" fillId="0" borderId="0" applyFill="0">
      <alignment horizontal="left" indent="5"/>
    </xf>
    <xf numFmtId="4" fontId="22" fillId="0" borderId="0" applyFill="0"/>
    <xf numFmtId="0" fontId="9" fillId="0" borderId="0" applyNumberFormat="0" applyFont="0" applyFill="0" applyBorder="0" applyAlignment="0"/>
    <xf numFmtId="0" fontId="23" fillId="0" borderId="0" applyFill="0">
      <alignment horizontal="left" indent="6"/>
    </xf>
    <xf numFmtId="0" fontId="19" fillId="0" borderId="0" applyFill="0">
      <alignment horizontal="left" indent="6"/>
    </xf>
    <xf numFmtId="169" fontId="7" fillId="19" borderId="10" applyBorder="0" applyProtection="0">
      <alignment horizontal="center"/>
    </xf>
    <xf numFmtId="0" fontId="45" fillId="0" borderId="0"/>
    <xf numFmtId="0" fontId="9" fillId="0" borderId="0" applyFont="0" applyFill="0" applyBorder="0" applyAlignment="0" applyProtection="0"/>
    <xf numFmtId="0" fontId="16" fillId="0" borderId="0"/>
    <xf numFmtId="0" fontId="16" fillId="20" borderId="0"/>
    <xf numFmtId="38" fontId="50"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72" fillId="0" borderId="0" applyNumberFormat="0" applyFill="0" applyBorder="0" applyAlignment="0" applyProtection="0"/>
  </cellStyleXfs>
  <cellXfs count="874">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0" applyFont="1" applyFill="1" applyBorder="1"/>
    <xf numFmtId="164" fontId="4" fillId="0" borderId="0" xfId="1" applyNumberFormat="1"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38" fontId="3" fillId="0" borderId="0" xfId="0" applyNumberFormat="1" applyFont="1" applyFill="1" applyBorder="1" applyAlignment="1">
      <alignment wrapText="1"/>
    </xf>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164" fontId="4" fillId="0" borderId="2" xfId="1" applyNumberFormat="1"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0" borderId="0" xfId="38578" applyFont="1" applyFill="1" applyAlignment="1"/>
    <xf numFmtId="0" fontId="46"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164" fontId="3" fillId="0" borderId="11" xfId="38578" applyNumberFormat="1" applyFont="1" applyFill="1" applyBorder="1" applyAlignment="1">
      <alignment horizontal="right"/>
    </xf>
    <xf numFmtId="0" fontId="3" fillId="0" borderId="6" xfId="38578" applyFont="1" applyFill="1" applyBorder="1" applyAlignment="1">
      <alignment horizontal="center"/>
    </xf>
    <xf numFmtId="0" fontId="3" fillId="0" borderId="6" xfId="38578" applyFont="1" applyFill="1" applyBorder="1" applyAlignment="1"/>
    <xf numFmtId="0" fontId="3" fillId="0" borderId="12" xfId="38578" applyFont="1" applyFill="1" applyBorder="1" applyAlignment="1"/>
    <xf numFmtId="164" fontId="3" fillId="0" borderId="13" xfId="1" applyNumberFormat="1" applyFont="1" applyFill="1" applyBorder="1" applyAlignment="1"/>
    <xf numFmtId="164" fontId="3" fillId="0" borderId="0" xfId="1" applyNumberFormat="1" applyFont="1" applyFill="1" applyBorder="1" applyAlignment="1"/>
    <xf numFmtId="0" fontId="3" fillId="0" borderId="14" xfId="38578" applyFont="1" applyFill="1" applyBorder="1" applyAlignment="1"/>
    <xf numFmtId="164" fontId="3" fillId="0" borderId="15" xfId="1" applyNumberFormat="1" applyFont="1" applyFill="1" applyBorder="1" applyAlignment="1">
      <alignment horizontal="right"/>
    </xf>
    <xf numFmtId="164" fontId="3" fillId="0" borderId="9" xfId="1" applyNumberFormat="1" applyFont="1" applyFill="1" applyBorder="1" applyAlignment="1">
      <alignment horizontal="right"/>
    </xf>
    <xf numFmtId="164" fontId="3" fillId="0" borderId="9" xfId="1" applyNumberFormat="1" applyFont="1" applyFill="1" applyBorder="1" applyAlignment="1"/>
    <xf numFmtId="0" fontId="3" fillId="0" borderId="14" xfId="38578" applyFont="1" applyFill="1" applyBorder="1" applyAlignment="1">
      <alignment horizontal="right"/>
    </xf>
    <xf numFmtId="164" fontId="3" fillId="0" borderId="13" xfId="1" applyNumberFormat="1" applyFont="1" applyFill="1" applyBorder="1" applyAlignment="1">
      <alignment horizontal="right"/>
    </xf>
    <xf numFmtId="164" fontId="3" fillId="0" borderId="0" xfId="1" applyNumberFormat="1" applyFont="1" applyFill="1" applyBorder="1" applyAlignment="1">
      <alignment horizontal="right"/>
    </xf>
    <xf numFmtId="0" fontId="46" fillId="0" borderId="0" xfId="38578" applyNumberFormat="1" applyFont="1" applyFill="1"/>
    <xf numFmtId="0" fontId="46" fillId="0" borderId="0" xfId="38578" applyFont="1" applyFill="1" applyBorder="1" applyAlignment="1">
      <alignment horizontal="center"/>
    </xf>
    <xf numFmtId="0" fontId="46" fillId="0" borderId="13" xfId="38578" applyFont="1" applyFill="1" applyBorder="1" applyAlignment="1">
      <alignment horizontal="center"/>
    </xf>
    <xf numFmtId="0" fontId="46" fillId="0" borderId="0" xfId="38578" applyNumberFormat="1" applyFont="1" applyFill="1" applyBorder="1" applyAlignment="1">
      <alignment horizontal="center"/>
    </xf>
    <xf numFmtId="0" fontId="46" fillId="0" borderId="0" xfId="38578" applyFont="1" applyFill="1" applyBorder="1" applyAlignment="1"/>
    <xf numFmtId="0" fontId="46" fillId="0" borderId="16" xfId="38578" applyFont="1" applyFill="1" applyBorder="1" applyAlignment="1">
      <alignment horizontal="right"/>
    </xf>
    <xf numFmtId="0" fontId="46" fillId="0" borderId="17" xfId="38578" applyFont="1" applyFill="1" applyBorder="1" applyAlignment="1">
      <alignment horizontal="center"/>
    </xf>
    <xf numFmtId="0" fontId="46" fillId="0" borderId="17" xfId="38578" applyFont="1" applyFill="1" applyBorder="1" applyAlignment="1"/>
    <xf numFmtId="0" fontId="3" fillId="0" borderId="17" xfId="38578" applyFont="1" applyFill="1" applyBorder="1" applyAlignment="1"/>
    <xf numFmtId="0" fontId="47" fillId="0" borderId="18" xfId="38578" applyFont="1" applyFill="1" applyBorder="1"/>
    <xf numFmtId="0" fontId="46" fillId="0" borderId="0" xfId="38578" applyFont="1" applyFill="1" applyBorder="1" applyAlignment="1">
      <alignment horizontal="right"/>
    </xf>
    <xf numFmtId="0" fontId="47" fillId="0" borderId="0" xfId="38578" applyFont="1" applyFill="1" applyBorder="1"/>
    <xf numFmtId="170" fontId="46" fillId="0" borderId="0" xfId="38578" applyNumberFormat="1" applyFont="1" applyFill="1" applyBorder="1" applyAlignment="1"/>
    <xf numFmtId="171" fontId="46" fillId="0" borderId="0" xfId="38578" applyNumberFormat="1" applyFont="1" applyFill="1" applyBorder="1" applyAlignment="1">
      <alignment horizontal="right"/>
    </xf>
    <xf numFmtId="0" fontId="48" fillId="0" borderId="0" xfId="38578" applyFont="1" applyFill="1" applyBorder="1" applyAlignment="1"/>
    <xf numFmtId="167" fontId="46" fillId="0" borderId="0" xfId="18360" applyNumberFormat="1" applyFont="1" applyFill="1" applyBorder="1" applyAlignment="1"/>
    <xf numFmtId="3" fontId="46" fillId="0" borderId="0" xfId="38578" applyNumberFormat="1" applyFont="1" applyFill="1" applyBorder="1" applyAlignment="1"/>
    <xf numFmtId="37" fontId="46" fillId="0" borderId="0" xfId="38578" applyNumberFormat="1" applyFont="1" applyFill="1" applyBorder="1" applyAlignment="1"/>
    <xf numFmtId="37" fontId="46" fillId="0" borderId="0" xfId="38578" applyNumberFormat="1" applyFont="1" applyFill="1" applyBorder="1" applyAlignment="1">
      <alignment horizontal="right"/>
    </xf>
    <xf numFmtId="37" fontId="46" fillId="0" borderId="0" xfId="38578" applyNumberFormat="1" applyFont="1" applyFill="1" applyBorder="1" applyAlignment="1">
      <alignment horizontal="center"/>
    </xf>
    <xf numFmtId="164" fontId="46" fillId="0" borderId="0" xfId="5447" applyNumberFormat="1" applyFont="1" applyFill="1" applyBorder="1" applyAlignment="1"/>
    <xf numFmtId="0" fontId="48" fillId="0" borderId="0" xfId="38578" applyFont="1" applyFill="1" applyBorder="1" applyAlignment="1">
      <alignment horizontal="center"/>
    </xf>
    <xf numFmtId="0" fontId="46" fillId="0" borderId="0" xfId="38578" applyNumberFormat="1" applyFont="1" applyFill="1" applyBorder="1" applyAlignment="1"/>
    <xf numFmtId="0" fontId="46" fillId="0" borderId="0" xfId="38578" applyNumberFormat="1" applyFont="1" applyFill="1" applyAlignment="1"/>
    <xf numFmtId="37" fontId="46" fillId="0" borderId="9" xfId="38578" applyNumberFormat="1" applyFont="1" applyFill="1" applyBorder="1" applyAlignment="1"/>
    <xf numFmtId="0" fontId="46" fillId="0" borderId="0" xfId="38578" applyNumberFormat="1" applyFont="1" applyFill="1" applyAlignment="1">
      <alignment horizontal="left"/>
    </xf>
    <xf numFmtId="0" fontId="46" fillId="0" borderId="0" xfId="38578" applyFont="1" applyFill="1" applyAlignment="1">
      <alignment horizontal="right"/>
    </xf>
    <xf numFmtId="0" fontId="46" fillId="0" borderId="0" xfId="38578" applyFont="1" applyFill="1" applyAlignment="1">
      <alignment horizontal="center"/>
    </xf>
    <xf numFmtId="37" fontId="46" fillId="0" borderId="9" xfId="42319" applyNumberFormat="1" applyFont="1" applyFill="1" applyBorder="1" applyProtection="1"/>
    <xf numFmtId="37" fontId="46" fillId="0" borderId="0" xfId="42319" applyNumberFormat="1" applyFont="1" applyFill="1" applyProtection="1"/>
    <xf numFmtId="37" fontId="46" fillId="0" borderId="9" xfId="42320" applyNumberFormat="1" applyFont="1" applyFill="1" applyBorder="1" applyProtection="1">
      <protection locked="0"/>
    </xf>
    <xf numFmtId="37" fontId="46" fillId="0" borderId="0" xfId="42320" applyNumberFormat="1" applyFont="1" applyFill="1" applyProtection="1">
      <protection locked="0"/>
    </xf>
    <xf numFmtId="0" fontId="46" fillId="0" borderId="0" xfId="38578" applyNumberFormat="1" applyFont="1" applyFill="1" applyAlignment="1">
      <alignment horizontal="right"/>
    </xf>
    <xf numFmtId="37" fontId="46" fillId="0" borderId="9" xfId="42320" applyNumberFormat="1" applyFont="1" applyFill="1" applyBorder="1" applyAlignment="1" applyProtection="1">
      <alignment horizontal="center"/>
      <protection locked="0"/>
    </xf>
    <xf numFmtId="0" fontId="46" fillId="0" borderId="0" xfId="38578" applyNumberFormat="1" applyFont="1" applyFill="1" applyAlignment="1">
      <alignment horizontal="center"/>
    </xf>
    <xf numFmtId="37" fontId="46" fillId="0" borderId="0" xfId="42319" applyNumberFormat="1" applyFont="1" applyFill="1" applyBorder="1" applyAlignment="1" applyProtection="1">
      <alignment horizontal="center"/>
    </xf>
    <xf numFmtId="37" fontId="46" fillId="0" borderId="0" xfId="42320" applyNumberFormat="1" applyFont="1" applyFill="1" applyBorder="1" applyProtection="1">
      <protection locked="0"/>
    </xf>
    <xf numFmtId="3" fontId="46" fillId="0" borderId="0" xfId="38578" applyNumberFormat="1" applyFont="1" applyFill="1" applyAlignment="1">
      <alignment horizontal="right"/>
    </xf>
    <xf numFmtId="3" fontId="46" fillId="0" borderId="0" xfId="38578" applyNumberFormat="1" applyFont="1" applyFill="1" applyAlignment="1">
      <alignment horizontal="center"/>
    </xf>
    <xf numFmtId="3" fontId="46" fillId="0" borderId="11" xfId="38578" applyNumberFormat="1" applyFont="1" applyFill="1" applyBorder="1" applyAlignment="1">
      <alignment horizontal="right"/>
    </xf>
    <xf numFmtId="3" fontId="46" fillId="0" borderId="6" xfId="38578" applyNumberFormat="1" applyFont="1" applyFill="1" applyBorder="1" applyAlignment="1">
      <alignment horizontal="center"/>
    </xf>
    <xf numFmtId="0" fontId="46" fillId="0" borderId="6" xfId="38578" applyNumberFormat="1" applyFont="1" applyFill="1" applyBorder="1"/>
    <xf numFmtId="0" fontId="46" fillId="0" borderId="6" xfId="38578" applyFont="1" applyFill="1" applyBorder="1" applyAlignment="1"/>
    <xf numFmtId="0" fontId="46" fillId="0" borderId="12" xfId="38578" applyNumberFormat="1" applyFont="1" applyFill="1" applyBorder="1"/>
    <xf numFmtId="172" fontId="46" fillId="0" borderId="13" xfId="38578" applyNumberFormat="1" applyFont="1" applyFill="1" applyBorder="1" applyAlignment="1">
      <alignment horizontal="right"/>
    </xf>
    <xf numFmtId="0" fontId="46" fillId="0" borderId="0" xfId="38578" applyNumberFormat="1" applyFont="1" applyFill="1" applyBorder="1"/>
    <xf numFmtId="0" fontId="46" fillId="0" borderId="14" xfId="38578" applyNumberFormat="1" applyFont="1" applyFill="1" applyBorder="1"/>
    <xf numFmtId="164" fontId="46" fillId="0" borderId="13" xfId="38578" applyNumberFormat="1" applyFont="1" applyFill="1" applyBorder="1" applyAlignment="1">
      <alignment horizontal="right"/>
    </xf>
    <xf numFmtId="164" fontId="46" fillId="0" borderId="0" xfId="38578" applyNumberFormat="1" applyFont="1" applyFill="1" applyBorder="1" applyAlignment="1">
      <alignment horizontal="center"/>
    </xf>
    <xf numFmtId="164" fontId="46" fillId="0" borderId="0" xfId="38578" applyNumberFormat="1" applyFont="1" applyFill="1" applyBorder="1"/>
    <xf numFmtId="164" fontId="46" fillId="0" borderId="0" xfId="38578" applyNumberFormat="1" applyFont="1" applyFill="1" applyBorder="1" applyAlignment="1"/>
    <xf numFmtId="0" fontId="46" fillId="0" borderId="13" xfId="38578" applyNumberFormat="1" applyFont="1" applyFill="1" applyBorder="1" applyAlignment="1">
      <alignment horizontal="right"/>
    </xf>
    <xf numFmtId="0" fontId="46" fillId="0" borderId="16" xfId="38578" applyNumberFormat="1" applyFont="1" applyFill="1" applyBorder="1" applyAlignment="1">
      <alignment horizontal="right"/>
    </xf>
    <xf numFmtId="173" fontId="49" fillId="0" borderId="17" xfId="38578" applyNumberFormat="1" applyFont="1" applyFill="1" applyBorder="1" applyAlignment="1">
      <alignment horizontal="center"/>
    </xf>
    <xf numFmtId="173" fontId="49" fillId="0" borderId="17" xfId="38578" applyNumberFormat="1" applyFont="1" applyFill="1" applyBorder="1"/>
    <xf numFmtId="173" fontId="49" fillId="0" borderId="17" xfId="38578" applyNumberFormat="1" applyFont="1" applyFill="1" applyBorder="1" applyAlignment="1"/>
    <xf numFmtId="0" fontId="46" fillId="0" borderId="18" xfId="38578" applyNumberFormat="1" applyFont="1" applyFill="1" applyBorder="1"/>
    <xf numFmtId="164" fontId="46" fillId="0" borderId="11" xfId="5447" applyNumberFormat="1" applyFont="1" applyFill="1" applyBorder="1" applyAlignment="1">
      <alignment horizontal="right"/>
    </xf>
    <xf numFmtId="164" fontId="46" fillId="0" borderId="6" xfId="5447" applyNumberFormat="1" applyFont="1" applyFill="1" applyBorder="1" applyAlignment="1">
      <alignment horizontal="center"/>
    </xf>
    <xf numFmtId="164" fontId="46" fillId="0" borderId="6" xfId="5447" applyNumberFormat="1" applyFont="1" applyFill="1" applyBorder="1" applyAlignment="1"/>
    <xf numFmtId="0" fontId="46" fillId="0" borderId="12" xfId="38578" applyFont="1" applyFill="1" applyBorder="1"/>
    <xf numFmtId="164" fontId="46" fillId="0" borderId="13" xfId="5447" applyNumberFormat="1" applyFont="1" applyFill="1" applyBorder="1" applyAlignment="1">
      <alignment horizontal="right"/>
    </xf>
    <xf numFmtId="164" fontId="46" fillId="0" borderId="0" xfId="5447" applyNumberFormat="1" applyFont="1" applyFill="1" applyBorder="1" applyAlignment="1">
      <alignment horizontal="center"/>
    </xf>
    <xf numFmtId="0" fontId="46" fillId="0" borderId="14" xfId="38578" applyFont="1" applyFill="1" applyBorder="1"/>
    <xf numFmtId="0" fontId="46" fillId="0" borderId="13" xfId="38578" applyFont="1" applyFill="1" applyBorder="1" applyAlignment="1">
      <alignment horizontal="right"/>
    </xf>
    <xf numFmtId="0" fontId="46" fillId="0" borderId="14" xfId="38578" applyFont="1" applyFill="1" applyBorder="1" applyAlignment="1"/>
    <xf numFmtId="164" fontId="46" fillId="0" borderId="16" xfId="5447" applyNumberFormat="1" applyFont="1" applyFill="1" applyBorder="1" applyAlignment="1">
      <alignment horizontal="right"/>
    </xf>
    <xf numFmtId="3" fontId="46" fillId="0" borderId="17" xfId="38578" applyNumberFormat="1" applyFont="1" applyFill="1" applyBorder="1" applyAlignment="1">
      <alignment horizontal="center"/>
    </xf>
    <xf numFmtId="0" fontId="46" fillId="0" borderId="18" xfId="38578" applyNumberFormat="1" applyFont="1" applyFill="1" applyBorder="1" applyAlignment="1"/>
    <xf numFmtId="3" fontId="46" fillId="0" borderId="0" xfId="38578" applyNumberFormat="1" applyFont="1" applyFill="1" applyAlignment="1"/>
    <xf numFmtId="164" fontId="46" fillId="0" borderId="11" xfId="38578" applyNumberFormat="1" applyFont="1" applyFill="1" applyBorder="1" applyAlignment="1">
      <alignment horizontal="right"/>
    </xf>
    <xf numFmtId="0" fontId="46" fillId="0" borderId="6" xfId="38578" applyFont="1" applyFill="1" applyBorder="1" applyAlignment="1">
      <alignment horizontal="center"/>
    </xf>
    <xf numFmtId="164" fontId="46" fillId="0" borderId="19" xfId="38578" applyNumberFormat="1" applyFont="1" applyFill="1" applyBorder="1" applyAlignment="1">
      <alignment horizontal="right"/>
    </xf>
    <xf numFmtId="164" fontId="46" fillId="0" borderId="15" xfId="38578" applyNumberFormat="1" applyFont="1" applyFill="1" applyBorder="1" applyAlignment="1">
      <alignment horizontal="right"/>
    </xf>
    <xf numFmtId="0" fontId="46" fillId="0" borderId="9" xfId="38578" applyNumberFormat="1" applyFont="1" applyFill="1" applyBorder="1" applyAlignment="1">
      <alignment horizontal="center"/>
    </xf>
    <xf numFmtId="164" fontId="46" fillId="0" borderId="9" xfId="5447" applyNumberFormat="1" applyFont="1" applyFill="1" applyBorder="1"/>
    <xf numFmtId="164" fontId="46" fillId="0" borderId="0" xfId="5447" applyNumberFormat="1" applyFont="1" applyFill="1" applyBorder="1"/>
    <xf numFmtId="164" fontId="46" fillId="0" borderId="0" xfId="19384" applyNumberFormat="1" applyFont="1" applyFill="1" applyBorder="1"/>
    <xf numFmtId="164" fontId="46" fillId="0" borderId="16" xfId="38578" applyNumberFormat="1" applyFont="1" applyFill="1" applyBorder="1" applyAlignment="1">
      <alignment horizontal="right"/>
    </xf>
    <xf numFmtId="164" fontId="46" fillId="0" borderId="17" xfId="38578" applyNumberFormat="1" applyFont="1" applyFill="1" applyBorder="1" applyAlignment="1">
      <alignment horizontal="center"/>
    </xf>
    <xf numFmtId="164" fontId="46" fillId="0" borderId="17" xfId="38578" applyNumberFormat="1" applyFont="1" applyFill="1" applyBorder="1" applyAlignment="1"/>
    <xf numFmtId="0" fontId="46" fillId="0" borderId="18" xfId="38578" applyFont="1" applyFill="1" applyBorder="1"/>
    <xf numFmtId="164" fontId="46" fillId="0" borderId="0" xfId="38578" applyNumberFormat="1" applyFont="1" applyFill="1" applyAlignment="1"/>
    <xf numFmtId="164" fontId="46" fillId="0" borderId="15" xfId="5447" applyNumberFormat="1" applyFont="1" applyFill="1" applyBorder="1" applyAlignment="1">
      <alignment horizontal="right"/>
    </xf>
    <xf numFmtId="164" fontId="46" fillId="0" borderId="9" xfId="5447" applyNumberFormat="1" applyFont="1" applyFill="1" applyBorder="1" applyAlignment="1">
      <alignment horizontal="center"/>
    </xf>
    <xf numFmtId="164" fontId="46" fillId="0" borderId="9" xfId="5447" applyNumberFormat="1" applyFont="1" applyFill="1" applyBorder="1" applyAlignment="1"/>
    <xf numFmtId="164" fontId="46" fillId="0" borderId="14" xfId="38578" applyNumberFormat="1" applyFont="1" applyFill="1" applyBorder="1"/>
    <xf numFmtId="38" fontId="46" fillId="0" borderId="0" xfId="42321" applyFont="1" applyFill="1" applyBorder="1" applyAlignment="1">
      <alignment horizontal="right"/>
    </xf>
    <xf numFmtId="0" fontId="46" fillId="0" borderId="20" xfId="38578" applyFont="1" applyFill="1" applyBorder="1"/>
    <xf numFmtId="0" fontId="46" fillId="0" borderId="6" xfId="38578" applyNumberFormat="1" applyFont="1" applyFill="1" applyBorder="1" applyAlignment="1"/>
    <xf numFmtId="0" fontId="46" fillId="0" borderId="12" xfId="38578" applyNumberFormat="1" applyFont="1" applyFill="1" applyBorder="1" applyAlignment="1"/>
    <xf numFmtId="0" fontId="46" fillId="0" borderId="14" xfId="38578" applyNumberFormat="1" applyFont="1" applyFill="1" applyBorder="1" applyAlignment="1"/>
    <xf numFmtId="0" fontId="3" fillId="0" borderId="0" xfId="38578" applyNumberFormat="1" applyFont="1" applyFill="1"/>
    <xf numFmtId="164" fontId="46" fillId="0" borderId="21" xfId="38578" applyNumberFormat="1" applyFont="1" applyFill="1" applyBorder="1" applyAlignment="1">
      <alignment horizontal="right"/>
    </xf>
    <xf numFmtId="0" fontId="46" fillId="0" borderId="9" xfId="38578" applyFont="1" applyFill="1" applyBorder="1" applyAlignment="1">
      <alignment horizontal="center"/>
    </xf>
    <xf numFmtId="43" fontId="46" fillId="0" borderId="0" xfId="5447" applyFont="1" applyFill="1" applyBorder="1" applyAlignment="1"/>
    <xf numFmtId="0" fontId="3" fillId="0" borderId="0" xfId="38578" applyNumberFormat="1" applyFont="1" applyFill="1" applyAlignment="1">
      <alignment horizontal="center"/>
    </xf>
    <xf numFmtId="0" fontId="46" fillId="0" borderId="0" xfId="38578" applyFont="1" applyFill="1" applyAlignment="1">
      <alignment wrapText="1"/>
    </xf>
    <xf numFmtId="0" fontId="46" fillId="0" borderId="0" xfId="38578" applyFont="1" applyFill="1" applyAlignment="1">
      <alignment horizontal="right" wrapText="1"/>
    </xf>
    <xf numFmtId="0" fontId="46" fillId="0" borderId="0" xfId="38578" applyFont="1" applyFill="1" applyAlignment="1">
      <alignment horizontal="center" wrapText="1"/>
    </xf>
    <xf numFmtId="0" fontId="3" fillId="21" borderId="11" xfId="38578" applyNumberFormat="1" applyFont="1" applyFill="1" applyBorder="1"/>
    <xf numFmtId="3" fontId="3" fillId="21" borderId="6" xfId="38578" applyNumberFormat="1" applyFont="1" applyFill="1" applyBorder="1" applyAlignment="1"/>
    <xf numFmtId="0" fontId="3" fillId="21" borderId="6" xfId="38578" applyNumberFormat="1" applyFont="1" applyFill="1" applyBorder="1"/>
    <xf numFmtId="0" fontId="3" fillId="21" borderId="6" xfId="38578" applyNumberFormat="1" applyFont="1" applyFill="1" applyBorder="1" applyAlignment="1">
      <alignment horizontal="right"/>
    </xf>
    <xf numFmtId="0" fontId="3" fillId="21" borderId="6" xfId="38578" applyNumberFormat="1" applyFont="1" applyFill="1" applyBorder="1" applyAlignment="1">
      <alignment horizontal="center"/>
    </xf>
    <xf numFmtId="0" fontId="3" fillId="21" borderId="6" xfId="38578" applyFont="1" applyFill="1" applyBorder="1"/>
    <xf numFmtId="0" fontId="3" fillId="21" borderId="12" xfId="38578" applyFont="1" applyFill="1" applyBorder="1" applyAlignment="1"/>
    <xf numFmtId="0" fontId="3" fillId="21" borderId="13" xfId="38578" applyNumberFormat="1" applyFont="1" applyFill="1" applyBorder="1"/>
    <xf numFmtId="3" fontId="3" fillId="21" borderId="0" xfId="38578" applyNumberFormat="1" applyFont="1" applyFill="1" applyBorder="1" applyAlignment="1"/>
    <xf numFmtId="0" fontId="3" fillId="21" borderId="0" xfId="38578" applyNumberFormat="1" applyFont="1" applyFill="1" applyBorder="1"/>
    <xf numFmtId="3" fontId="3" fillId="21" borderId="0" xfId="38578" applyNumberFormat="1" applyFont="1" applyFill="1" applyBorder="1" applyAlignment="1">
      <alignment horizontal="right"/>
    </xf>
    <xf numFmtId="0" fontId="3" fillId="21" borderId="0" xfId="38578" applyNumberFormat="1" applyFont="1" applyFill="1" applyBorder="1" applyAlignment="1">
      <alignment horizontal="center"/>
    </xf>
    <xf numFmtId="10" fontId="3" fillId="21" borderId="0" xfId="38578" applyNumberFormat="1" applyFont="1" applyFill="1" applyBorder="1"/>
    <xf numFmtId="0" fontId="3" fillId="21" borderId="0" xfId="38578" applyFont="1" applyFill="1" applyBorder="1"/>
    <xf numFmtId="0" fontId="3" fillId="21" borderId="14" xfId="38578" applyFont="1" applyFill="1" applyBorder="1" applyAlignment="1"/>
    <xf numFmtId="0" fontId="3" fillId="21" borderId="14" xfId="38578" applyFont="1" applyFill="1" applyBorder="1" applyAlignment="1">
      <alignment horizontal="center" vertical="top"/>
    </xf>
    <xf numFmtId="0" fontId="3" fillId="21" borderId="14" xfId="38578" applyFont="1" applyFill="1" applyBorder="1" applyAlignment="1">
      <alignment horizontal="center"/>
    </xf>
    <xf numFmtId="3" fontId="46" fillId="0" borderId="0" xfId="38578" applyNumberFormat="1" applyFont="1" applyFill="1" applyAlignment="1">
      <alignment horizontal="left"/>
    </xf>
    <xf numFmtId="10" fontId="3" fillId="22" borderId="0" xfId="38578" applyNumberFormat="1" applyFont="1" applyFill="1" applyBorder="1"/>
    <xf numFmtId="0" fontId="3" fillId="21" borderId="14" xfId="38578" applyNumberFormat="1" applyFont="1" applyFill="1" applyBorder="1" applyAlignment="1">
      <alignment horizontal="center"/>
    </xf>
    <xf numFmtId="3" fontId="3" fillId="21" borderId="13" xfId="38578" applyNumberFormat="1" applyFont="1" applyFill="1" applyBorder="1" applyAlignment="1"/>
    <xf numFmtId="0" fontId="3" fillId="21" borderId="12" xfId="38578" applyFont="1" applyFill="1" applyBorder="1" applyAlignment="1">
      <alignment horizontal="center"/>
    </xf>
    <xf numFmtId="3" fontId="3" fillId="21" borderId="11" xfId="38578" applyNumberFormat="1" applyFont="1" applyFill="1" applyBorder="1" applyAlignment="1" applyProtection="1"/>
    <xf numFmtId="1" fontId="3" fillId="21" borderId="6" xfId="38578" applyNumberFormat="1" applyFont="1" applyFill="1" applyBorder="1" applyAlignment="1" applyProtection="1">
      <alignment horizontal="right"/>
    </xf>
    <xf numFmtId="3" fontId="3" fillId="21" borderId="6" xfId="38578" applyNumberFormat="1" applyFont="1" applyFill="1" applyBorder="1" applyAlignment="1">
      <alignment horizontal="right"/>
    </xf>
    <xf numFmtId="3" fontId="3" fillId="21" borderId="6" xfId="38578" applyNumberFormat="1" applyFont="1" applyFill="1" applyBorder="1" applyAlignment="1">
      <alignment horizontal="center"/>
    </xf>
    <xf numFmtId="166" fontId="3" fillId="21" borderId="6" xfId="38578" applyNumberFormat="1" applyFont="1" applyFill="1" applyBorder="1" applyAlignment="1"/>
    <xf numFmtId="0" fontId="3" fillId="21" borderId="12" xfId="38578" applyNumberFormat="1" applyFont="1" applyFill="1" applyBorder="1" applyAlignment="1">
      <alignment horizontal="center"/>
    </xf>
    <xf numFmtId="3" fontId="3" fillId="21" borderId="13" xfId="38578" applyNumberFormat="1" applyFont="1" applyFill="1" applyBorder="1" applyAlignment="1" applyProtection="1"/>
    <xf numFmtId="1" fontId="3" fillId="22" borderId="6" xfId="38578" applyNumberFormat="1" applyFont="1" applyFill="1" applyBorder="1" applyAlignment="1" applyProtection="1">
      <alignment horizontal="right"/>
      <protection locked="0"/>
    </xf>
    <xf numFmtId="0" fontId="3" fillId="21" borderId="0" xfId="38578" applyNumberFormat="1" applyFont="1" applyFill="1" applyBorder="1" applyAlignment="1">
      <alignment horizontal="right"/>
    </xf>
    <xf numFmtId="0" fontId="3" fillId="21" borderId="6" xfId="38578" applyFont="1" applyFill="1" applyBorder="1" applyAlignment="1"/>
    <xf numFmtId="1" fontId="3" fillId="22" borderId="0" xfId="38578" applyNumberFormat="1" applyFont="1" applyFill="1" applyBorder="1" applyAlignment="1" applyProtection="1">
      <alignment horizontal="right"/>
      <protection locked="0"/>
    </xf>
    <xf numFmtId="3" fontId="3" fillId="21" borderId="0" xfId="38578" applyNumberFormat="1" applyFont="1" applyFill="1" applyBorder="1" applyAlignment="1">
      <alignment horizontal="center"/>
    </xf>
    <xf numFmtId="0" fontId="3" fillId="21" borderId="0" xfId="38578" applyFont="1" applyFill="1" applyBorder="1" applyAlignment="1"/>
    <xf numFmtId="0" fontId="3" fillId="22" borderId="0" xfId="38578" applyFont="1" applyFill="1" applyBorder="1" applyAlignment="1">
      <alignment horizontal="right"/>
    </xf>
    <xf numFmtId="0" fontId="3" fillId="21" borderId="13" xfId="38578" applyFont="1" applyFill="1" applyBorder="1" applyAlignment="1"/>
    <xf numFmtId="3" fontId="3" fillId="22" borderId="0" xfId="38578" applyNumberFormat="1" applyFont="1" applyFill="1" applyBorder="1" applyAlignment="1">
      <alignment horizontal="right"/>
    </xf>
    <xf numFmtId="172" fontId="3" fillId="21" borderId="0" xfId="38578" applyNumberFormat="1" applyFont="1" applyFill="1" applyBorder="1" applyAlignment="1">
      <alignment horizontal="right"/>
    </xf>
    <xf numFmtId="0" fontId="3" fillId="21" borderId="13" xfId="38578" applyFont="1" applyFill="1" applyBorder="1" applyAlignment="1">
      <alignment horizontal="right"/>
    </xf>
    <xf numFmtId="3" fontId="3" fillId="22" borderId="6" xfId="38578" applyNumberFormat="1" applyFont="1" applyFill="1" applyBorder="1" applyAlignment="1">
      <alignment horizontal="right"/>
    </xf>
    <xf numFmtId="0" fontId="51" fillId="21" borderId="0" xfId="38578" applyFont="1" applyFill="1" applyBorder="1" applyAlignment="1"/>
    <xf numFmtId="0" fontId="3" fillId="21" borderId="0" xfId="38578" applyFont="1" applyFill="1" applyBorder="1" applyAlignment="1">
      <alignment horizontal="right"/>
    </xf>
    <xf numFmtId="0" fontId="3" fillId="21"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4" fontId="3" fillId="0" borderId="0" xfId="38578" applyNumberFormat="1" applyFont="1" applyFill="1"/>
    <xf numFmtId="0" fontId="3" fillId="21" borderId="0" xfId="38578" applyFont="1" applyFill="1" applyBorder="1" applyAlignment="1" applyProtection="1">
      <alignment horizontal="right"/>
    </xf>
    <xf numFmtId="0" fontId="51" fillId="21" borderId="0" xfId="38578" applyFont="1" applyFill="1" applyBorder="1" applyAlignment="1">
      <alignment horizontal="right"/>
    </xf>
    <xf numFmtId="0" fontId="3" fillId="21" borderId="6" xfId="38578" applyFont="1" applyFill="1" applyBorder="1" applyAlignment="1">
      <alignment horizontal="center"/>
    </xf>
    <xf numFmtId="0" fontId="3" fillId="21" borderId="0" xfId="38578" applyNumberFormat="1" applyFont="1" applyFill="1" applyBorder="1" applyAlignment="1"/>
    <xf numFmtId="3" fontId="3" fillId="0" borderId="0" xfId="38578" applyNumberFormat="1" applyFont="1" applyFill="1" applyAlignment="1" applyProtection="1"/>
    <xf numFmtId="170"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0" fontId="3" fillId="0" borderId="0" xfId="38578" applyNumberFormat="1" applyFont="1" applyFill="1" applyBorder="1" applyProtection="1"/>
    <xf numFmtId="4" fontId="3" fillId="21"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1" borderId="0" xfId="38578" applyNumberFormat="1" applyFont="1" applyFill="1" applyBorder="1" applyAlignment="1">
      <alignment horizontal="right"/>
    </xf>
    <xf numFmtId="174" fontId="3" fillId="21" borderId="0" xfId="38578" applyNumberFormat="1" applyFont="1" applyFill="1" applyBorder="1" applyAlignment="1">
      <alignment horizontal="right"/>
    </xf>
    <xf numFmtId="9" fontId="3" fillId="21" borderId="0" xfId="38578" applyNumberFormat="1" applyFont="1" applyFill="1" applyBorder="1" applyAlignment="1">
      <alignment horizontal="center"/>
    </xf>
    <xf numFmtId="174" fontId="3" fillId="21" borderId="6" xfId="38578" applyNumberFormat="1" applyFont="1" applyFill="1" applyBorder="1" applyAlignment="1">
      <alignment horizontal="right"/>
    </xf>
    <xf numFmtId="3" fontId="3" fillId="21" borderId="13" xfId="38578" quotePrefix="1" applyNumberFormat="1" applyFont="1" applyFill="1" applyBorder="1" applyAlignment="1"/>
    <xf numFmtId="0" fontId="3" fillId="21" borderId="0" xfId="38578" applyFont="1" applyFill="1" applyBorder="1" applyAlignment="1">
      <alignment wrapText="1"/>
    </xf>
    <xf numFmtId="0" fontId="3" fillId="21" borderId="6" xfId="38578" applyFont="1" applyFill="1" applyBorder="1" applyAlignment="1">
      <alignment horizontal="right"/>
    </xf>
    <xf numFmtId="170" fontId="3" fillId="21" borderId="0" xfId="38578" applyNumberFormat="1" applyFont="1" applyFill="1" applyBorder="1" applyAlignment="1"/>
    <xf numFmtId="3" fontId="3" fillId="21" borderId="13" xfId="38578" applyNumberFormat="1" applyFont="1" applyFill="1" applyBorder="1" applyAlignment="1">
      <alignment horizontal="center"/>
    </xf>
    <xf numFmtId="3" fontId="3" fillId="22" borderId="6" xfId="38578" applyNumberFormat="1" applyFont="1" applyFill="1" applyBorder="1" applyAlignment="1"/>
    <xf numFmtId="173" fontId="3" fillId="21" borderId="0" xfId="38578" applyNumberFormat="1" applyFont="1" applyFill="1" applyBorder="1" applyAlignment="1"/>
    <xf numFmtId="173" fontId="3" fillId="21" borderId="0" xfId="38578" applyNumberFormat="1" applyFont="1" applyFill="1" applyBorder="1" applyAlignment="1">
      <alignment horizontal="right"/>
    </xf>
    <xf numFmtId="3" fontId="3" fillId="22" borderId="0" xfId="38578" applyNumberFormat="1" applyFont="1" applyFill="1" applyBorder="1" applyAlignment="1"/>
    <xf numFmtId="173" fontId="3" fillId="21" borderId="0" xfId="38578" applyNumberFormat="1" applyFont="1" applyFill="1" applyBorder="1" applyAlignment="1">
      <alignment horizontal="center"/>
    </xf>
    <xf numFmtId="173" fontId="3" fillId="21" borderId="13" xfId="38578" applyNumberFormat="1" applyFont="1" applyFill="1" applyBorder="1" applyAlignment="1"/>
    <xf numFmtId="175" fontId="3" fillId="21" borderId="0" xfId="38578" applyNumberFormat="1" applyFont="1" applyFill="1" applyBorder="1" applyAlignment="1">
      <alignment horizontal="center"/>
    </xf>
    <xf numFmtId="3" fontId="4" fillId="21" borderId="0" xfId="38578" applyNumberFormat="1" applyFont="1" applyFill="1" applyBorder="1" applyAlignment="1">
      <alignment horizontal="center"/>
    </xf>
    <xf numFmtId="0" fontId="3" fillId="21" borderId="13" xfId="38578" applyFont="1" applyFill="1" applyBorder="1" applyAlignment="1">
      <alignment horizontal="center"/>
    </xf>
    <xf numFmtId="176" fontId="3" fillId="21" borderId="0" xfId="38578" applyNumberFormat="1" applyFont="1" applyFill="1" applyBorder="1" applyAlignment="1">
      <alignment horizontal="right"/>
    </xf>
    <xf numFmtId="176" fontId="3" fillId="21" borderId="0" xfId="38578" applyNumberFormat="1" applyFont="1" applyFill="1" applyBorder="1" applyAlignment="1"/>
    <xf numFmtId="4" fontId="3" fillId="21" borderId="0" xfId="38578" applyNumberFormat="1" applyFont="1" applyFill="1" applyBorder="1" applyAlignment="1">
      <alignment horizontal="center"/>
    </xf>
    <xf numFmtId="177" fontId="46" fillId="0" borderId="0" xfId="38578" applyNumberFormat="1" applyFont="1" applyFill="1" applyAlignment="1"/>
    <xf numFmtId="10" fontId="3" fillId="21" borderId="0" xfId="38578" applyNumberFormat="1" applyFont="1" applyFill="1" applyBorder="1" applyAlignment="1">
      <alignment horizontal="left"/>
    </xf>
    <xf numFmtId="49" fontId="3" fillId="21" borderId="0" xfId="38578" applyNumberFormat="1" applyFont="1" applyFill="1" applyBorder="1" applyAlignment="1"/>
    <xf numFmtId="49" fontId="3" fillId="21" borderId="0" xfId="38578" applyNumberFormat="1" applyFont="1" applyFill="1" applyBorder="1" applyAlignment="1">
      <alignment horizontal="right"/>
    </xf>
    <xf numFmtId="49" fontId="3" fillId="21" borderId="0" xfId="38578" applyNumberFormat="1" applyFont="1" applyFill="1" applyBorder="1" applyAlignment="1">
      <alignment horizontal="center"/>
    </xf>
    <xf numFmtId="3" fontId="3" fillId="23" borderId="6" xfId="38578" applyNumberFormat="1" applyFont="1" applyFill="1" applyBorder="1" applyAlignment="1">
      <alignment horizontal="right"/>
    </xf>
    <xf numFmtId="3" fontId="3" fillId="23" borderId="0" xfId="38578" applyNumberFormat="1" applyFont="1" applyFill="1" applyBorder="1" applyAlignment="1">
      <alignment horizontal="right"/>
    </xf>
    <xf numFmtId="3" fontId="3" fillId="21" borderId="16" xfId="38578" applyNumberFormat="1" applyFont="1" applyFill="1" applyBorder="1" applyAlignment="1"/>
    <xf numFmtId="0" fontId="3" fillId="21" borderId="17" xfId="38578" applyNumberFormat="1" applyFont="1" applyFill="1" applyBorder="1" applyAlignment="1">
      <alignment horizontal="right"/>
    </xf>
    <xf numFmtId="0" fontId="3" fillId="21" borderId="17" xfId="38578" applyNumberFormat="1" applyFont="1" applyFill="1" applyBorder="1"/>
    <xf numFmtId="0" fontId="3" fillId="21" borderId="17" xfId="38578" applyNumberFormat="1" applyFont="1" applyFill="1" applyBorder="1" applyAlignment="1">
      <alignment horizontal="center"/>
    </xf>
    <xf numFmtId="0" fontId="3" fillId="21" borderId="17" xfId="38578" applyFont="1" applyFill="1" applyBorder="1" applyAlignment="1"/>
    <xf numFmtId="0" fontId="4" fillId="21" borderId="17" xfId="38578" applyFont="1" applyFill="1" applyBorder="1" applyAlignment="1"/>
    <xf numFmtId="0" fontId="3" fillId="21" borderId="18" xfId="38578" applyNumberFormat="1" applyFont="1" applyFill="1" applyBorder="1" applyAlignment="1">
      <alignment horizontal="center"/>
    </xf>
    <xf numFmtId="0" fontId="3" fillId="21" borderId="22" xfId="38578" applyNumberFormat="1" applyFont="1" applyFill="1" applyBorder="1"/>
    <xf numFmtId="3" fontId="3" fillId="21" borderId="23" xfId="38578" applyNumberFormat="1" applyFont="1" applyFill="1" applyBorder="1" applyAlignment="1">
      <alignment horizontal="right"/>
    </xf>
    <xf numFmtId="3" fontId="3" fillId="21" borderId="24" xfId="38578" applyNumberFormat="1" applyFont="1" applyFill="1" applyBorder="1" applyAlignment="1">
      <alignment horizontal="right"/>
    </xf>
    <xf numFmtId="3" fontId="3" fillId="21" borderId="24" xfId="38578" applyNumberFormat="1" applyFont="1" applyFill="1" applyBorder="1" applyAlignment="1">
      <alignment horizontal="center"/>
    </xf>
    <xf numFmtId="3" fontId="3" fillId="21" borderId="25" xfId="38578" applyNumberFormat="1" applyFont="1" applyFill="1" applyBorder="1" applyAlignment="1"/>
    <xf numFmtId="3" fontId="3" fillId="21" borderId="24" xfId="38578" applyNumberFormat="1" applyFont="1" applyFill="1" applyBorder="1" applyAlignment="1"/>
    <xf numFmtId="0" fontId="3" fillId="21" borderId="26" xfId="38578" applyNumberFormat="1" applyFont="1" applyFill="1" applyBorder="1"/>
    <xf numFmtId="3" fontId="3" fillId="21" borderId="27" xfId="38578" applyNumberFormat="1" applyFont="1" applyFill="1" applyBorder="1" applyAlignment="1">
      <alignment horizontal="right"/>
    </xf>
    <xf numFmtId="173" fontId="3" fillId="21" borderId="28" xfId="38578" applyNumberFormat="1" applyFont="1" applyFill="1" applyBorder="1" applyAlignment="1">
      <alignment horizontal="right"/>
    </xf>
    <xf numFmtId="3" fontId="3" fillId="21" borderId="28" xfId="38578" applyNumberFormat="1" applyFont="1" applyFill="1" applyBorder="1" applyAlignment="1">
      <alignment horizontal="center"/>
    </xf>
    <xf numFmtId="3" fontId="3" fillId="21" borderId="29" xfId="38578" applyNumberFormat="1" applyFont="1" applyFill="1" applyBorder="1" applyAlignment="1"/>
    <xf numFmtId="0" fontId="3" fillId="21" borderId="28" xfId="38578" applyFont="1" applyFill="1" applyBorder="1" applyAlignment="1"/>
    <xf numFmtId="3" fontId="3" fillId="21" borderId="29" xfId="38578" applyNumberFormat="1" applyFont="1" applyFill="1" applyBorder="1" applyAlignment="1">
      <alignment horizontal="right"/>
    </xf>
    <xf numFmtId="10" fontId="3" fillId="21" borderId="28" xfId="38578" applyNumberFormat="1" applyFont="1" applyFill="1" applyBorder="1" applyAlignment="1">
      <alignment horizontal="left"/>
    </xf>
    <xf numFmtId="175" fontId="3" fillId="21" borderId="0" xfId="38578" applyNumberFormat="1" applyFont="1" applyFill="1" applyBorder="1" applyAlignment="1">
      <alignment horizontal="left"/>
    </xf>
    <xf numFmtId="3" fontId="3" fillId="21" borderId="28" xfId="38578" applyNumberFormat="1" applyFont="1" applyFill="1" applyBorder="1" applyAlignment="1">
      <alignment horizontal="right"/>
    </xf>
    <xf numFmtId="0" fontId="3" fillId="21" borderId="28" xfId="38578" applyFont="1" applyFill="1" applyBorder="1" applyAlignment="1">
      <alignment horizontal="center"/>
    </xf>
    <xf numFmtId="3" fontId="3" fillId="21" borderId="28" xfId="38578" applyNumberFormat="1" applyFont="1" applyFill="1" applyBorder="1" applyAlignment="1"/>
    <xf numFmtId="0" fontId="3" fillId="21" borderId="28" xfId="38578" applyFont="1" applyFill="1" applyBorder="1" applyAlignment="1">
      <alignment horizontal="right"/>
    </xf>
    <xf numFmtId="3" fontId="3" fillId="22" borderId="28" xfId="38578" applyNumberFormat="1" applyFont="1" applyFill="1" applyBorder="1" applyAlignment="1"/>
    <xf numFmtId="174" fontId="3" fillId="21" borderId="28" xfId="38578" applyNumberFormat="1" applyFont="1" applyFill="1" applyBorder="1" applyAlignment="1">
      <alignment horizontal="right"/>
    </xf>
    <xf numFmtId="175" fontId="3" fillId="21" borderId="13" xfId="38578" applyNumberFormat="1" applyFont="1" applyFill="1" applyBorder="1" applyAlignment="1">
      <alignment horizontal="center"/>
    </xf>
    <xf numFmtId="10" fontId="3" fillId="21" borderId="0" xfId="38578" applyNumberFormat="1" applyFont="1" applyFill="1" applyBorder="1" applyAlignment="1">
      <alignment horizontal="left" wrapText="1"/>
    </xf>
    <xf numFmtId="0" fontId="52" fillId="21" borderId="28" xfId="19383" applyFont="1" applyFill="1" applyBorder="1" applyAlignment="1">
      <alignment horizontal="right" vertical="center" indent="1"/>
    </xf>
    <xf numFmtId="10" fontId="3" fillId="21" borderId="28" xfId="38578" applyNumberFormat="1" applyFont="1" applyFill="1" applyBorder="1" applyAlignment="1">
      <alignment horizontal="right"/>
    </xf>
    <xf numFmtId="3" fontId="3" fillId="21" borderId="28" xfId="38578" applyNumberFormat="1" applyFont="1" applyFill="1" applyBorder="1" applyAlignment="1">
      <alignment wrapText="1"/>
    </xf>
    <xf numFmtId="3" fontId="3" fillId="21" borderId="8" xfId="38578" applyNumberFormat="1" applyFont="1" applyFill="1" applyBorder="1" applyAlignment="1"/>
    <xf numFmtId="0" fontId="3" fillId="21" borderId="26" xfId="38578" applyFont="1" applyFill="1" applyBorder="1" applyAlignment="1"/>
    <xf numFmtId="0" fontId="46" fillId="0" borderId="0" xfId="38578" applyNumberFormat="1" applyFont="1" applyFill="1" applyAlignment="1">
      <alignment wrapText="1"/>
    </xf>
    <xf numFmtId="0" fontId="3" fillId="0" borderId="0" xfId="38578" applyFont="1" applyFill="1" applyAlignment="1">
      <alignment wrapText="1"/>
    </xf>
    <xf numFmtId="3" fontId="3" fillId="21" borderId="26" xfId="38578" applyNumberFormat="1" applyFont="1" applyFill="1" applyBorder="1" applyAlignment="1"/>
    <xf numFmtId="176" fontId="3" fillId="21" borderId="28" xfId="38578" applyNumberFormat="1" applyFont="1" applyFill="1" applyBorder="1" applyAlignment="1">
      <alignment horizontal="right"/>
    </xf>
    <xf numFmtId="3" fontId="3" fillId="23" borderId="28" xfId="38578" applyNumberFormat="1" applyFont="1" applyFill="1" applyBorder="1" applyAlignment="1"/>
    <xf numFmtId="3" fontId="3" fillId="23" borderId="30" xfId="38578" applyNumberFormat="1" applyFont="1" applyFill="1" applyBorder="1" applyAlignment="1"/>
    <xf numFmtId="0" fontId="3" fillId="0" borderId="0" xfId="38578" applyFont="1" applyFill="1" applyBorder="1" applyAlignment="1"/>
    <xf numFmtId="3" fontId="3" fillId="21" borderId="16" xfId="38578" applyNumberFormat="1" applyFont="1" applyFill="1" applyBorder="1"/>
    <xf numFmtId="3" fontId="3" fillId="21" borderId="31" xfId="38578" applyNumberFormat="1" applyFont="1" applyFill="1" applyBorder="1" applyAlignment="1">
      <alignment horizontal="right"/>
    </xf>
    <xf numFmtId="3" fontId="3" fillId="21" borderId="17" xfId="38578" applyNumberFormat="1" applyFont="1" applyFill="1" applyBorder="1" applyAlignment="1"/>
    <xf numFmtId="3" fontId="3" fillId="21" borderId="31" xfId="38578" applyNumberFormat="1" applyFont="1" applyFill="1" applyBorder="1" applyAlignment="1">
      <alignment horizontal="center"/>
    </xf>
    <xf numFmtId="3" fontId="3" fillId="21" borderId="31" xfId="38578" applyNumberFormat="1" applyFont="1" applyFill="1" applyBorder="1" applyAlignment="1"/>
    <xf numFmtId="3" fontId="3" fillId="21" borderId="11" xfId="38578" applyNumberFormat="1" applyFont="1" applyFill="1" applyBorder="1" applyAlignment="1"/>
    <xf numFmtId="3" fontId="3" fillId="21" borderId="32" xfId="38578" applyNumberFormat="1" applyFont="1" applyFill="1" applyBorder="1" applyAlignment="1"/>
    <xf numFmtId="175" fontId="3" fillId="21" borderId="24" xfId="38578" applyNumberFormat="1" applyFont="1" applyFill="1" applyBorder="1" applyAlignment="1">
      <alignment horizontal="right"/>
    </xf>
    <xf numFmtId="3" fontId="3" fillId="21" borderId="33" xfId="38578" applyNumberFormat="1" applyFont="1" applyFill="1" applyBorder="1" applyAlignment="1">
      <alignment horizontal="center"/>
    </xf>
    <xf numFmtId="3" fontId="3" fillId="21" borderId="33" xfId="38578" applyNumberFormat="1" applyFont="1" applyFill="1" applyBorder="1" applyAlignment="1"/>
    <xf numFmtId="0" fontId="3" fillId="21" borderId="34" xfId="38578" applyNumberFormat="1" applyFont="1" applyFill="1" applyBorder="1"/>
    <xf numFmtId="3" fontId="3" fillId="21" borderId="35" xfId="38578" applyNumberFormat="1" applyFont="1" applyFill="1" applyBorder="1" applyAlignment="1">
      <alignment horizontal="right"/>
    </xf>
    <xf numFmtId="0" fontId="3" fillId="21" borderId="5" xfId="38578" applyNumberFormat="1" applyFont="1" applyFill="1" applyBorder="1"/>
    <xf numFmtId="0" fontId="3" fillId="21" borderId="28" xfId="38578" applyNumberFormat="1" applyFont="1" applyFill="1" applyBorder="1" applyAlignment="1">
      <alignment horizontal="right"/>
    </xf>
    <xf numFmtId="0" fontId="3" fillId="21" borderId="8" xfId="38578" applyNumberFormat="1" applyFont="1" applyFill="1" applyBorder="1" applyAlignment="1">
      <alignment horizontal="center"/>
    </xf>
    <xf numFmtId="3" fontId="3" fillId="21" borderId="7" xfId="38578" applyNumberFormat="1" applyFont="1" applyFill="1" applyBorder="1" applyAlignment="1"/>
    <xf numFmtId="3" fontId="3" fillId="21" borderId="5" xfId="38578" applyNumberFormat="1" applyFont="1" applyFill="1" applyBorder="1" applyAlignment="1"/>
    <xf numFmtId="3" fontId="3" fillId="21" borderId="8" xfId="38578" applyNumberFormat="1" applyFont="1" applyFill="1" applyBorder="1" applyAlignment="1">
      <alignment horizontal="center"/>
    </xf>
    <xf numFmtId="3" fontId="3" fillId="22" borderId="8" xfId="38578" applyNumberFormat="1" applyFont="1" applyFill="1" applyBorder="1" applyAlignment="1"/>
    <xf numFmtId="0" fontId="3" fillId="21" borderId="8" xfId="38578" applyFont="1" applyFill="1" applyBorder="1" applyAlignment="1"/>
    <xf numFmtId="0" fontId="3" fillId="21" borderId="13" xfId="38578" applyNumberFormat="1" applyFont="1" applyFill="1" applyBorder="1" applyAlignment="1">
      <alignment horizontal="right"/>
    </xf>
    <xf numFmtId="3" fontId="3" fillId="21" borderId="0" xfId="38578" applyNumberFormat="1" applyFont="1" applyFill="1" applyBorder="1" applyAlignment="1">
      <alignment horizontal="right" wrapText="1"/>
    </xf>
    <xf numFmtId="3" fontId="3" fillId="21" borderId="5" xfId="38578" applyNumberFormat="1" applyFont="1" applyFill="1" applyBorder="1" applyAlignment="1">
      <alignment wrapText="1"/>
    </xf>
    <xf numFmtId="176" fontId="3" fillId="21" borderId="28" xfId="38578" applyNumberFormat="1" applyFont="1" applyFill="1" applyBorder="1" applyAlignment="1">
      <alignment horizontal="right" wrapText="1"/>
    </xf>
    <xf numFmtId="3" fontId="3" fillId="21" borderId="8" xfId="38578" applyNumberFormat="1" applyFont="1" applyFill="1" applyBorder="1" applyAlignment="1">
      <alignment horizontal="center" wrapText="1"/>
    </xf>
    <xf numFmtId="3" fontId="3" fillId="23" borderId="8" xfId="38578" applyNumberFormat="1" applyFont="1" applyFill="1" applyBorder="1" applyAlignment="1">
      <alignment wrapText="1"/>
    </xf>
    <xf numFmtId="0" fontId="3" fillId="21" borderId="8" xfId="38578" applyFont="1" applyFill="1" applyBorder="1" applyAlignment="1">
      <alignment wrapText="1"/>
    </xf>
    <xf numFmtId="175" fontId="3" fillId="21" borderId="28" xfId="38578" applyNumberFormat="1" applyFont="1" applyFill="1" applyBorder="1" applyAlignment="1">
      <alignment horizontal="right"/>
    </xf>
    <xf numFmtId="3" fontId="3" fillId="21" borderId="5" xfId="38578" applyNumberFormat="1" applyFont="1" applyFill="1" applyBorder="1" applyAlignment="1">
      <alignment horizontal="center"/>
    </xf>
    <xf numFmtId="3" fontId="3" fillId="23" borderId="8" xfId="38578" applyNumberFormat="1" applyFont="1" applyFill="1" applyBorder="1" applyAlignment="1"/>
    <xf numFmtId="175" fontId="3" fillId="21" borderId="13" xfId="38578" applyNumberFormat="1" applyFont="1" applyFill="1" applyBorder="1" applyAlignment="1">
      <alignment horizontal="center" wrapText="1"/>
    </xf>
    <xf numFmtId="175" fontId="3" fillId="21" borderId="26" xfId="38578" applyNumberFormat="1" applyFont="1" applyFill="1" applyBorder="1" applyAlignment="1">
      <alignment horizontal="center"/>
    </xf>
    <xf numFmtId="0" fontId="3" fillId="21" borderId="0" xfId="38578" applyNumberFormat="1" applyFont="1" applyFill="1" applyBorder="1" applyAlignment="1">
      <alignment wrapText="1"/>
    </xf>
    <xf numFmtId="3" fontId="3" fillId="21" borderId="13" xfId="38578" applyNumberFormat="1" applyFont="1" applyFill="1" applyBorder="1" applyAlignment="1">
      <alignment wrapText="1"/>
    </xf>
    <xf numFmtId="164" fontId="3" fillId="21" borderId="8" xfId="1" applyNumberFormat="1" applyFont="1" applyFill="1" applyBorder="1" applyAlignment="1"/>
    <xf numFmtId="175" fontId="3" fillId="21" borderId="16" xfId="38578" applyNumberFormat="1" applyFont="1" applyFill="1" applyBorder="1" applyAlignment="1">
      <alignment horizontal="center"/>
    </xf>
    <xf numFmtId="0" fontId="3" fillId="21" borderId="17" xfId="38578" applyFont="1" applyFill="1" applyBorder="1" applyAlignment="1">
      <alignment horizontal="center"/>
    </xf>
    <xf numFmtId="3" fontId="4" fillId="21" borderId="10" xfId="38578" applyNumberFormat="1" applyFont="1" applyFill="1" applyBorder="1" applyAlignment="1"/>
    <xf numFmtId="0" fontId="3" fillId="21" borderId="31" xfId="38578" applyFont="1" applyFill="1" applyBorder="1" applyAlignment="1">
      <alignment horizontal="right"/>
    </xf>
    <xf numFmtId="0" fontId="3" fillId="21" borderId="36" xfId="38578" applyFont="1" applyFill="1" applyBorder="1" applyAlignment="1">
      <alignment horizontal="center"/>
    </xf>
    <xf numFmtId="0" fontId="3" fillId="21" borderId="36" xfId="38578" applyFont="1" applyFill="1" applyBorder="1" applyAlignment="1"/>
    <xf numFmtId="42" fontId="3" fillId="21" borderId="24" xfId="38578" applyNumberFormat="1" applyFont="1" applyFill="1" applyBorder="1" applyAlignment="1">
      <alignment horizontal="right"/>
    </xf>
    <xf numFmtId="3" fontId="3" fillId="21" borderId="6" xfId="38578" applyNumberFormat="1" applyFont="1" applyFill="1" applyBorder="1" applyAlignment="1">
      <alignment horizontal="fill"/>
    </xf>
    <xf numFmtId="0" fontId="3" fillId="21" borderId="8" xfId="38578" applyNumberFormat="1" applyFont="1" applyFill="1" applyBorder="1"/>
    <xf numFmtId="37" fontId="3" fillId="21" borderId="28" xfId="38578" applyNumberFormat="1" applyFont="1" applyFill="1" applyBorder="1" applyAlignment="1">
      <alignment horizontal="right"/>
    </xf>
    <xf numFmtId="3" fontId="3" fillId="21" borderId="28" xfId="38578" applyNumberFormat="1" applyFont="1" applyFill="1" applyBorder="1"/>
    <xf numFmtId="0" fontId="3" fillId="21" borderId="5" xfId="38578" applyFont="1" applyFill="1" applyBorder="1" applyAlignment="1">
      <alignment horizontal="center"/>
    </xf>
    <xf numFmtId="0" fontId="3" fillId="21" borderId="8" xfId="38578" applyFont="1" applyFill="1" applyBorder="1"/>
    <xf numFmtId="0" fontId="3" fillId="21" borderId="37" xfId="38578" applyNumberFormat="1" applyFont="1" applyFill="1" applyBorder="1"/>
    <xf numFmtId="42" fontId="3" fillId="21" borderId="38" xfId="38578" applyNumberFormat="1" applyFont="1" applyFill="1" applyBorder="1"/>
    <xf numFmtId="0" fontId="3" fillId="21" borderId="36" xfId="38578" applyNumberFormat="1" applyFont="1" applyFill="1" applyBorder="1" applyAlignment="1">
      <alignment horizontal="center"/>
    </xf>
    <xf numFmtId="3" fontId="3" fillId="21" borderId="17" xfId="38578" applyNumberFormat="1" applyFont="1" applyFill="1" applyBorder="1"/>
    <xf numFmtId="0" fontId="3" fillId="21" borderId="36" xfId="38578" applyNumberFormat="1" applyFont="1" applyFill="1" applyBorder="1"/>
    <xf numFmtId="0" fontId="3" fillId="21" borderId="17" xfId="38578" applyFont="1" applyFill="1" applyBorder="1"/>
    <xf numFmtId="0" fontId="3" fillId="21" borderId="0" xfId="38578" applyNumberFormat="1" applyFont="1" applyFill="1"/>
    <xf numFmtId="49" fontId="3" fillId="21" borderId="0" xfId="38578" applyNumberFormat="1" applyFont="1" applyFill="1" applyAlignment="1">
      <alignment horizontal="center"/>
    </xf>
    <xf numFmtId="49" fontId="3" fillId="21" borderId="0" xfId="38578" applyNumberFormat="1" applyFont="1" applyFill="1" applyAlignment="1">
      <alignment horizontal="right"/>
    </xf>
    <xf numFmtId="0" fontId="3" fillId="21" borderId="0" xfId="38578" applyNumberFormat="1" applyFont="1" applyFill="1" applyAlignment="1">
      <alignment horizontal="center"/>
    </xf>
    <xf numFmtId="0" fontId="3" fillId="21" borderId="0" xfId="38578" applyFont="1" applyFill="1" applyAlignment="1">
      <alignment horizontal="center"/>
    </xf>
    <xf numFmtId="0" fontId="4" fillId="21" borderId="0" xfId="38578" applyFont="1" applyFill="1" applyAlignment="1">
      <alignment horizontal="center"/>
    </xf>
    <xf numFmtId="0" fontId="3" fillId="21" borderId="0" xfId="38578" applyNumberFormat="1" applyFont="1" applyFill="1" applyAlignment="1">
      <alignment horizontal="right"/>
    </xf>
    <xf numFmtId="0" fontId="3" fillId="21" borderId="0" xfId="38578" applyNumberFormat="1" applyFont="1" applyFill="1" applyAlignment="1">
      <alignment horizontal="left"/>
    </xf>
    <xf numFmtId="0" fontId="3" fillId="21" borderId="0" xfId="38578" applyNumberFormat="1" applyFont="1" applyFill="1" applyAlignment="1"/>
    <xf numFmtId="0" fontId="3" fillId="21" borderId="0" xfId="38578" applyFont="1" applyFill="1" applyAlignment="1">
      <alignment horizontal="right"/>
    </xf>
    <xf numFmtId="0" fontId="3" fillId="21" borderId="0" xfId="38578" applyFont="1" applyFill="1" applyAlignment="1"/>
    <xf numFmtId="0" fontId="3" fillId="21" borderId="0" xfId="38578" applyFont="1" applyFill="1" applyBorder="1" applyAlignment="1">
      <alignment horizontal="left"/>
    </xf>
    <xf numFmtId="0" fontId="46" fillId="0" borderId="0" xfId="0" applyFont="1" applyBorder="1"/>
    <xf numFmtId="0" fontId="46" fillId="0" borderId="0" xfId="0" applyFont="1" applyBorder="1" applyAlignment="1">
      <alignment horizontal="center"/>
    </xf>
    <xf numFmtId="3" fontId="3" fillId="0" borderId="0" xfId="0" applyNumberFormat="1" applyFont="1" applyFill="1" applyBorder="1"/>
    <xf numFmtId="0" fontId="53" fillId="0" borderId="0" xfId="0" applyFont="1" applyBorder="1"/>
    <xf numFmtId="164" fontId="0" fillId="0" borderId="0" xfId="1" applyNumberFormat="1" applyFont="1"/>
    <xf numFmtId="0" fontId="46" fillId="0" borderId="0" xfId="0" applyFont="1"/>
    <xf numFmtId="0" fontId="3" fillId="21" borderId="18" xfId="38578" applyFont="1" applyFill="1" applyBorder="1" applyAlignment="1">
      <alignment horizontal="left"/>
    </xf>
    <xf numFmtId="0" fontId="46" fillId="21" borderId="17" xfId="0" applyFont="1" applyFill="1" applyBorder="1"/>
    <xf numFmtId="0" fontId="46" fillId="21" borderId="0" xfId="0" applyFont="1" applyFill="1" applyBorder="1"/>
    <xf numFmtId="0" fontId="46" fillId="21" borderId="14" xfId="0" applyFont="1" applyFill="1" applyBorder="1"/>
    <xf numFmtId="0" fontId="55" fillId="21" borderId="0" xfId="0" applyFont="1" applyFill="1" applyBorder="1" applyAlignment="1">
      <alignment horizontal="centerContinuous" wrapText="1"/>
    </xf>
    <xf numFmtId="0" fontId="55" fillId="21" borderId="0" xfId="0" applyFont="1" applyFill="1" applyBorder="1" applyAlignment="1">
      <alignment horizontal="center" wrapText="1"/>
    </xf>
    <xf numFmtId="0" fontId="55" fillId="21" borderId="13" xfId="0" applyFont="1" applyFill="1" applyBorder="1" applyAlignment="1">
      <alignment horizontal="centerContinuous" wrapText="1"/>
    </xf>
    <xf numFmtId="0" fontId="54" fillId="21" borderId="12" xfId="0" applyFont="1" applyFill="1" applyBorder="1" applyAlignment="1">
      <alignment horizontal="center"/>
    </xf>
    <xf numFmtId="37" fontId="3" fillId="21" borderId="6" xfId="42321" applyNumberFormat="1" applyFont="1" applyFill="1" applyBorder="1" applyAlignment="1">
      <alignment horizontal="center"/>
    </xf>
    <xf numFmtId="37" fontId="3" fillId="21" borderId="11" xfId="42321" applyNumberFormat="1" applyFont="1" applyFill="1" applyBorder="1" applyAlignment="1">
      <alignment horizontal="center"/>
    </xf>
    <xf numFmtId="0" fontId="3" fillId="21" borderId="14" xfId="38787" applyFont="1" applyFill="1" applyBorder="1" applyAlignment="1">
      <alignment horizontal="center"/>
    </xf>
    <xf numFmtId="0" fontId="3" fillId="21" borderId="0" xfId="39548" applyFont="1" applyFill="1" applyBorder="1"/>
    <xf numFmtId="175" fontId="3" fillId="21" borderId="0" xfId="42188" applyNumberFormat="1" applyFont="1" applyFill="1" applyBorder="1"/>
    <xf numFmtId="0" fontId="3" fillId="21" borderId="0" xfId="38791" applyFont="1" applyFill="1" applyBorder="1"/>
    <xf numFmtId="167" fontId="3" fillId="21" borderId="42" xfId="18360" applyNumberFormat="1" applyFont="1" applyFill="1" applyBorder="1"/>
    <xf numFmtId="0" fontId="46" fillId="21" borderId="13" xfId="0" quotePrefix="1" applyFont="1" applyFill="1" applyBorder="1"/>
    <xf numFmtId="167" fontId="3" fillId="21" borderId="0" xfId="18360" applyNumberFormat="1" applyFont="1" applyFill="1" applyBorder="1"/>
    <xf numFmtId="0" fontId="3" fillId="21" borderId="0" xfId="39550" applyFont="1" applyFill="1" applyBorder="1"/>
    <xf numFmtId="44" fontId="3" fillId="21" borderId="0" xfId="18360" applyFont="1" applyFill="1" applyBorder="1"/>
    <xf numFmtId="0" fontId="3" fillId="21" borderId="0" xfId="39552" applyFont="1" applyFill="1" applyBorder="1"/>
    <xf numFmtId="0" fontId="46" fillId="21" borderId="43" xfId="0" quotePrefix="1" applyFont="1" applyFill="1" applyBorder="1"/>
    <xf numFmtId="3" fontId="3" fillId="21" borderId="0" xfId="18360" applyNumberFormat="1" applyFont="1" applyFill="1" applyBorder="1"/>
    <xf numFmtId="49" fontId="3" fillId="21" borderId="14" xfId="39562" applyNumberFormat="1" applyFont="1" applyFill="1" applyBorder="1" applyAlignment="1">
      <alignment horizontal="center"/>
    </xf>
    <xf numFmtId="0" fontId="3" fillId="21" borderId="0" xfId="39562" applyFont="1" applyFill="1" applyBorder="1"/>
    <xf numFmtId="49" fontId="3" fillId="21" borderId="12" xfId="39562" applyNumberFormat="1" applyFont="1" applyFill="1" applyBorder="1" applyAlignment="1">
      <alignment horizontal="center"/>
    </xf>
    <xf numFmtId="0" fontId="46" fillId="21" borderId="6" xfId="0" applyFont="1" applyFill="1" applyBorder="1"/>
    <xf numFmtId="0" fontId="46" fillId="21" borderId="16" xfId="0" applyFont="1" applyFill="1" applyBorder="1"/>
    <xf numFmtId="0" fontId="46" fillId="21" borderId="13" xfId="0" applyFont="1" applyFill="1" applyBorder="1"/>
    <xf numFmtId="0" fontId="46" fillId="21" borderId="43" xfId="0" applyFont="1" applyFill="1" applyBorder="1"/>
    <xf numFmtId="0" fontId="46" fillId="21" borderId="11" xfId="0" applyFont="1" applyFill="1" applyBorder="1"/>
    <xf numFmtId="0" fontId="3" fillId="21" borderId="35" xfId="39554" applyFont="1" applyFill="1" applyBorder="1"/>
    <xf numFmtId="167" fontId="3" fillId="21" borderId="44" xfId="18360" applyNumberFormat="1" applyFont="1" applyFill="1" applyBorder="1"/>
    <xf numFmtId="0" fontId="46" fillId="21" borderId="16" xfId="0" quotePrefix="1" applyFont="1" applyFill="1" applyBorder="1"/>
    <xf numFmtId="175" fontId="3" fillId="21" borderId="10" xfId="42188" applyNumberFormat="1" applyFont="1" applyFill="1" applyBorder="1"/>
    <xf numFmtId="167" fontId="3" fillId="21" borderId="45" xfId="18360" applyNumberFormat="1" applyFont="1" applyFill="1" applyBorder="1"/>
    <xf numFmtId="0" fontId="3" fillId="21" borderId="14" xfId="38790" applyFont="1" applyFill="1" applyBorder="1" applyAlignment="1">
      <alignment horizontal="center"/>
    </xf>
    <xf numFmtId="0" fontId="3" fillId="21" borderId="0" xfId="38791" applyFont="1" applyFill="1" applyBorder="1" applyAlignment="1">
      <alignment vertical="center"/>
    </xf>
    <xf numFmtId="38" fontId="3" fillId="21" borderId="0" xfId="38792" applyNumberFormat="1" applyFont="1" applyFill="1" applyBorder="1"/>
    <xf numFmtId="5" fontId="3" fillId="21" borderId="0" xfId="38792" applyNumberFormat="1" applyFont="1" applyFill="1" applyBorder="1"/>
    <xf numFmtId="5" fontId="3" fillId="21" borderId="9" xfId="38792" applyNumberFormat="1" applyFont="1" applyFill="1" applyBorder="1"/>
    <xf numFmtId="49" fontId="3" fillId="21" borderId="14" xfId="38790" applyNumberFormat="1" applyFont="1" applyFill="1" applyBorder="1" applyAlignment="1">
      <alignment horizontal="center"/>
    </xf>
    <xf numFmtId="0" fontId="3" fillId="21" borderId="0" xfId="38791" applyFont="1" applyFill="1" applyBorder="1" applyAlignment="1">
      <alignment horizontal="left"/>
    </xf>
    <xf numFmtId="0" fontId="54" fillId="21" borderId="17" xfId="0" applyFont="1" applyFill="1" applyBorder="1" applyAlignment="1">
      <alignment horizontal="centerContinuous" wrapText="1"/>
    </xf>
    <xf numFmtId="0" fontId="54" fillId="21" borderId="16" xfId="0" applyFont="1" applyFill="1" applyBorder="1" applyAlignment="1">
      <alignment horizontal="centerContinuous" wrapText="1"/>
    </xf>
    <xf numFmtId="0" fontId="54" fillId="21" borderId="0" xfId="0" applyFont="1" applyFill="1" applyBorder="1" applyAlignment="1">
      <alignment horizontal="centerContinuous" wrapText="1"/>
    </xf>
    <xf numFmtId="0" fontId="54" fillId="21" borderId="13" xfId="0" applyFont="1" applyFill="1" applyBorder="1" applyAlignment="1">
      <alignment horizontal="centerContinuous" wrapText="1"/>
    </xf>
    <xf numFmtId="0" fontId="54" fillId="21" borderId="14" xfId="0" applyFont="1" applyFill="1" applyBorder="1" applyAlignment="1">
      <alignment horizontal="center"/>
    </xf>
    <xf numFmtId="0" fontId="55" fillId="21" borderId="9" xfId="0" applyFont="1" applyFill="1" applyBorder="1"/>
    <xf numFmtId="0" fontId="54" fillId="21" borderId="28" xfId="0" applyFont="1" applyFill="1" applyBorder="1"/>
    <xf numFmtId="0" fontId="54" fillId="21" borderId="8" xfId="0" applyFont="1" applyFill="1" applyBorder="1"/>
    <xf numFmtId="0" fontId="54" fillId="21" borderId="36" xfId="0" applyFont="1" applyFill="1" applyBorder="1"/>
    <xf numFmtId="0" fontId="54" fillId="21" borderId="13" xfId="0" applyFont="1" applyFill="1" applyBorder="1"/>
    <xf numFmtId="0" fontId="54" fillId="21" borderId="0" xfId="0" applyFont="1" applyFill="1" applyBorder="1"/>
    <xf numFmtId="5" fontId="54" fillId="21" borderId="28" xfId="0" applyNumberFormat="1" applyFont="1" applyFill="1" applyBorder="1"/>
    <xf numFmtId="5" fontId="54" fillId="21" borderId="8" xfId="0" applyNumberFormat="1" applyFont="1" applyFill="1" applyBorder="1"/>
    <xf numFmtId="175" fontId="54" fillId="21" borderId="41" xfId="0" applyNumberFormat="1" applyFont="1" applyFill="1" applyBorder="1"/>
    <xf numFmtId="175" fontId="54" fillId="21" borderId="40" xfId="0" applyNumberFormat="1" applyFont="1" applyFill="1" applyBorder="1"/>
    <xf numFmtId="175" fontId="54" fillId="21" borderId="28" xfId="0" applyNumberFormat="1" applyFont="1" applyFill="1" applyBorder="1"/>
    <xf numFmtId="175" fontId="54" fillId="21" borderId="8" xfId="0" applyNumberFormat="1" applyFont="1" applyFill="1" applyBorder="1"/>
    <xf numFmtId="3" fontId="54" fillId="21" borderId="13" xfId="0" applyNumberFormat="1" applyFont="1" applyFill="1" applyBorder="1" applyAlignment="1">
      <alignment horizontal="right"/>
    </xf>
    <xf numFmtId="3" fontId="54" fillId="21" borderId="13" xfId="0" applyNumberFormat="1" applyFont="1" applyFill="1" applyBorder="1" applyAlignment="1">
      <alignment horizontal="left"/>
    </xf>
    <xf numFmtId="5" fontId="54" fillId="21" borderId="28" xfId="0" applyNumberFormat="1" applyFont="1" applyFill="1" applyBorder="1" applyAlignment="1">
      <alignment horizontal="right"/>
    </xf>
    <xf numFmtId="5" fontId="54" fillId="21" borderId="8" xfId="0" applyNumberFormat="1" applyFont="1" applyFill="1" applyBorder="1" applyAlignment="1">
      <alignment horizontal="right"/>
    </xf>
    <xf numFmtId="0" fontId="54" fillId="21" borderId="6" xfId="0" applyFont="1" applyFill="1" applyBorder="1"/>
    <xf numFmtId="5" fontId="54" fillId="21" borderId="24" xfId="0" applyNumberFormat="1" applyFont="1" applyFill="1" applyBorder="1"/>
    <xf numFmtId="5" fontId="54" fillId="21" borderId="33" xfId="0" applyNumberFormat="1" applyFont="1" applyFill="1" applyBorder="1"/>
    <xf numFmtId="0" fontId="54" fillId="21" borderId="11" xfId="0" applyFont="1" applyFill="1" applyBorder="1"/>
    <xf numFmtId="0" fontId="54" fillId="21" borderId="13" xfId="0" applyFont="1" applyFill="1" applyBorder="1" applyAlignment="1">
      <alignment wrapText="1"/>
    </xf>
    <xf numFmtId="49" fontId="3" fillId="21" borderId="12" xfId="38790" applyNumberFormat="1" applyFont="1" applyFill="1" applyBorder="1" applyAlignment="1">
      <alignment horizontal="center"/>
    </xf>
    <xf numFmtId="0" fontId="3" fillId="21" borderId="6" xfId="38791" applyFont="1" applyFill="1" applyBorder="1"/>
    <xf numFmtId="0" fontId="46" fillId="21" borderId="46" xfId="0" applyFont="1" applyFill="1" applyBorder="1"/>
    <xf numFmtId="0" fontId="57" fillId="21" borderId="0" xfId="0" applyFont="1" applyFill="1" applyBorder="1"/>
    <xf numFmtId="5" fontId="57" fillId="21" borderId="0" xfId="0" applyNumberFormat="1" applyFont="1" applyFill="1" applyBorder="1"/>
    <xf numFmtId="0" fontId="4" fillId="21" borderId="0" xfId="0" applyFont="1" applyFill="1" applyBorder="1" applyAlignment="1">
      <alignment horizontal="left"/>
    </xf>
    <xf numFmtId="0" fontId="3" fillId="21" borderId="0" xfId="0" applyFont="1" applyFill="1" applyBorder="1"/>
    <xf numFmtId="164" fontId="3" fillId="21" borderId="0" xfId="1" applyNumberFormat="1" applyFont="1" applyFill="1" applyBorder="1" applyAlignment="1">
      <alignment horizontal="left"/>
    </xf>
    <xf numFmtId="38" fontId="3" fillId="21" borderId="0" xfId="0" applyNumberFormat="1" applyFont="1" applyFill="1" applyBorder="1"/>
    <xf numFmtId="164" fontId="3" fillId="21" borderId="13" xfId="1" applyNumberFormat="1" applyFont="1" applyFill="1" applyBorder="1"/>
    <xf numFmtId="164" fontId="3" fillId="21" borderId="0" xfId="1" applyNumberFormat="1" applyFont="1" applyFill="1" applyBorder="1"/>
    <xf numFmtId="0" fontId="3" fillId="21" borderId="6" xfId="0" applyFont="1" applyFill="1" applyBorder="1"/>
    <xf numFmtId="164" fontId="3" fillId="21" borderId="6" xfId="1" applyNumberFormat="1" applyFont="1" applyFill="1" applyBorder="1"/>
    <xf numFmtId="38" fontId="3" fillId="21" borderId="6" xfId="0" applyNumberFormat="1" applyFont="1" applyFill="1" applyBorder="1"/>
    <xf numFmtId="164" fontId="3" fillId="21" borderId="11" xfId="1" applyNumberFormat="1" applyFont="1" applyFill="1" applyBorder="1"/>
    <xf numFmtId="0" fontId="4" fillId="21" borderId="14" xfId="0" applyFont="1" applyFill="1" applyBorder="1" applyAlignment="1">
      <alignment horizontal="center"/>
    </xf>
    <xf numFmtId="164" fontId="3" fillId="21" borderId="19" xfId="0" applyNumberFormat="1" applyFont="1" applyFill="1" applyBorder="1"/>
    <xf numFmtId="0" fontId="3" fillId="21" borderId="17" xfId="0" applyFont="1" applyFill="1" applyBorder="1"/>
    <xf numFmtId="43" fontId="3" fillId="21" borderId="17" xfId="0" applyNumberFormat="1" applyFont="1" applyFill="1" applyBorder="1"/>
    <xf numFmtId="164" fontId="3" fillId="21" borderId="17" xfId="0" applyNumberFormat="1" applyFont="1" applyFill="1" applyBorder="1"/>
    <xf numFmtId="38" fontId="3" fillId="21" borderId="17" xfId="0" applyNumberFormat="1" applyFont="1" applyFill="1" applyBorder="1"/>
    <xf numFmtId="0" fontId="3" fillId="21" borderId="17" xfId="38578" applyFont="1" applyFill="1" applyBorder="1" applyAlignment="1">
      <alignment horizontal="left"/>
    </xf>
    <xf numFmtId="0" fontId="46" fillId="21" borderId="14" xfId="0" applyFont="1" applyFill="1" applyBorder="1" applyAlignment="1">
      <alignment horizontal="center"/>
    </xf>
    <xf numFmtId="0" fontId="49" fillId="21" borderId="0" xfId="0" applyFont="1" applyFill="1" applyBorder="1" applyAlignment="1">
      <alignment horizontal="center"/>
    </xf>
    <xf numFmtId="37" fontId="4" fillId="21" borderId="0" xfId="19386" applyNumberFormat="1" applyFont="1" applyFill="1" applyBorder="1" applyAlignment="1">
      <alignment horizontal="center"/>
    </xf>
    <xf numFmtId="37" fontId="4" fillId="21" borderId="0" xfId="42321" applyNumberFormat="1" applyFont="1" applyFill="1" applyBorder="1" applyAlignment="1">
      <alignment horizontal="center"/>
    </xf>
    <xf numFmtId="0" fontId="46" fillId="21" borderId="12" xfId="0" applyFont="1" applyFill="1" applyBorder="1" applyAlignment="1">
      <alignment horizontal="center"/>
    </xf>
    <xf numFmtId="37" fontId="3" fillId="21" borderId="6" xfId="19386" applyNumberFormat="1" applyFont="1" applyFill="1" applyBorder="1" applyAlignment="1">
      <alignment horizontal="center"/>
    </xf>
    <xf numFmtId="0" fontId="3" fillId="21" borderId="6" xfId="19386" applyFont="1" applyFill="1" applyBorder="1" applyAlignment="1">
      <alignment horizontal="center"/>
    </xf>
    <xf numFmtId="38" fontId="3" fillId="21" borderId="6" xfId="42321" applyFont="1" applyFill="1" applyBorder="1" applyAlignment="1">
      <alignment horizontal="center"/>
    </xf>
    <xf numFmtId="0" fontId="46" fillId="21" borderId="11" xfId="0" applyFont="1" applyFill="1" applyBorder="1" applyAlignment="1">
      <alignment horizontal="center"/>
    </xf>
    <xf numFmtId="3" fontId="4" fillId="21" borderId="0" xfId="42321" applyNumberFormat="1" applyFont="1" applyFill="1" applyBorder="1" applyAlignment="1">
      <alignment horizontal="left"/>
    </xf>
    <xf numFmtId="38" fontId="3" fillId="21" borderId="0" xfId="42321" applyFont="1" applyFill="1" applyBorder="1" applyAlignment="1">
      <alignment horizontal="centerContinuous"/>
    </xf>
    <xf numFmtId="38" fontId="3" fillId="21" borderId="0" xfId="42321" applyFont="1" applyFill="1" applyBorder="1"/>
    <xf numFmtId="38" fontId="3" fillId="21" borderId="0" xfId="42321" applyFont="1" applyFill="1" applyBorder="1" applyAlignment="1">
      <alignment horizontal="right"/>
    </xf>
    <xf numFmtId="38" fontId="3" fillId="21" borderId="0" xfId="42321" applyFont="1" applyFill="1" applyBorder="1" applyAlignment="1">
      <alignment horizontal="center"/>
    </xf>
    <xf numFmtId="173" fontId="3" fillId="21" borderId="0" xfId="42321" applyNumberFormat="1" applyFont="1" applyFill="1" applyBorder="1"/>
    <xf numFmtId="174" fontId="3" fillId="21" borderId="0" xfId="42321" applyNumberFormat="1" applyFont="1" applyFill="1" applyBorder="1" applyAlignment="1">
      <alignment horizontal="center"/>
    </xf>
    <xf numFmtId="38" fontId="3" fillId="21" borderId="0" xfId="19386" applyNumberFormat="1" applyFont="1" applyFill="1" applyBorder="1" applyAlignment="1">
      <alignment horizontal="center"/>
    </xf>
    <xf numFmtId="38" fontId="3" fillId="21" borderId="9" xfId="42321" applyFont="1" applyFill="1" applyBorder="1"/>
    <xf numFmtId="38" fontId="3" fillId="21" borderId="9" xfId="42321" applyFont="1" applyFill="1" applyBorder="1" applyAlignment="1">
      <alignment horizontal="center"/>
    </xf>
    <xf numFmtId="38" fontId="3" fillId="21" borderId="9" xfId="42321" applyFont="1" applyFill="1" applyBorder="1" applyAlignment="1">
      <alignment horizontal="right"/>
    </xf>
    <xf numFmtId="3" fontId="3" fillId="21" borderId="0" xfId="19386" applyNumberFormat="1" applyFont="1" applyFill="1" applyBorder="1"/>
    <xf numFmtId="179" fontId="3" fillId="21" borderId="0" xfId="42321" applyNumberFormat="1" applyFont="1" applyFill="1" applyBorder="1"/>
    <xf numFmtId="38" fontId="3" fillId="21" borderId="6" xfId="42321" applyFont="1" applyFill="1" applyBorder="1"/>
    <xf numFmtId="38" fontId="3" fillId="21" borderId="9" xfId="0" applyNumberFormat="1" applyFont="1" applyFill="1" applyBorder="1"/>
    <xf numFmtId="38" fontId="3" fillId="21" borderId="9" xfId="0" applyNumberFormat="1" applyFont="1" applyFill="1" applyBorder="1" applyAlignment="1">
      <alignment horizontal="center"/>
    </xf>
    <xf numFmtId="38" fontId="3" fillId="21" borderId="13" xfId="42321" applyFont="1" applyFill="1" applyBorder="1"/>
    <xf numFmtId="3" fontId="3" fillId="21" borderId="0" xfId="0" applyNumberFormat="1" applyFont="1" applyFill="1" applyBorder="1"/>
    <xf numFmtId="3" fontId="3" fillId="21" borderId="6" xfId="0" applyNumberFormat="1" applyFont="1" applyFill="1" applyBorder="1"/>
    <xf numFmtId="38" fontId="3" fillId="21" borderId="11" xfId="42321" applyFont="1" applyFill="1" applyBorder="1"/>
    <xf numFmtId="38" fontId="4" fillId="21" borderId="0" xfId="42321" applyFont="1" applyFill="1" applyBorder="1"/>
    <xf numFmtId="175" fontId="3" fillId="21" borderId="0" xfId="42321" applyNumberFormat="1" applyFont="1" applyFill="1" applyBorder="1"/>
    <xf numFmtId="10" fontId="3" fillId="21" borderId="0" xfId="42321" applyNumberFormat="1" applyFont="1" applyFill="1" applyBorder="1" applyAlignment="1">
      <alignment horizontal="center"/>
    </xf>
    <xf numFmtId="10" fontId="3" fillId="21" borderId="0" xfId="42321" applyNumberFormat="1" applyFont="1" applyFill="1" applyBorder="1"/>
    <xf numFmtId="174" fontId="3" fillId="21" borderId="0" xfId="42321" applyNumberFormat="1" applyFont="1" applyFill="1" applyBorder="1"/>
    <xf numFmtId="38" fontId="3" fillId="21" borderId="13" xfId="42321" applyFont="1" applyFill="1" applyBorder="1" applyAlignment="1">
      <alignment horizontal="center"/>
    </xf>
    <xf numFmtId="10" fontId="3" fillId="21" borderId="0" xfId="42321" applyNumberFormat="1" applyFont="1" applyFill="1" applyBorder="1" applyAlignment="1">
      <alignment horizontal="centerContinuous"/>
    </xf>
    <xf numFmtId="3" fontId="3" fillId="21" borderId="0" xfId="0" applyNumberFormat="1" applyFont="1" applyFill="1" applyBorder="1" applyAlignment="1">
      <alignment horizontal="centerContinuous"/>
    </xf>
    <xf numFmtId="3" fontId="4" fillId="21" borderId="0" xfId="0" applyNumberFormat="1" applyFont="1" applyFill="1" applyBorder="1" applyAlignment="1">
      <alignment horizontal="center"/>
    </xf>
    <xf numFmtId="3" fontId="3" fillId="21" borderId="0" xfId="0" applyNumberFormat="1" applyFont="1" applyFill="1" applyBorder="1" applyAlignment="1">
      <alignment horizontal="center"/>
    </xf>
    <xf numFmtId="178" fontId="3" fillId="21" borderId="0" xfId="0" applyNumberFormat="1" applyFont="1" applyFill="1" applyBorder="1" applyAlignment="1">
      <alignment horizontal="center"/>
    </xf>
    <xf numFmtId="178" fontId="3" fillId="21" borderId="9" xfId="0" applyNumberFormat="1" applyFont="1" applyFill="1" applyBorder="1" applyAlignment="1">
      <alignment horizontal="center"/>
    </xf>
    <xf numFmtId="0" fontId="46" fillId="21" borderId="9" xfId="0" applyFont="1" applyFill="1" applyBorder="1"/>
    <xf numFmtId="38" fontId="4" fillId="21" borderId="0" xfId="0" applyNumberFormat="1" applyFont="1" applyFill="1" applyBorder="1" applyAlignment="1">
      <alignment horizontal="left" vertical="center"/>
    </xf>
    <xf numFmtId="38" fontId="3" fillId="21" borderId="0" xfId="0" applyNumberFormat="1" applyFont="1" applyFill="1" applyBorder="1" applyAlignment="1">
      <alignment vertical="center"/>
    </xf>
    <xf numFmtId="38" fontId="3" fillId="21" borderId="0" xfId="0" applyNumberFormat="1" applyFont="1" applyFill="1" applyBorder="1" applyAlignment="1">
      <alignment horizontal="left" vertical="center"/>
    </xf>
    <xf numFmtId="38" fontId="3" fillId="21" borderId="6" xfId="0" applyNumberFormat="1" applyFont="1" applyFill="1" applyBorder="1" applyAlignment="1">
      <alignment horizontal="left" vertical="center"/>
    </xf>
    <xf numFmtId="38" fontId="3" fillId="21" borderId="6" xfId="0" applyNumberFormat="1" applyFont="1" applyFill="1" applyBorder="1" applyAlignment="1">
      <alignment vertical="center"/>
    </xf>
    <xf numFmtId="3" fontId="4" fillId="21" borderId="0" xfId="0" applyNumberFormat="1" applyFont="1" applyFill="1" applyBorder="1" applyAlignment="1">
      <alignment horizontal="right"/>
    </xf>
    <xf numFmtId="3" fontId="4" fillId="21" borderId="0" xfId="0" applyNumberFormat="1" applyFont="1" applyFill="1" applyBorder="1" applyAlignment="1">
      <alignment horizontal="left"/>
    </xf>
    <xf numFmtId="3" fontId="4" fillId="21" borderId="39" xfId="0" applyNumberFormat="1" applyFont="1" applyFill="1" applyBorder="1" applyAlignment="1">
      <alignment horizontal="left"/>
    </xf>
    <xf numFmtId="3" fontId="3" fillId="21" borderId="39" xfId="0" applyNumberFormat="1" applyFont="1" applyFill="1" applyBorder="1"/>
    <xf numFmtId="0" fontId="46" fillId="21" borderId="39" xfId="0" applyFont="1" applyFill="1" applyBorder="1"/>
    <xf numFmtId="3" fontId="4" fillId="21" borderId="0" xfId="0" applyNumberFormat="1" applyFont="1" applyFill="1" applyBorder="1" applyAlignment="1">
      <alignment vertical="center"/>
    </xf>
    <xf numFmtId="3" fontId="3" fillId="21" borderId="0" xfId="0" applyNumberFormat="1" applyFont="1" applyFill="1" applyBorder="1" applyAlignment="1">
      <alignment vertical="center"/>
    </xf>
    <xf numFmtId="0" fontId="46" fillId="21" borderId="18" xfId="0" applyFont="1" applyFill="1" applyBorder="1" applyAlignment="1">
      <alignment horizontal="center"/>
    </xf>
    <xf numFmtId="3" fontId="4" fillId="21" borderId="17" xfId="42321" applyNumberFormat="1" applyFont="1" applyFill="1" applyBorder="1" applyAlignment="1">
      <alignment horizontal="left"/>
    </xf>
    <xf numFmtId="3" fontId="3" fillId="21" borderId="17" xfId="0" applyNumberFormat="1" applyFont="1" applyFill="1" applyBorder="1" applyAlignment="1">
      <alignment horizontal="centerContinuous"/>
    </xf>
    <xf numFmtId="0" fontId="0" fillId="0" borderId="0" xfId="0" applyBorder="1"/>
    <xf numFmtId="38" fontId="3" fillId="21" borderId="2" xfId="0" applyNumberFormat="1" applyFont="1" applyFill="1" applyBorder="1"/>
    <xf numFmtId="164" fontId="3" fillId="21" borderId="16" xfId="0" applyNumberFormat="1" applyFont="1" applyFill="1" applyBorder="1"/>
    <xf numFmtId="0" fontId="0" fillId="0" borderId="0" xfId="0" applyFont="1"/>
    <xf numFmtId="0" fontId="49" fillId="21" borderId="0" xfId="0" applyFont="1" applyFill="1" applyBorder="1" applyAlignment="1">
      <alignment horizontal="center" vertical="center" wrapText="1"/>
    </xf>
    <xf numFmtId="1" fontId="3" fillId="23" borderId="8" xfId="1" applyNumberFormat="1" applyFont="1" applyFill="1" applyBorder="1" applyAlignment="1">
      <alignment wrapText="1"/>
    </xf>
    <xf numFmtId="1" fontId="3" fillId="23" borderId="8" xfId="1" applyNumberFormat="1" applyFont="1" applyFill="1" applyBorder="1" applyAlignment="1"/>
    <xf numFmtId="0" fontId="0" fillId="0" borderId="0" xfId="0" applyFont="1" applyBorder="1"/>
    <xf numFmtId="0" fontId="49" fillId="21" borderId="0" xfId="0" applyFont="1" applyFill="1" applyBorder="1" applyAlignment="1">
      <alignment horizontal="center" vertical="center"/>
    </xf>
    <xf numFmtId="164" fontId="0" fillId="0" borderId="0" xfId="1" applyNumberFormat="1" applyFont="1" applyBorder="1"/>
    <xf numFmtId="0" fontId="53" fillId="21" borderId="13" xfId="0" applyFont="1" applyFill="1" applyBorder="1"/>
    <xf numFmtId="0" fontId="57" fillId="21" borderId="6" xfId="0" applyFont="1" applyFill="1" applyBorder="1"/>
    <xf numFmtId="5" fontId="57" fillId="21" borderId="6" xfId="0" applyNumberFormat="1" applyFont="1" applyFill="1" applyBorder="1"/>
    <xf numFmtId="0" fontId="57" fillId="21" borderId="11" xfId="0" applyFont="1" applyFill="1" applyBorder="1"/>
    <xf numFmtId="164" fontId="46" fillId="21" borderId="14" xfId="1" applyNumberFormat="1" applyFont="1" applyFill="1" applyBorder="1"/>
    <xf numFmtId="3" fontId="3" fillId="21" borderId="0" xfId="42321" applyNumberFormat="1" applyFont="1" applyFill="1" applyBorder="1" applyAlignment="1">
      <alignment horizontal="right"/>
    </xf>
    <xf numFmtId="0" fontId="56" fillId="21" borderId="17" xfId="0" applyFont="1" applyFill="1" applyBorder="1" applyAlignment="1">
      <alignment horizontal="centerContinuous" wrapText="1"/>
    </xf>
    <xf numFmtId="0" fontId="3" fillId="21" borderId="0" xfId="38578" applyFont="1" applyFill="1"/>
    <xf numFmtId="0" fontId="3" fillId="0" borderId="0" xfId="0" applyFont="1" applyFill="1" applyBorder="1" applyAlignment="1">
      <alignment vertical="top"/>
    </xf>
    <xf numFmtId="164" fontId="4" fillId="0" borderId="0" xfId="1" applyNumberFormat="1" applyFont="1" applyFill="1" applyBorder="1" applyAlignment="1">
      <alignment horizontal="center" wrapText="1"/>
    </xf>
    <xf numFmtId="42" fontId="0" fillId="0" borderId="0" xfId="0" applyNumberFormat="1" applyBorder="1"/>
    <xf numFmtId="0" fontId="3" fillId="0" borderId="0" xfId="0" applyFont="1" applyFill="1" applyBorder="1" applyAlignment="1">
      <alignment horizontal="right"/>
    </xf>
    <xf numFmtId="0" fontId="3" fillId="21" borderId="14" xfId="0" applyFont="1" applyFill="1" applyBorder="1" applyAlignment="1">
      <alignment horizontal="center"/>
    </xf>
    <xf numFmtId="0" fontId="3" fillId="21" borderId="12" xfId="0" applyFont="1" applyFill="1" applyBorder="1" applyAlignment="1">
      <alignment horizontal="center"/>
    </xf>
    <xf numFmtId="0" fontId="3" fillId="21" borderId="0" xfId="38578" applyFont="1" applyFill="1" applyBorder="1"/>
    <xf numFmtId="38" fontId="3" fillId="0" borderId="0" xfId="0" applyNumberFormat="1" applyFont="1" applyFill="1" applyBorder="1" applyAlignment="1">
      <alignment horizontal="left"/>
    </xf>
    <xf numFmtId="0" fontId="3" fillId="21" borderId="0" xfId="38578" applyFont="1" applyFill="1" applyBorder="1" applyAlignment="1">
      <alignment wrapText="1"/>
    </xf>
    <xf numFmtId="0" fontId="3" fillId="21" borderId="14" xfId="38578" applyNumberFormat="1" applyFont="1" applyFill="1" applyBorder="1" applyAlignment="1">
      <alignment horizontal="center" vertical="top"/>
    </xf>
    <xf numFmtId="164" fontId="3" fillId="21" borderId="42" xfId="5447" applyNumberFormat="1" applyFont="1" applyFill="1" applyBorder="1"/>
    <xf numFmtId="3" fontId="3" fillId="21" borderId="0" xfId="18360" applyNumberFormat="1" applyFont="1" applyFill="1" applyBorder="1" applyAlignment="1">
      <alignment horizontal="right"/>
    </xf>
    <xf numFmtId="38" fontId="3" fillId="0" borderId="0" xfId="0" applyNumberFormat="1" applyFont="1" applyFill="1" applyBorder="1" applyAlignment="1">
      <alignment wrapText="1"/>
    </xf>
    <xf numFmtId="0" fontId="3" fillId="0" borderId="0" xfId="0" applyFont="1" applyFill="1" applyBorder="1" applyAlignment="1"/>
    <xf numFmtId="164" fontId="49" fillId="21" borderId="14" xfId="1" applyNumberFormat="1" applyFont="1" applyFill="1" applyBorder="1" applyAlignment="1">
      <alignment horizontal="center" wrapText="1"/>
    </xf>
    <xf numFmtId="164" fontId="49" fillId="21" borderId="0" xfId="1" applyNumberFormat="1" applyFont="1" applyFill="1" applyBorder="1" applyAlignment="1">
      <alignment horizontal="center"/>
    </xf>
    <xf numFmtId="38" fontId="49" fillId="21" borderId="0" xfId="0" applyNumberFormat="1" applyFont="1" applyFill="1" applyBorder="1" applyAlignment="1">
      <alignment horizontal="center"/>
    </xf>
    <xf numFmtId="10" fontId="46" fillId="21" borderId="0" xfId="3" applyNumberFormat="1" applyFont="1" applyFill="1" applyBorder="1"/>
    <xf numFmtId="38" fontId="46" fillId="21" borderId="0" xfId="0" applyNumberFormat="1" applyFont="1" applyFill="1" applyBorder="1"/>
    <xf numFmtId="164" fontId="46" fillId="21" borderId="13" xfId="0" applyNumberFormat="1" applyFont="1" applyFill="1" applyBorder="1"/>
    <xf numFmtId="0" fontId="46" fillId="21" borderId="2" xfId="0" applyFont="1" applyFill="1" applyBorder="1"/>
    <xf numFmtId="10" fontId="46" fillId="21" borderId="2" xfId="3" applyNumberFormat="1" applyFont="1" applyFill="1" applyBorder="1"/>
    <xf numFmtId="0" fontId="46" fillId="0" borderId="0" xfId="0" applyFont="1" applyFill="1"/>
    <xf numFmtId="0" fontId="46" fillId="21" borderId="12" xfId="0" applyFont="1" applyFill="1" applyBorder="1"/>
    <xf numFmtId="0" fontId="46" fillId="21" borderId="48" xfId="0" applyFont="1" applyFill="1" applyBorder="1"/>
    <xf numFmtId="38" fontId="46" fillId="21" borderId="48" xfId="0" applyNumberFormat="1" applyFont="1" applyFill="1" applyBorder="1"/>
    <xf numFmtId="164" fontId="46" fillId="21" borderId="22" xfId="0" applyNumberFormat="1" applyFont="1" applyFill="1" applyBorder="1"/>
    <xf numFmtId="38" fontId="46" fillId="0" borderId="0" xfId="0" applyNumberFormat="1" applyFont="1"/>
    <xf numFmtId="164" fontId="46" fillId="0" borderId="0" xfId="0" applyNumberFormat="1" applyFont="1"/>
    <xf numFmtId="164" fontId="49" fillId="21" borderId="13" xfId="0" applyNumberFormat="1" applyFont="1" applyFill="1" applyBorder="1" applyAlignment="1">
      <alignment horizontal="center" wrapText="1"/>
    </xf>
    <xf numFmtId="164" fontId="4" fillId="21" borderId="0" xfId="1" applyNumberFormat="1" applyFont="1" applyFill="1" applyBorder="1" applyAlignment="1">
      <alignment horizontal="center" wrapText="1"/>
    </xf>
    <xf numFmtId="38" fontId="4" fillId="21" borderId="0" xfId="0" applyNumberFormat="1" applyFont="1" applyFill="1" applyBorder="1" applyAlignment="1">
      <alignment horizontal="center" wrapText="1"/>
    </xf>
    <xf numFmtId="164" fontId="4" fillId="21" borderId="13" xfId="1" applyNumberFormat="1" applyFont="1" applyFill="1" applyBorder="1" applyAlignment="1">
      <alignment horizontal="center" wrapText="1"/>
    </xf>
    <xf numFmtId="164" fontId="46" fillId="21" borderId="0" xfId="1" applyNumberFormat="1" applyFont="1" applyFill="1" applyBorder="1"/>
    <xf numFmtId="38" fontId="46" fillId="21" borderId="17" xfId="0" applyNumberFormat="1" applyFont="1" applyFill="1" applyBorder="1"/>
    <xf numFmtId="164" fontId="46" fillId="21" borderId="16" xfId="0" applyNumberFormat="1" applyFont="1" applyFill="1" applyBorder="1"/>
    <xf numFmtId="0" fontId="4" fillId="21" borderId="14" xfId="0" applyFont="1" applyFill="1" applyBorder="1" applyAlignment="1">
      <alignment horizontal="center" wrapText="1"/>
    </xf>
    <xf numFmtId="0" fontId="3" fillId="21" borderId="0" xfId="0" applyFont="1" applyFill="1" applyBorder="1" applyAlignment="1">
      <alignment horizontal="left"/>
    </xf>
    <xf numFmtId="0" fontId="46" fillId="21" borderId="54" xfId="0" applyFont="1" applyFill="1" applyBorder="1"/>
    <xf numFmtId="0" fontId="46" fillId="21" borderId="55" xfId="0" applyFont="1" applyFill="1" applyBorder="1"/>
    <xf numFmtId="38" fontId="4" fillId="21" borderId="55" xfId="0" applyNumberFormat="1" applyFont="1" applyFill="1" applyBorder="1" applyAlignment="1">
      <alignment horizontal="center"/>
    </xf>
    <xf numFmtId="38" fontId="3" fillId="21" borderId="55" xfId="0" applyNumberFormat="1" applyFont="1" applyFill="1" applyBorder="1"/>
    <xf numFmtId="38" fontId="3" fillId="21" borderId="56" xfId="0" applyNumberFormat="1" applyFont="1" applyFill="1" applyBorder="1"/>
    <xf numFmtId="0" fontId="53" fillId="0" borderId="0" xfId="0" applyFont="1" applyFill="1" applyBorder="1" applyAlignment="1">
      <alignment horizontal="left" vertical="top"/>
    </xf>
    <xf numFmtId="0" fontId="53" fillId="0" borderId="17" xfId="0" applyFont="1" applyFill="1" applyBorder="1"/>
    <xf numFmtId="0" fontId="53" fillId="0" borderId="17" xfId="0" applyFont="1" applyFill="1" applyBorder="1" applyAlignment="1">
      <alignment horizontal="center" vertical="top"/>
    </xf>
    <xf numFmtId="167" fontId="53" fillId="0" borderId="17" xfId="2" applyNumberFormat="1" applyFont="1" applyFill="1" applyBorder="1"/>
    <xf numFmtId="0" fontId="53" fillId="0" borderId="16" xfId="0" applyFont="1" applyFill="1" applyBorder="1"/>
    <xf numFmtId="0" fontId="53" fillId="0" borderId="0" xfId="0" applyFont="1" applyFill="1" applyBorder="1"/>
    <xf numFmtId="0" fontId="53" fillId="0" borderId="14" xfId="0" applyFont="1" applyFill="1" applyBorder="1" applyAlignment="1">
      <alignment horizontal="left" vertical="top"/>
    </xf>
    <xf numFmtId="0" fontId="53" fillId="0" borderId="4" xfId="0" applyFont="1" applyFill="1" applyBorder="1" applyAlignment="1">
      <alignment horizontal="left" vertical="top" wrapText="1"/>
    </xf>
    <xf numFmtId="0" fontId="53" fillId="0" borderId="4" xfId="0" applyFont="1" applyFill="1" applyBorder="1"/>
    <xf numFmtId="0" fontId="53" fillId="0" borderId="4" xfId="0" applyFont="1" applyFill="1" applyBorder="1" applyAlignment="1">
      <alignment horizontal="center" vertical="top"/>
    </xf>
    <xf numFmtId="167" fontId="53" fillId="0" borderId="4" xfId="2" applyNumberFormat="1" applyFont="1" applyFill="1" applyBorder="1"/>
    <xf numFmtId="0" fontId="53" fillId="0" borderId="26" xfId="0" applyFont="1" applyFill="1" applyBorder="1"/>
    <xf numFmtId="0" fontId="61" fillId="0" borderId="28" xfId="0" applyFont="1" applyFill="1" applyBorder="1" applyAlignment="1">
      <alignment horizontal="center" vertical="center" wrapText="1" readingOrder="1"/>
    </xf>
    <xf numFmtId="0" fontId="61" fillId="0" borderId="14" xfId="0" applyFont="1" applyFill="1" applyBorder="1" applyAlignment="1">
      <alignment horizontal="center" vertical="center" wrapText="1" readingOrder="1"/>
    </xf>
    <xf numFmtId="0" fontId="61" fillId="0" borderId="5" xfId="0" applyFont="1" applyFill="1" applyBorder="1" applyAlignment="1">
      <alignment horizontal="center" vertical="center" wrapText="1"/>
    </xf>
    <xf numFmtId="0" fontId="61" fillId="0" borderId="0" xfId="0" applyFont="1" applyFill="1" applyBorder="1" applyAlignment="1">
      <alignment horizontal="center" vertical="center" wrapText="1" readingOrder="1"/>
    </xf>
    <xf numFmtId="167" fontId="61" fillId="0" borderId="0" xfId="2" applyNumberFormat="1" applyFont="1" applyFill="1" applyBorder="1" applyAlignment="1">
      <alignment horizontal="center" vertical="center" wrapText="1" readingOrder="1"/>
    </xf>
    <xf numFmtId="0" fontId="62" fillId="0" borderId="8" xfId="0" applyFont="1" applyFill="1" applyBorder="1" applyAlignment="1">
      <alignment horizontal="center" vertical="center" wrapText="1" readingOrder="1"/>
    </xf>
    <xf numFmtId="0" fontId="61" fillId="0" borderId="13" xfId="0" applyFont="1" applyFill="1" applyBorder="1" applyAlignment="1">
      <alignment horizontal="center" vertical="center" wrapText="1" readingOrder="1"/>
    </xf>
    <xf numFmtId="0" fontId="61" fillId="0" borderId="0" xfId="0" applyFont="1" applyFill="1" applyBorder="1" applyAlignment="1">
      <alignment horizontal="left" vertical="top"/>
    </xf>
    <xf numFmtId="0" fontId="53" fillId="0" borderId="14" xfId="0" applyFont="1" applyFill="1" applyBorder="1" applyAlignment="1">
      <alignment horizontal="center" vertical="top" readingOrder="1"/>
    </xf>
    <xf numFmtId="0" fontId="61" fillId="0" borderId="0" xfId="0" applyFont="1" applyFill="1" applyBorder="1" applyAlignment="1">
      <alignment horizontal="left" vertical="top" wrapText="1"/>
    </xf>
    <xf numFmtId="0" fontId="61" fillId="0" borderId="0" xfId="0" applyFont="1" applyFill="1" applyBorder="1" applyAlignment="1">
      <alignment vertical="top" wrapText="1"/>
    </xf>
    <xf numFmtId="0" fontId="61" fillId="0" borderId="0" xfId="0" applyFont="1" applyFill="1" applyBorder="1" applyAlignment="1">
      <alignment horizontal="center" vertical="top"/>
    </xf>
    <xf numFmtId="167" fontId="61" fillId="0" borderId="0" xfId="2" applyNumberFormat="1" applyFont="1" applyFill="1" applyBorder="1"/>
    <xf numFmtId="0" fontId="61" fillId="0" borderId="8" xfId="0" applyFont="1" applyFill="1" applyBorder="1" applyAlignment="1">
      <alignment vertical="top" wrapText="1"/>
    </xf>
    <xf numFmtId="0" fontId="61" fillId="0" borderId="8" xfId="0" applyFont="1" applyFill="1" applyBorder="1" applyAlignment="1">
      <alignment vertical="top"/>
    </xf>
    <xf numFmtId="167" fontId="61" fillId="0" borderId="8" xfId="2" applyNumberFormat="1" applyFont="1" applyFill="1" applyBorder="1" applyAlignment="1">
      <alignment vertical="top"/>
    </xf>
    <xf numFmtId="0" fontId="61" fillId="0" borderId="13" xfId="0" applyFont="1" applyFill="1" applyBorder="1" applyAlignment="1">
      <alignment wrapText="1"/>
    </xf>
    <xf numFmtId="0" fontId="61" fillId="0" borderId="0" xfId="0" applyFont="1" applyFill="1" applyBorder="1"/>
    <xf numFmtId="0" fontId="53" fillId="0" borderId="0" xfId="0" applyFont="1" applyFill="1" applyBorder="1" applyAlignment="1">
      <alignment horizontal="left" vertical="top" wrapText="1"/>
    </xf>
    <xf numFmtId="0" fontId="53" fillId="0" borderId="0" xfId="0" applyFont="1" applyFill="1" applyBorder="1" applyAlignment="1">
      <alignment vertical="top" wrapText="1"/>
    </xf>
    <xf numFmtId="0" fontId="53" fillId="0" borderId="0" xfId="0" applyFont="1" applyFill="1" applyBorder="1" applyAlignment="1">
      <alignment horizontal="center" vertical="top"/>
    </xf>
    <xf numFmtId="167" fontId="63" fillId="0" borderId="0" xfId="2" applyNumberFormat="1" applyFont="1" applyFill="1" applyBorder="1"/>
    <xf numFmtId="0" fontId="53" fillId="0" borderId="8" xfId="0" applyFont="1" applyFill="1" applyBorder="1" applyAlignment="1">
      <alignment vertical="top" wrapText="1"/>
    </xf>
    <xf numFmtId="0" fontId="53" fillId="0" borderId="8" xfId="0" applyFont="1" applyFill="1" applyBorder="1" applyAlignment="1">
      <alignment vertical="top"/>
    </xf>
    <xf numFmtId="167" fontId="53" fillId="0" borderId="8" xfId="2" applyNumberFormat="1" applyFont="1" applyFill="1" applyBorder="1" applyAlignment="1">
      <alignment vertical="top"/>
    </xf>
    <xf numFmtId="0" fontId="53" fillId="0" borderId="13" xfId="0" applyFont="1" applyFill="1" applyBorder="1" applyAlignment="1">
      <alignment wrapText="1"/>
    </xf>
    <xf numFmtId="167" fontId="53" fillId="0" borderId="0" xfId="2" applyNumberFormat="1" applyFont="1" applyFill="1" applyBorder="1"/>
    <xf numFmtId="0" fontId="53" fillId="0" borderId="13" xfId="0" applyFont="1" applyFill="1" applyBorder="1" applyAlignment="1">
      <alignment vertical="top" wrapText="1"/>
    </xf>
    <xf numFmtId="0" fontId="65" fillId="0" borderId="0" xfId="0" applyFont="1" applyFill="1" applyBorder="1" applyAlignment="1">
      <alignment vertical="top" wrapText="1"/>
    </xf>
    <xf numFmtId="167" fontId="65" fillId="0" borderId="0" xfId="2" applyNumberFormat="1" applyFont="1" applyFill="1" applyBorder="1"/>
    <xf numFmtId="0" fontId="53" fillId="0" borderId="0" xfId="0" applyFont="1" applyFill="1" applyBorder="1" applyAlignment="1">
      <alignment vertical="top"/>
    </xf>
    <xf numFmtId="167" fontId="64" fillId="0" borderId="0" xfId="2" applyNumberFormat="1" applyFont="1" applyFill="1" applyBorder="1"/>
    <xf numFmtId="180" fontId="53" fillId="0" borderId="13" xfId="0" applyNumberFormat="1" applyFont="1" applyFill="1" applyBorder="1" applyAlignment="1">
      <alignment wrapText="1"/>
    </xf>
    <xf numFmtId="0" fontId="53" fillId="0" borderId="28" xfId="0" applyFont="1" applyFill="1" applyBorder="1" applyAlignment="1">
      <alignment vertical="top"/>
    </xf>
    <xf numFmtId="0" fontId="53" fillId="0" borderId="28" xfId="0" applyFont="1" applyFill="1" applyBorder="1" applyAlignment="1">
      <alignment horizontal="left" vertical="top"/>
    </xf>
    <xf numFmtId="0" fontId="53" fillId="0" borderId="28" xfId="0" applyFont="1" applyFill="1" applyBorder="1" applyAlignment="1">
      <alignment horizontal="center" vertical="top"/>
    </xf>
    <xf numFmtId="167" fontId="63" fillId="0" borderId="8" xfId="2" applyNumberFormat="1" applyFont="1" applyFill="1" applyBorder="1" applyAlignment="1">
      <alignment vertical="top"/>
    </xf>
    <xf numFmtId="167" fontId="64" fillId="0" borderId="8" xfId="2" applyNumberFormat="1" applyFont="1" applyFill="1" applyBorder="1" applyAlignment="1">
      <alignment vertical="top"/>
    </xf>
    <xf numFmtId="0" fontId="54" fillId="0" borderId="0" xfId="0" applyFont="1" applyFill="1" applyBorder="1" applyAlignment="1">
      <alignment vertical="top"/>
    </xf>
    <xf numFmtId="167" fontId="63" fillId="0" borderId="28" xfId="2" applyNumberFormat="1" applyFont="1" applyFill="1" applyBorder="1" applyAlignment="1">
      <alignment vertical="top"/>
    </xf>
    <xf numFmtId="0" fontId="53" fillId="0" borderId="43" xfId="0" applyFont="1" applyFill="1" applyBorder="1" applyAlignment="1">
      <alignment wrapText="1"/>
    </xf>
    <xf numFmtId="167" fontId="53" fillId="0" borderId="28" xfId="2" applyNumberFormat="1" applyFont="1" applyFill="1" applyBorder="1" applyAlignment="1">
      <alignment vertical="top"/>
    </xf>
    <xf numFmtId="180" fontId="53" fillId="0" borderId="43" xfId="0" applyNumberFormat="1" applyFont="1" applyFill="1" applyBorder="1" applyAlignment="1">
      <alignment wrapText="1"/>
    </xf>
    <xf numFmtId="0" fontId="65" fillId="0" borderId="0" xfId="0" applyFont="1" applyFill="1" applyBorder="1" applyAlignment="1">
      <alignment horizontal="left" vertical="top"/>
    </xf>
    <xf numFmtId="0" fontId="61" fillId="0" borderId="0" xfId="0" applyFont="1" applyFill="1" applyBorder="1" applyAlignment="1">
      <alignment wrapText="1"/>
    </xf>
    <xf numFmtId="0" fontId="53" fillId="0" borderId="0" xfId="0" applyFont="1" applyFill="1" applyBorder="1" applyAlignment="1">
      <alignment wrapText="1"/>
    </xf>
    <xf numFmtId="0" fontId="53" fillId="0" borderId="8" xfId="0" applyFont="1" applyFill="1" applyBorder="1" applyAlignment="1">
      <alignment horizontal="left" vertical="top"/>
    </xf>
    <xf numFmtId="0" fontId="53" fillId="0" borderId="8" xfId="0" applyFont="1" applyFill="1" applyBorder="1" applyAlignment="1">
      <alignment horizontal="center" vertical="top"/>
    </xf>
    <xf numFmtId="167" fontId="53" fillId="0" borderId="13" xfId="2" applyNumberFormat="1" applyFont="1" applyFill="1" applyBorder="1" applyAlignment="1">
      <alignment wrapText="1"/>
    </xf>
    <xf numFmtId="167" fontId="63" fillId="0" borderId="0" xfId="0" applyNumberFormat="1" applyFont="1" applyFill="1" applyBorder="1"/>
    <xf numFmtId="0" fontId="53" fillId="0" borderId="13" xfId="0" applyFont="1" applyFill="1" applyBorder="1"/>
    <xf numFmtId="0" fontId="62" fillId="0" borderId="0" xfId="0" applyFont="1" applyFill="1" applyBorder="1" applyAlignment="1">
      <alignment horizontal="center" vertical="center" wrapText="1" readingOrder="1"/>
    </xf>
    <xf numFmtId="0" fontId="53" fillId="0" borderId="12" xfId="0" applyFont="1" applyFill="1" applyBorder="1" applyAlignment="1">
      <alignment horizontal="left" vertical="top"/>
    </xf>
    <xf numFmtId="0" fontId="67" fillId="0" borderId="18" xfId="0" applyFont="1" applyFill="1" applyBorder="1" applyAlignment="1">
      <alignment horizontal="left" vertical="top"/>
    </xf>
    <xf numFmtId="0" fontId="67" fillId="0" borderId="17" xfId="0" applyFont="1" applyFill="1" applyBorder="1" applyAlignment="1">
      <alignment horizontal="left" vertical="top"/>
    </xf>
    <xf numFmtId="0" fontId="67" fillId="0" borderId="16" xfId="0" applyFont="1" applyFill="1" applyBorder="1" applyAlignment="1">
      <alignment horizontal="left" vertical="top"/>
    </xf>
    <xf numFmtId="0" fontId="54" fillId="0" borderId="17" xfId="0" applyFont="1" applyFill="1" applyBorder="1"/>
    <xf numFmtId="0" fontId="54" fillId="0" borderId="54" xfId="0" applyFont="1" applyFill="1" applyBorder="1"/>
    <xf numFmtId="0" fontId="54" fillId="0" borderId="0" xfId="0" applyFont="1" applyFill="1" applyBorder="1"/>
    <xf numFmtId="0" fontId="55" fillId="0" borderId="51" xfId="0" applyFont="1" applyFill="1" applyBorder="1" applyAlignment="1">
      <alignment horizontal="center" readingOrder="1"/>
    </xf>
    <xf numFmtId="0" fontId="55" fillId="0" borderId="0" xfId="0" applyFont="1" applyFill="1" applyBorder="1" applyAlignment="1">
      <alignment horizontal="center" readingOrder="1"/>
    </xf>
    <xf numFmtId="0" fontId="55" fillId="0" borderId="0" xfId="0" applyFont="1" applyFill="1" applyBorder="1" applyAlignment="1">
      <alignment horizontal="center" wrapText="1" readingOrder="1"/>
    </xf>
    <xf numFmtId="0" fontId="55" fillId="0" borderId="55" xfId="0" applyFont="1" applyFill="1" applyBorder="1" applyAlignment="1">
      <alignment horizontal="center" readingOrder="1"/>
    </xf>
    <xf numFmtId="0" fontId="54" fillId="25" borderId="14" xfId="0" applyFont="1" applyFill="1" applyBorder="1" applyAlignment="1">
      <alignment horizontal="left" vertical="top"/>
    </xf>
    <xf numFmtId="0" fontId="55" fillId="0" borderId="0" xfId="0" applyFont="1" applyFill="1" applyBorder="1" applyAlignment="1">
      <alignment horizontal="left" vertical="top"/>
    </xf>
    <xf numFmtId="0" fontId="55" fillId="0" borderId="0" xfId="0" applyFont="1" applyFill="1" applyBorder="1"/>
    <xf numFmtId="0" fontId="55" fillId="0" borderId="55" xfId="0" applyFont="1" applyFill="1" applyBorder="1"/>
    <xf numFmtId="0" fontId="54" fillId="0" borderId="14" xfId="0" applyFont="1" applyFill="1" applyBorder="1" applyAlignment="1">
      <alignment horizontal="left" vertical="top"/>
    </xf>
    <xf numFmtId="0" fontId="54" fillId="0" borderId="0" xfId="0" applyFont="1" applyFill="1" applyBorder="1" applyAlignment="1">
      <alignment horizontal="left" vertical="top"/>
    </xf>
    <xf numFmtId="0" fontId="54" fillId="26" borderId="0" xfId="0" applyFont="1" applyFill="1" applyBorder="1"/>
    <xf numFmtId="0" fontId="54" fillId="0" borderId="55" xfId="0" applyFont="1" applyFill="1" applyBorder="1"/>
    <xf numFmtId="0" fontId="4" fillId="0" borderId="42" xfId="0" applyFont="1" applyFill="1" applyBorder="1" applyAlignment="1">
      <alignment horizontal="center"/>
    </xf>
    <xf numFmtId="0" fontId="4" fillId="0" borderId="42" xfId="0" applyFont="1" applyFill="1" applyBorder="1"/>
    <xf numFmtId="164" fontId="4" fillId="0" borderId="42" xfId="0" applyNumberFormat="1" applyFont="1" applyFill="1" applyBorder="1" applyAlignment="1">
      <alignment horizontal="right"/>
    </xf>
    <xf numFmtId="164" fontId="4" fillId="0" borderId="42" xfId="1" applyNumberFormat="1" applyFont="1" applyFill="1" applyBorder="1"/>
    <xf numFmtId="164" fontId="3" fillId="0" borderId="0" xfId="1" applyNumberFormat="1" applyFont="1" applyFill="1" applyBorder="1" applyAlignment="1">
      <alignment horizontal="left"/>
    </xf>
    <xf numFmtId="0" fontId="46" fillId="0" borderId="0" xfId="0" applyFont="1" applyFill="1" applyBorder="1"/>
    <xf numFmtId="0" fontId="3" fillId="0" borderId="29" xfId="38578" applyFont="1" applyFill="1" applyBorder="1" applyAlignment="1">
      <alignment horizontal="left"/>
    </xf>
    <xf numFmtId="0" fontId="46" fillId="0" borderId="29" xfId="0" applyFont="1" applyFill="1" applyBorder="1"/>
    <xf numFmtId="0" fontId="46" fillId="21" borderId="57" xfId="0" applyFont="1" applyFill="1" applyBorder="1"/>
    <xf numFmtId="0" fontId="46" fillId="21" borderId="58" xfId="0" applyFont="1" applyFill="1" applyBorder="1"/>
    <xf numFmtId="0" fontId="54" fillId="0" borderId="13" xfId="0" applyFont="1" applyFill="1" applyBorder="1"/>
    <xf numFmtId="0" fontId="53" fillId="26" borderId="14" xfId="0" applyFont="1" applyFill="1" applyBorder="1" applyAlignment="1">
      <alignment horizontal="left" vertical="top"/>
    </xf>
    <xf numFmtId="0" fontId="54" fillId="26" borderId="0" xfId="0" applyFont="1" applyFill="1" applyBorder="1" applyAlignment="1">
      <alignment horizontal="left" vertical="top"/>
    </xf>
    <xf numFmtId="0" fontId="54" fillId="26" borderId="13" xfId="0" applyFont="1" applyFill="1" applyBorder="1"/>
    <xf numFmtId="0" fontId="54" fillId="0" borderId="12" xfId="0" applyFont="1" applyFill="1" applyBorder="1"/>
    <xf numFmtId="49" fontId="60" fillId="24" borderId="0" xfId="19632" applyNumberFormat="1" applyFont="1" applyFill="1" applyBorder="1" applyAlignment="1">
      <alignment horizontal="left"/>
    </xf>
    <xf numFmtId="0" fontId="3" fillId="21" borderId="9" xfId="0" applyFont="1" applyFill="1" applyBorder="1"/>
    <xf numFmtId="49" fontId="60" fillId="24" borderId="6" xfId="19632" applyNumberFormat="1" applyFont="1" applyFill="1" applyBorder="1" applyAlignment="1">
      <alignment horizontal="left"/>
    </xf>
    <xf numFmtId="164" fontId="46" fillId="21" borderId="2" xfId="1" applyNumberFormat="1" applyFont="1" applyFill="1" applyBorder="1"/>
    <xf numFmtId="49" fontId="60" fillId="21" borderId="2" xfId="19632" applyNumberFormat="1" applyFont="1" applyFill="1" applyBorder="1" applyAlignment="1">
      <alignment horizontal="left"/>
    </xf>
    <xf numFmtId="49" fontId="60" fillId="24" borderId="9" xfId="19632" applyNumberFormat="1" applyFont="1" applyFill="1" applyBorder="1" applyAlignment="1">
      <alignment horizontal="left"/>
    </xf>
    <xf numFmtId="164" fontId="46" fillId="21" borderId="55" xfId="1" applyNumberFormat="1" applyFont="1" applyFill="1" applyBorder="1"/>
    <xf numFmtId="0" fontId="46" fillId="21" borderId="56" xfId="0" applyFont="1" applyFill="1" applyBorder="1"/>
    <xf numFmtId="43" fontId="46" fillId="21" borderId="17" xfId="1" applyNumberFormat="1" applyFont="1" applyFill="1" applyBorder="1"/>
    <xf numFmtId="43" fontId="46" fillId="21" borderId="0" xfId="1" applyNumberFormat="1" applyFont="1" applyFill="1" applyBorder="1"/>
    <xf numFmtId="43" fontId="4" fillId="21" borderId="0" xfId="1" applyNumberFormat="1" applyFont="1" applyFill="1" applyBorder="1" applyAlignment="1">
      <alignment horizontal="center" wrapText="1"/>
    </xf>
    <xf numFmtId="43" fontId="3" fillId="21" borderId="0" xfId="1" applyNumberFormat="1" applyFont="1" applyFill="1" applyBorder="1"/>
    <xf numFmtId="43" fontId="3" fillId="21" borderId="6" xfId="1" applyNumberFormat="1" applyFont="1" applyFill="1" applyBorder="1"/>
    <xf numFmtId="43" fontId="3" fillId="21" borderId="17" xfId="1" applyNumberFormat="1" applyFont="1" applyFill="1" applyBorder="1"/>
    <xf numFmtId="43" fontId="49" fillId="21" borderId="0" xfId="1" applyNumberFormat="1" applyFont="1" applyFill="1" applyBorder="1" applyAlignment="1">
      <alignment horizontal="center"/>
    </xf>
    <xf numFmtId="43" fontId="3" fillId="21" borderId="2" xfId="1" applyNumberFormat="1" applyFont="1" applyFill="1" applyBorder="1"/>
    <xf numFmtId="43" fontId="3" fillId="21" borderId="9" xfId="1" applyNumberFormat="1" applyFont="1" applyFill="1" applyBorder="1"/>
    <xf numFmtId="43" fontId="46" fillId="21" borderId="6" xfId="1" applyNumberFormat="1" applyFont="1" applyFill="1" applyBorder="1"/>
    <xf numFmtId="43" fontId="46" fillId="0" borderId="0" xfId="1" applyNumberFormat="1" applyFont="1"/>
    <xf numFmtId="38" fontId="3" fillId="0" borderId="0" xfId="0" applyNumberFormat="1" applyFont="1" applyFill="1" applyBorder="1" applyAlignment="1">
      <alignment wrapText="1"/>
    </xf>
    <xf numFmtId="38" fontId="3" fillId="21" borderId="0" xfId="19386" applyNumberFormat="1" applyFont="1" applyFill="1" applyBorder="1"/>
    <xf numFmtId="38" fontId="3" fillId="21" borderId="45" xfId="38792" applyNumberFormat="1" applyFont="1" applyFill="1" applyBorder="1"/>
    <xf numFmtId="0" fontId="0" fillId="0" borderId="7" xfId="0" applyBorder="1"/>
    <xf numFmtId="0" fontId="0" fillId="0" borderId="7" xfId="0" applyBorder="1" applyAlignment="1">
      <alignment vertical="center" wrapText="1"/>
    </xf>
    <xf numFmtId="0" fontId="3" fillId="21" borderId="0" xfId="38578" applyFont="1" applyFill="1" applyBorder="1"/>
    <xf numFmtId="0" fontId="4" fillId="21" borderId="0" xfId="38578" applyFont="1" applyFill="1" applyBorder="1" applyAlignment="1">
      <alignment horizontal="center"/>
    </xf>
    <xf numFmtId="49" fontId="3" fillId="21" borderId="6" xfId="38578" applyNumberFormat="1" applyFont="1" applyFill="1" applyBorder="1" applyAlignment="1">
      <alignment horizontal="center"/>
    </xf>
    <xf numFmtId="3" fontId="3" fillId="21" borderId="36" xfId="38578" applyNumberFormat="1" applyFont="1" applyFill="1" applyBorder="1" applyAlignment="1">
      <alignment horizontal="center"/>
    </xf>
    <xf numFmtId="3" fontId="3" fillId="21" borderId="31" xfId="38578" applyNumberFormat="1" applyFont="1" applyFill="1" applyBorder="1"/>
    <xf numFmtId="0" fontId="3" fillId="21" borderId="16" xfId="38578" applyNumberFormat="1" applyFont="1" applyFill="1" applyBorder="1"/>
    <xf numFmtId="9" fontId="3" fillId="21" borderId="0" xfId="3" applyFont="1" applyFill="1" applyBorder="1" applyAlignment="1">
      <alignment horizontal="right"/>
    </xf>
    <xf numFmtId="3" fontId="3" fillId="21" borderId="57" xfId="38578" applyNumberFormat="1" applyFont="1" applyFill="1" applyBorder="1" applyAlignment="1">
      <alignment horizontal="right"/>
    </xf>
    <xf numFmtId="0" fontId="3" fillId="21" borderId="9" xfId="38578" applyNumberFormat="1" applyFont="1" applyFill="1" applyBorder="1"/>
    <xf numFmtId="0" fontId="3" fillId="21" borderId="15" xfId="38578" applyNumberFormat="1" applyFont="1" applyFill="1" applyBorder="1"/>
    <xf numFmtId="0" fontId="3" fillId="21" borderId="10" xfId="38578" applyFont="1" applyFill="1" applyBorder="1"/>
    <xf numFmtId="0" fontId="3" fillId="21" borderId="5" xfId="38578" applyFont="1" applyFill="1" applyBorder="1"/>
    <xf numFmtId="0" fontId="3" fillId="21" borderId="28" xfId="38578" applyNumberFormat="1" applyFont="1" applyFill="1" applyBorder="1"/>
    <xf numFmtId="0" fontId="3" fillId="21" borderId="5" xfId="38578" applyNumberFormat="1" applyFont="1" applyFill="1" applyBorder="1" applyAlignment="1">
      <alignment horizontal="center"/>
    </xf>
    <xf numFmtId="0" fontId="3" fillId="21" borderId="33" xfId="38578" applyNumberFormat="1" applyFont="1" applyFill="1" applyBorder="1"/>
    <xf numFmtId="0" fontId="3" fillId="21" borderId="33" xfId="38578" applyNumberFormat="1" applyFont="1" applyFill="1" applyBorder="1" applyAlignment="1">
      <alignment horizontal="center"/>
    </xf>
    <xf numFmtId="17" fontId="3" fillId="21" borderId="10" xfId="38578" applyNumberFormat="1" applyFont="1" applyFill="1" applyBorder="1" applyAlignment="1">
      <alignment horizontal="left"/>
    </xf>
    <xf numFmtId="17" fontId="3" fillId="21" borderId="5" xfId="38578" applyNumberFormat="1" applyFont="1" applyFill="1" applyBorder="1" applyAlignment="1">
      <alignment horizontal="left"/>
    </xf>
    <xf numFmtId="0" fontId="3" fillId="21" borderId="0" xfId="38578" applyFont="1" applyFill="1" applyBorder="1" applyAlignment="1">
      <alignment horizontal="left"/>
    </xf>
    <xf numFmtId="0" fontId="3" fillId="21" borderId="0" xfId="38578" applyFont="1" applyFill="1" applyBorder="1" applyAlignment="1"/>
    <xf numFmtId="0" fontId="3" fillId="0" borderId="0" xfId="0" applyFont="1" applyFill="1" applyBorder="1" applyAlignment="1"/>
    <xf numFmtId="3" fontId="3" fillId="21" borderId="57" xfId="38578" applyNumberFormat="1" applyFont="1" applyFill="1" applyBorder="1"/>
    <xf numFmtId="9" fontId="3" fillId="21" borderId="17" xfId="3" applyFont="1" applyFill="1" applyBorder="1" applyAlignment="1">
      <alignment horizontal="right"/>
    </xf>
    <xf numFmtId="17" fontId="3" fillId="21" borderId="28" xfId="38578" applyNumberFormat="1" applyFont="1" applyFill="1" applyBorder="1"/>
    <xf numFmtId="164" fontId="3" fillId="22" borderId="10" xfId="1" applyNumberFormat="1" applyFont="1" applyFill="1" applyBorder="1" applyAlignment="1">
      <alignment horizontal="right"/>
    </xf>
    <xf numFmtId="164" fontId="3" fillId="22" borderId="0" xfId="1" applyNumberFormat="1" applyFont="1" applyFill="1" applyBorder="1" applyAlignment="1">
      <alignment horizontal="right"/>
    </xf>
    <xf numFmtId="164" fontId="3" fillId="22" borderId="8" xfId="1" applyNumberFormat="1" applyFont="1" applyFill="1" applyBorder="1" applyAlignment="1">
      <alignment horizontal="right"/>
    </xf>
    <xf numFmtId="164" fontId="3" fillId="22" borderId="30" xfId="1" applyNumberFormat="1" applyFont="1" applyFill="1" applyBorder="1" applyAlignment="1">
      <alignment horizontal="right"/>
    </xf>
    <xf numFmtId="164" fontId="3" fillId="21" borderId="6" xfId="1" applyNumberFormat="1" applyFont="1" applyFill="1" applyBorder="1" applyAlignment="1">
      <alignment horizontal="right"/>
    </xf>
    <xf numFmtId="0" fontId="0" fillId="21" borderId="12" xfId="0" applyFill="1" applyBorder="1"/>
    <xf numFmtId="0" fontId="56" fillId="21" borderId="0" xfId="0" applyFont="1" applyFill="1" applyBorder="1" applyAlignment="1">
      <alignment horizontal="centerContinuous" wrapText="1"/>
    </xf>
    <xf numFmtId="0" fontId="54" fillId="21" borderId="9" xfId="0" applyFont="1" applyFill="1" applyBorder="1" applyAlignment="1">
      <alignment horizontal="center"/>
    </xf>
    <xf numFmtId="37" fontId="3" fillId="21" borderId="9" xfId="42321" applyNumberFormat="1" applyFont="1" applyFill="1" applyBorder="1" applyAlignment="1">
      <alignment horizontal="center"/>
    </xf>
    <xf numFmtId="0" fontId="54" fillId="21" borderId="0" xfId="0" applyFont="1" applyFill="1" applyBorder="1" applyAlignment="1">
      <alignment horizontal="center"/>
    </xf>
    <xf numFmtId="0" fontId="54" fillId="21" borderId="0" xfId="0" applyFont="1" applyFill="1" applyBorder="1" applyAlignment="1">
      <alignment horizontal="left"/>
    </xf>
    <xf numFmtId="5" fontId="54" fillId="21" borderId="0" xfId="0" applyNumberFormat="1" applyFont="1" applyFill="1" applyBorder="1" applyAlignment="1">
      <alignment horizontal="center"/>
    </xf>
    <xf numFmtId="38" fontId="54" fillId="21" borderId="0" xfId="0" applyNumberFormat="1" applyFont="1" applyFill="1" applyBorder="1"/>
    <xf numFmtId="175" fontId="54" fillId="21" borderId="0" xfId="3" applyNumberFormat="1" applyFont="1" applyFill="1" applyBorder="1"/>
    <xf numFmtId="5" fontId="54" fillId="21" borderId="0" xfId="0" applyNumberFormat="1" applyFont="1" applyFill="1" applyBorder="1"/>
    <xf numFmtId="164" fontId="54" fillId="21" borderId="0" xfId="1" applyNumberFormat="1" applyFont="1" applyFill="1" applyBorder="1"/>
    <xf numFmtId="167" fontId="54" fillId="21" borderId="0" xfId="2" applyNumberFormat="1" applyFont="1" applyFill="1" applyBorder="1"/>
    <xf numFmtId="167" fontId="54" fillId="21" borderId="0" xfId="0" applyNumberFormat="1" applyFont="1" applyFill="1" applyBorder="1"/>
    <xf numFmtId="0" fontId="55" fillId="21" borderId="0" xfId="0" applyFont="1" applyFill="1" applyBorder="1" applyAlignment="1">
      <alignment horizontal="left"/>
    </xf>
    <xf numFmtId="0" fontId="54" fillId="21" borderId="0" xfId="0" applyFont="1" applyFill="1" applyBorder="1" applyAlignment="1">
      <alignment wrapText="1"/>
    </xf>
    <xf numFmtId="175" fontId="54" fillId="21" borderId="0" xfId="0" applyNumberFormat="1" applyFont="1" applyFill="1" applyBorder="1"/>
    <xf numFmtId="3" fontId="54" fillId="21" borderId="0" xfId="0" applyNumberFormat="1" applyFont="1" applyFill="1" applyBorder="1" applyAlignment="1">
      <alignment horizontal="right"/>
    </xf>
    <xf numFmtId="0" fontId="71" fillId="21" borderId="0" xfId="0" applyFont="1" applyFill="1" applyBorder="1" applyAlignment="1">
      <alignment horizontal="left"/>
    </xf>
    <xf numFmtId="167" fontId="57" fillId="21" borderId="0" xfId="2" applyNumberFormat="1" applyFont="1" applyFill="1" applyBorder="1"/>
    <xf numFmtId="0" fontId="54" fillId="0" borderId="14" xfId="0" applyFont="1" applyFill="1" applyBorder="1" applyAlignment="1">
      <alignment horizontal="center"/>
    </xf>
    <xf numFmtId="0" fontId="57" fillId="0" borderId="0" xfId="0" applyFont="1" applyBorder="1"/>
    <xf numFmtId="0" fontId="53" fillId="21" borderId="0" xfId="0" applyFont="1" applyFill="1" applyBorder="1"/>
    <xf numFmtId="0" fontId="3" fillId="21" borderId="59" xfId="38578" applyFont="1" applyFill="1" applyBorder="1" applyAlignment="1">
      <alignment horizontal="left"/>
    </xf>
    <xf numFmtId="164" fontId="46" fillId="21" borderId="17" xfId="1" applyNumberFormat="1" applyFont="1" applyFill="1" applyBorder="1"/>
    <xf numFmtId="0" fontId="46" fillId="21" borderId="60" xfId="0" applyFont="1" applyFill="1" applyBorder="1"/>
    <xf numFmtId="0" fontId="4" fillId="21" borderId="60" xfId="0" applyFont="1" applyFill="1" applyBorder="1" applyAlignment="1">
      <alignment horizontal="center" wrapText="1"/>
    </xf>
    <xf numFmtId="38" fontId="4" fillId="21" borderId="13" xfId="0" applyNumberFormat="1" applyFont="1" applyFill="1" applyBorder="1" applyAlignment="1">
      <alignment horizontal="center"/>
    </xf>
    <xf numFmtId="0" fontId="3" fillId="21" borderId="61" xfId="0" applyFont="1" applyFill="1" applyBorder="1" applyAlignment="1">
      <alignment horizontal="center"/>
    </xf>
    <xf numFmtId="38" fontId="3" fillId="21" borderId="11" xfId="0" applyNumberFormat="1" applyFont="1" applyFill="1" applyBorder="1"/>
    <xf numFmtId="38" fontId="3" fillId="21" borderId="43" xfId="0" applyNumberFormat="1" applyFont="1" applyFill="1" applyBorder="1"/>
    <xf numFmtId="0" fontId="3" fillId="21" borderId="18" xfId="0" applyFont="1" applyFill="1" applyBorder="1"/>
    <xf numFmtId="164" fontId="3" fillId="21" borderId="17" xfId="1" applyNumberFormat="1" applyFont="1" applyFill="1" applyBorder="1"/>
    <xf numFmtId="38" fontId="4" fillId="21" borderId="43" xfId="0" applyNumberFormat="1" applyFont="1" applyFill="1" applyBorder="1" applyAlignment="1">
      <alignment horizontal="center"/>
    </xf>
    <xf numFmtId="0" fontId="4" fillId="21" borderId="14" xfId="0" applyFont="1" applyFill="1" applyBorder="1" applyAlignment="1">
      <alignment horizontal="left"/>
    </xf>
    <xf numFmtId="164" fontId="49" fillId="21" borderId="0" xfId="1" applyNumberFormat="1" applyFont="1" applyFill="1" applyBorder="1" applyAlignment="1">
      <alignment horizontal="center" wrapText="1"/>
    </xf>
    <xf numFmtId="164" fontId="46" fillId="21" borderId="43" xfId="1" applyNumberFormat="1" applyFont="1" applyFill="1" applyBorder="1"/>
    <xf numFmtId="164" fontId="46" fillId="21" borderId="47" xfId="1" applyNumberFormat="1" applyFont="1" applyFill="1" applyBorder="1"/>
    <xf numFmtId="164" fontId="3" fillId="21" borderId="2" xfId="1" applyNumberFormat="1" applyFont="1" applyFill="1" applyBorder="1"/>
    <xf numFmtId="164" fontId="46" fillId="0" borderId="0" xfId="1" applyNumberFormat="1" applyFont="1"/>
    <xf numFmtId="5" fontId="54" fillId="27" borderId="8" xfId="0" applyNumberFormat="1" applyFont="1" applyFill="1" applyBorder="1"/>
    <xf numFmtId="0" fontId="0" fillId="21" borderId="0" xfId="0" applyFill="1"/>
    <xf numFmtId="0" fontId="59" fillId="21" borderId="0" xfId="0" applyFont="1" applyFill="1"/>
    <xf numFmtId="0" fontId="0" fillId="21" borderId="0" xfId="0" applyFill="1" applyAlignment="1">
      <alignment horizontal="left"/>
    </xf>
    <xf numFmtId="0" fontId="72" fillId="21" borderId="0" xfId="42329" applyFill="1"/>
    <xf numFmtId="0" fontId="46" fillId="21" borderId="18" xfId="0" applyFont="1" applyFill="1" applyBorder="1"/>
    <xf numFmtId="0" fontId="49" fillId="21" borderId="17" xfId="0" applyFont="1" applyFill="1" applyBorder="1" applyAlignment="1">
      <alignment horizontal="center" vertical="center"/>
    </xf>
    <xf numFmtId="0" fontId="49" fillId="21" borderId="49" xfId="0" applyFont="1" applyFill="1" applyBorder="1" applyAlignment="1">
      <alignment horizontal="center" vertical="center" wrapText="1"/>
    </xf>
    <xf numFmtId="0" fontId="49" fillId="21" borderId="20" xfId="0" applyFont="1" applyFill="1" applyBorder="1" applyAlignment="1">
      <alignment wrapText="1"/>
    </xf>
    <xf numFmtId="0" fontId="49" fillId="21" borderId="9" xfId="0" applyFont="1" applyFill="1" applyBorder="1" applyAlignment="1">
      <alignment horizontal="center" vertical="center" wrapText="1"/>
    </xf>
    <xf numFmtId="0" fontId="49" fillId="21" borderId="50" xfId="0" applyFont="1" applyFill="1" applyBorder="1" applyAlignment="1">
      <alignment horizontal="center" vertical="center"/>
    </xf>
    <xf numFmtId="0" fontId="46" fillId="21" borderId="14" xfId="0" applyFont="1" applyFill="1" applyBorder="1" applyAlignment="1">
      <alignment wrapText="1"/>
    </xf>
    <xf numFmtId="164" fontId="46" fillId="21" borderId="9" xfId="1" applyNumberFormat="1" applyFont="1" applyFill="1" applyBorder="1"/>
    <xf numFmtId="164" fontId="46" fillId="21" borderId="50" xfId="1" applyNumberFormat="1" applyFont="1" applyFill="1" applyBorder="1"/>
    <xf numFmtId="42" fontId="46" fillId="21" borderId="0" xfId="0" applyNumberFormat="1" applyFont="1" applyFill="1" applyBorder="1"/>
    <xf numFmtId="42" fontId="46" fillId="21" borderId="13" xfId="0" applyNumberFormat="1" applyFont="1" applyFill="1" applyBorder="1"/>
    <xf numFmtId="0" fontId="46" fillId="21" borderId="47" xfId="0" applyFont="1" applyFill="1" applyBorder="1"/>
    <xf numFmtId="42" fontId="46" fillId="21" borderId="2" xfId="0" applyNumberFormat="1" applyFont="1" applyFill="1" applyBorder="1"/>
    <xf numFmtId="42" fontId="46" fillId="21" borderId="19" xfId="0" applyNumberFormat="1" applyFont="1" applyFill="1" applyBorder="1"/>
    <xf numFmtId="164" fontId="49" fillId="21" borderId="2" xfId="1" applyNumberFormat="1" applyFont="1" applyFill="1" applyBorder="1"/>
    <xf numFmtId="42" fontId="49" fillId="21" borderId="19" xfId="0" applyNumberFormat="1" applyFont="1" applyFill="1" applyBorder="1"/>
    <xf numFmtId="0" fontId="3" fillId="21" borderId="14" xfId="38578" applyFont="1" applyFill="1" applyBorder="1" applyAlignment="1">
      <alignment wrapText="1"/>
    </xf>
    <xf numFmtId="0" fontId="49" fillId="21" borderId="14" xfId="0" applyFont="1" applyFill="1" applyBorder="1"/>
    <xf numFmtId="42" fontId="49" fillId="21" borderId="13" xfId="0" applyNumberFormat="1" applyFont="1" applyFill="1" applyBorder="1" applyAlignment="1">
      <alignment horizontal="center" wrapText="1"/>
    </xf>
    <xf numFmtId="42" fontId="46" fillId="21" borderId="34" xfId="0" applyNumberFormat="1" applyFont="1" applyFill="1" applyBorder="1"/>
    <xf numFmtId="164" fontId="46" fillId="21" borderId="13" xfId="1" applyNumberFormat="1" applyFont="1" applyFill="1" applyBorder="1"/>
    <xf numFmtId="42" fontId="49" fillId="21" borderId="19" xfId="0" applyNumberFormat="1" applyFont="1" applyFill="1" applyBorder="1" applyAlignment="1">
      <alignment horizontal="center" wrapText="1"/>
    </xf>
    <xf numFmtId="0" fontId="0" fillId="21" borderId="0" xfId="0" applyFill="1" applyBorder="1"/>
    <xf numFmtId="38" fontId="46" fillId="21" borderId="13" xfId="0" applyNumberFormat="1" applyFont="1" applyFill="1" applyBorder="1"/>
    <xf numFmtId="0" fontId="0" fillId="21" borderId="6" xfId="0" applyFill="1" applyBorder="1"/>
    <xf numFmtId="0" fontId="0" fillId="21" borderId="11" xfId="0" applyFill="1" applyBorder="1"/>
    <xf numFmtId="0" fontId="54" fillId="21" borderId="4" xfId="0" applyFont="1" applyFill="1" applyBorder="1" applyAlignment="1">
      <alignment horizontal="center"/>
    </xf>
    <xf numFmtId="0" fontId="71" fillId="21" borderId="4" xfId="0" applyFont="1" applyFill="1" applyBorder="1" applyAlignment="1">
      <alignment horizontal="left"/>
    </xf>
    <xf numFmtId="5" fontId="57" fillId="21" borderId="4" xfId="0" applyNumberFormat="1" applyFont="1" applyFill="1" applyBorder="1"/>
    <xf numFmtId="0" fontId="57" fillId="21" borderId="4" xfId="0" applyFont="1" applyFill="1" applyBorder="1"/>
    <xf numFmtId="0" fontId="53" fillId="21" borderId="4" xfId="0" applyFont="1" applyFill="1" applyBorder="1"/>
    <xf numFmtId="0" fontId="3" fillId="21" borderId="0" xfId="38578" applyFont="1" applyFill="1" applyBorder="1" applyAlignment="1">
      <alignment wrapText="1"/>
    </xf>
    <xf numFmtId="37" fontId="3" fillId="21" borderId="31" xfId="38578" applyNumberFormat="1" applyFont="1" applyFill="1" applyBorder="1"/>
    <xf numFmtId="37" fontId="3" fillId="21" borderId="28" xfId="38578" applyNumberFormat="1" applyFont="1" applyFill="1" applyBorder="1"/>
    <xf numFmtId="37" fontId="3" fillId="21" borderId="57" xfId="38578" applyNumberFormat="1" applyFont="1" applyFill="1" applyBorder="1"/>
    <xf numFmtId="37" fontId="3" fillId="21" borderId="24" xfId="38578" applyNumberFormat="1" applyFont="1" applyFill="1" applyBorder="1" applyAlignment="1">
      <alignment horizontal="right"/>
    </xf>
    <xf numFmtId="0" fontId="49" fillId="21" borderId="9" xfId="0" applyFont="1" applyFill="1" applyBorder="1" applyAlignment="1">
      <alignment wrapText="1"/>
    </xf>
    <xf numFmtId="0" fontId="46" fillId="21" borderId="0" xfId="0" applyFont="1" applyFill="1" applyBorder="1" applyAlignment="1">
      <alignment wrapText="1"/>
    </xf>
    <xf numFmtId="0" fontId="49" fillId="21" borderId="0" xfId="0" applyFont="1" applyFill="1" applyBorder="1"/>
    <xf numFmtId="5" fontId="46" fillId="21" borderId="0" xfId="0" applyNumberFormat="1" applyFont="1" applyFill="1" applyBorder="1"/>
    <xf numFmtId="167" fontId="46" fillId="21" borderId="39" xfId="2" applyNumberFormat="1" applyFont="1" applyFill="1" applyBorder="1"/>
    <xf numFmtId="167" fontId="46" fillId="21" borderId="0" xfId="2" applyNumberFormat="1" applyFont="1" applyFill="1" applyBorder="1"/>
    <xf numFmtId="167" fontId="49" fillId="21" borderId="2" xfId="2" applyNumberFormat="1" applyFont="1" applyFill="1" applyBorder="1" applyAlignment="1">
      <alignment horizontal="right" wrapText="1"/>
    </xf>
    <xf numFmtId="167" fontId="49" fillId="21" borderId="0" xfId="2" applyNumberFormat="1" applyFont="1" applyFill="1" applyBorder="1" applyAlignment="1">
      <alignment horizontal="right" wrapText="1"/>
    </xf>
    <xf numFmtId="42" fontId="46" fillId="21" borderId="4" xfId="0" applyNumberFormat="1" applyFont="1" applyFill="1" applyBorder="1"/>
    <xf numFmtId="167" fontId="46" fillId="21" borderId="4" xfId="2" applyNumberFormat="1" applyFont="1" applyFill="1" applyBorder="1"/>
    <xf numFmtId="9" fontId="49" fillId="21" borderId="17" xfId="3" applyFont="1" applyFill="1" applyBorder="1" applyAlignment="1">
      <alignment horizontal="center" vertical="center"/>
    </xf>
    <xf numFmtId="9" fontId="49" fillId="21" borderId="9" xfId="3" applyFont="1" applyFill="1" applyBorder="1" applyAlignment="1">
      <alignment horizontal="center" vertical="center" wrapText="1"/>
    </xf>
    <xf numFmtId="9" fontId="46" fillId="21" borderId="0" xfId="3" applyFont="1" applyFill="1" applyBorder="1"/>
    <xf numFmtId="9" fontId="49" fillId="21" borderId="0" xfId="3" applyFont="1" applyFill="1" applyBorder="1" applyAlignment="1">
      <alignment horizontal="center" vertical="center" wrapText="1"/>
    </xf>
    <xf numFmtId="9" fontId="49" fillId="21" borderId="0" xfId="3" applyFont="1" applyFill="1" applyBorder="1" applyAlignment="1">
      <alignment horizontal="right" wrapText="1"/>
    </xf>
    <xf numFmtId="9" fontId="0" fillId="21" borderId="0" xfId="3" applyFont="1" applyFill="1" applyBorder="1"/>
    <xf numFmtId="9" fontId="0" fillId="0" borderId="0" xfId="3" applyFont="1"/>
    <xf numFmtId="9" fontId="46" fillId="21" borderId="2" xfId="3" applyFont="1" applyFill="1" applyBorder="1"/>
    <xf numFmtId="9" fontId="46" fillId="21" borderId="62" xfId="3" applyFont="1" applyFill="1" applyBorder="1"/>
    <xf numFmtId="9" fontId="49" fillId="21" borderId="2" xfId="3" applyFont="1" applyFill="1" applyBorder="1"/>
    <xf numFmtId="9" fontId="46" fillId="21" borderId="4" xfId="3" applyFont="1" applyFill="1" applyBorder="1"/>
    <xf numFmtId="9" fontId="46" fillId="21" borderId="39" xfId="3" applyFont="1" applyFill="1" applyBorder="1"/>
    <xf numFmtId="9" fontId="49" fillId="21" borderId="2" xfId="3" applyFont="1" applyFill="1" applyBorder="1" applyAlignment="1">
      <alignment horizontal="right" wrapText="1"/>
    </xf>
    <xf numFmtId="0" fontId="3" fillId="21" borderId="0" xfId="38578" applyFont="1" applyFill="1" applyBorder="1" applyAlignment="1">
      <alignment horizontal="left"/>
    </xf>
    <xf numFmtId="0" fontId="3" fillId="21" borderId="0" xfId="38578" applyNumberFormat="1" applyFont="1" applyFill="1" applyBorder="1" applyAlignment="1">
      <alignment horizontal="left"/>
    </xf>
    <xf numFmtId="0" fontId="0" fillId="21" borderId="17" xfId="0" applyFill="1" applyBorder="1"/>
    <xf numFmtId="0" fontId="0" fillId="21" borderId="16" xfId="0" applyFill="1" applyBorder="1"/>
    <xf numFmtId="0" fontId="0" fillId="21" borderId="13" xfId="0" applyFill="1" applyBorder="1"/>
    <xf numFmtId="0" fontId="3" fillId="21" borderId="14" xfId="38578" applyFont="1" applyFill="1" applyBorder="1" applyAlignment="1">
      <alignment horizontal="left"/>
    </xf>
    <xf numFmtId="0" fontId="3" fillId="21" borderId="60" xfId="38578" applyFont="1" applyFill="1" applyBorder="1" applyAlignment="1">
      <alignment horizontal="left"/>
    </xf>
    <xf numFmtId="0" fontId="53" fillId="0" borderId="53" xfId="0" applyFont="1" applyFill="1" applyBorder="1" applyAlignment="1">
      <alignment horizontal="left" vertical="top"/>
    </xf>
    <xf numFmtId="0" fontId="67" fillId="0" borderId="14" xfId="0" applyFont="1" applyFill="1" applyBorder="1" applyAlignment="1">
      <alignment horizontal="left" vertical="top"/>
    </xf>
    <xf numFmtId="0" fontId="67" fillId="0" borderId="0" xfId="0" applyFont="1" applyFill="1" applyBorder="1" applyAlignment="1">
      <alignment horizontal="left" vertical="top"/>
    </xf>
    <xf numFmtId="0" fontId="46" fillId="0" borderId="5" xfId="0" applyFont="1" applyFill="1" applyBorder="1"/>
    <xf numFmtId="0" fontId="3" fillId="0" borderId="14" xfId="38578" applyFont="1" applyFill="1" applyBorder="1" applyAlignment="1">
      <alignment horizontal="left"/>
    </xf>
    <xf numFmtId="167" fontId="3" fillId="21" borderId="0" xfId="2" applyNumberFormat="1" applyFont="1" applyFill="1" applyBorder="1"/>
    <xf numFmtId="0" fontId="72" fillId="21" borderId="0" xfId="42329" applyFill="1" applyAlignment="1">
      <alignment horizontal="left"/>
    </xf>
    <xf numFmtId="0" fontId="2" fillId="21" borderId="0" xfId="0" applyFont="1" applyFill="1" applyBorder="1" applyAlignment="1">
      <alignment horizontal="center"/>
    </xf>
    <xf numFmtId="0" fontId="3" fillId="21" borderId="0" xfId="38578" applyFont="1" applyFill="1" applyBorder="1"/>
    <xf numFmtId="0" fontId="72" fillId="21" borderId="0" xfId="42329" applyFill="1" applyAlignment="1">
      <alignment horizontal="left"/>
    </xf>
    <xf numFmtId="0" fontId="59" fillId="21" borderId="0" xfId="0" applyFont="1" applyFill="1" applyAlignment="1">
      <alignment horizontal="center"/>
    </xf>
    <xf numFmtId="0" fontId="73" fillId="21" borderId="0" xfId="0" applyFont="1" applyFill="1" applyAlignment="1">
      <alignment horizontal="center"/>
    </xf>
    <xf numFmtId="0" fontId="2" fillId="21" borderId="0" xfId="0" applyFont="1" applyFill="1" applyBorder="1" applyAlignment="1">
      <alignment horizontal="center"/>
    </xf>
    <xf numFmtId="0" fontId="2" fillId="21" borderId="14" xfId="0" applyFont="1" applyFill="1" applyBorder="1" applyAlignment="1">
      <alignment horizontal="center"/>
    </xf>
    <xf numFmtId="0" fontId="2" fillId="21" borderId="13" xfId="0" applyFont="1" applyFill="1" applyBorder="1" applyAlignment="1">
      <alignment horizontal="center"/>
    </xf>
    <xf numFmtId="0" fontId="2" fillId="21" borderId="12" xfId="0" applyFont="1" applyFill="1" applyBorder="1" applyAlignment="1">
      <alignment horizontal="center"/>
    </xf>
    <xf numFmtId="0" fontId="2" fillId="21" borderId="6" xfId="0" applyFont="1" applyFill="1" applyBorder="1" applyAlignment="1">
      <alignment horizontal="center"/>
    </xf>
    <xf numFmtId="0" fontId="2" fillId="21" borderId="11" xfId="0" applyFont="1" applyFill="1" applyBorder="1" applyAlignment="1">
      <alignment horizontal="center"/>
    </xf>
    <xf numFmtId="0" fontId="46" fillId="21" borderId="51" xfId="0" applyFont="1" applyFill="1" applyBorder="1" applyAlignment="1">
      <alignment horizontal="left" wrapText="1"/>
    </xf>
    <xf numFmtId="0" fontId="46" fillId="21" borderId="39" xfId="0" applyFont="1" applyFill="1" applyBorder="1" applyAlignment="1">
      <alignment horizontal="left" wrapText="1"/>
    </xf>
    <xf numFmtId="0" fontId="46" fillId="21" borderId="53" xfId="0" applyFont="1" applyFill="1" applyBorder="1" applyAlignment="1">
      <alignment horizontal="left" wrapText="1"/>
    </xf>
    <xf numFmtId="0" fontId="46" fillId="21" borderId="4" xfId="0" applyFont="1" applyFill="1" applyBorder="1" applyAlignment="1">
      <alignment horizontal="left" wrapText="1"/>
    </xf>
    <xf numFmtId="0" fontId="46" fillId="21" borderId="14" xfId="0" applyFont="1" applyFill="1" applyBorder="1" applyAlignment="1">
      <alignment horizontal="left" wrapText="1"/>
    </xf>
    <xf numFmtId="0" fontId="46" fillId="21" borderId="0" xfId="0" applyFont="1" applyFill="1" applyBorder="1" applyAlignment="1">
      <alignment horizontal="left" wrapText="1"/>
    </xf>
    <xf numFmtId="0" fontId="46" fillId="21" borderId="47" xfId="0" applyFont="1" applyFill="1" applyBorder="1" applyAlignment="1">
      <alignment horizontal="left" wrapText="1"/>
    </xf>
    <xf numFmtId="0" fontId="46" fillId="21" borderId="2" xfId="0" applyFont="1" applyFill="1" applyBorder="1" applyAlignment="1">
      <alignment horizontal="left" wrapText="1"/>
    </xf>
    <xf numFmtId="0" fontId="46" fillId="21" borderId="51" xfId="0" applyFont="1" applyFill="1" applyBorder="1" applyAlignment="1">
      <alignment horizontal="left"/>
    </xf>
    <xf numFmtId="0" fontId="46" fillId="21" borderId="39" xfId="0" applyFont="1" applyFill="1" applyBorder="1" applyAlignment="1">
      <alignment horizontal="left"/>
    </xf>
    <xf numFmtId="0" fontId="3" fillId="21" borderId="0" xfId="38578" applyFont="1" applyFill="1" applyBorder="1" applyAlignment="1">
      <alignment wrapText="1"/>
    </xf>
    <xf numFmtId="0" fontId="3" fillId="21" borderId="13" xfId="38578" applyFont="1" applyFill="1" applyBorder="1" applyAlignment="1">
      <alignment wrapText="1"/>
    </xf>
    <xf numFmtId="0" fontId="3" fillId="21" borderId="0" xfId="38578" applyFont="1" applyFill="1" applyBorder="1"/>
    <xf numFmtId="0" fontId="3" fillId="21" borderId="13" xfId="38578" applyFont="1" applyFill="1" applyBorder="1"/>
    <xf numFmtId="0" fontId="3" fillId="21" borderId="0" xfId="38578" applyFont="1" applyFill="1" applyBorder="1" applyAlignment="1"/>
    <xf numFmtId="0" fontId="3" fillId="21" borderId="13" xfId="38578" applyFont="1" applyFill="1" applyBorder="1" applyAlignment="1"/>
    <xf numFmtId="0" fontId="3" fillId="21" borderId="0" xfId="38578" applyFont="1" applyFill="1" applyBorder="1" applyAlignment="1">
      <alignment horizontal="left"/>
    </xf>
    <xf numFmtId="0" fontId="3" fillId="21" borderId="13" xfId="38578"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61" fillId="0" borderId="27" xfId="0" applyFont="1" applyFill="1" applyBorder="1" applyAlignment="1">
      <alignment horizontal="center"/>
    </xf>
    <xf numFmtId="0" fontId="61" fillId="0" borderId="4" xfId="0" applyFont="1" applyFill="1" applyBorder="1" applyAlignment="1">
      <alignment horizontal="center"/>
    </xf>
    <xf numFmtId="0" fontId="61" fillId="0" borderId="52" xfId="0" applyFont="1" applyFill="1" applyBorder="1" applyAlignment="1">
      <alignment horizontal="center"/>
    </xf>
    <xf numFmtId="0" fontId="53" fillId="0" borderId="6" xfId="0" applyFont="1" applyFill="1" applyBorder="1" applyAlignment="1">
      <alignment horizontal="left" vertical="top" wrapText="1"/>
    </xf>
    <xf numFmtId="0" fontId="53" fillId="0" borderId="11" xfId="0" applyFont="1" applyFill="1" applyBorder="1" applyAlignment="1">
      <alignment horizontal="left" vertical="top" wrapText="1"/>
    </xf>
    <xf numFmtId="0" fontId="74" fillId="0" borderId="18" xfId="0" applyFont="1" applyFill="1" applyBorder="1" applyAlignment="1">
      <alignment horizontal="left" vertical="top"/>
    </xf>
    <xf numFmtId="0" fontId="74" fillId="0" borderId="14" xfId="0" applyFont="1" applyFill="1" applyBorder="1" applyAlignment="1">
      <alignment horizontal="left" vertical="top"/>
    </xf>
    <xf numFmtId="0" fontId="57" fillId="0" borderId="17" xfId="0" applyFont="1" applyFill="1" applyBorder="1" applyAlignment="1">
      <alignment horizontal="left" vertical="top" wrapText="1"/>
    </xf>
    <xf numFmtId="0" fontId="57" fillId="0" borderId="0" xfId="0" applyFont="1" applyFill="1" applyBorder="1" applyAlignment="1">
      <alignment horizontal="left" vertical="top" wrapText="1"/>
    </xf>
    <xf numFmtId="0" fontId="3" fillId="21" borderId="14" xfId="38578" applyFont="1" applyFill="1" applyBorder="1"/>
    <xf numFmtId="0" fontId="75" fillId="21" borderId="0" xfId="0" applyFont="1" applyFill="1" applyBorder="1" applyAlignment="1">
      <alignment horizontal="left"/>
    </xf>
  </cellXfs>
  <cellStyles count="42330">
    <cellStyle name="20% - Accent1 10" xfId="4"/>
    <cellStyle name="20% - Accent1 10 2" xfId="5"/>
    <cellStyle name="20% - Accent1 10 2 2" xfId="6"/>
    <cellStyle name="20% - Accent1 10 2 2 2" xfId="7"/>
    <cellStyle name="20% - Accent1 10 2 3" xfId="8"/>
    <cellStyle name="20% - Accent1 10 2 4" xfId="9"/>
    <cellStyle name="20% - Accent1 10 2 5" xfId="10"/>
    <cellStyle name="20% - Accent1 10 3" xfId="11"/>
    <cellStyle name="20% - Accent1 10 3 2" xfId="12"/>
    <cellStyle name="20% - Accent1 10 3 3" xfId="13"/>
    <cellStyle name="20% - Accent1 10 3 4" xfId="14"/>
    <cellStyle name="20% - Accent1 10 4" xfId="15"/>
    <cellStyle name="20% - Accent1 10 4 2" xfId="16"/>
    <cellStyle name="20% - Accent1 10 5" xfId="17"/>
    <cellStyle name="20% - Accent1 10 6" xfId="18"/>
    <cellStyle name="20% - Accent1 10 7" xfId="19"/>
    <cellStyle name="20% - Accent1 10 8" xfId="20"/>
    <cellStyle name="20% - Accent1 11" xfId="21"/>
    <cellStyle name="20% - Accent1 11 2" xfId="22"/>
    <cellStyle name="20% - Accent1 11 2 2" xfId="23"/>
    <cellStyle name="20% - Accent1 11 2 2 2" xfId="24"/>
    <cellStyle name="20% - Accent1 11 2 3" xfId="25"/>
    <cellStyle name="20% - Accent1 11 2 4" xfId="26"/>
    <cellStyle name="20% - Accent1 11 2 5" xfId="27"/>
    <cellStyle name="20% - Accent1 11 3" xfId="28"/>
    <cellStyle name="20% - Accent1 11 3 2" xfId="29"/>
    <cellStyle name="20% - Accent1 11 3 3" xfId="30"/>
    <cellStyle name="20% - Accent1 11 3 4" xfId="31"/>
    <cellStyle name="20% - Accent1 11 4" xfId="32"/>
    <cellStyle name="20% - Accent1 11 4 2" xfId="33"/>
    <cellStyle name="20% - Accent1 11 5" xfId="34"/>
    <cellStyle name="20% - Accent1 11 6" xfId="35"/>
    <cellStyle name="20% - Accent1 11 7" xfId="36"/>
    <cellStyle name="20% - Accent1 11 8" xfId="37"/>
    <cellStyle name="20% - Accent1 12" xfId="38"/>
    <cellStyle name="20% - Accent1 12 2" xfId="39"/>
    <cellStyle name="20% - Accent1 12 2 2" xfId="40"/>
    <cellStyle name="20% - Accent1 12 2 2 2" xfId="41"/>
    <cellStyle name="20% - Accent1 12 2 3" xfId="42"/>
    <cellStyle name="20% - Accent1 12 2 4" xfId="43"/>
    <cellStyle name="20% - Accent1 12 2 5" xfId="44"/>
    <cellStyle name="20% - Accent1 12 3" xfId="45"/>
    <cellStyle name="20% - Accent1 12 3 2" xfId="46"/>
    <cellStyle name="20% - Accent1 12 3 3" xfId="47"/>
    <cellStyle name="20% - Accent1 12 3 4" xfId="48"/>
    <cellStyle name="20% - Accent1 12 4" xfId="49"/>
    <cellStyle name="20% - Accent1 12 4 2" xfId="50"/>
    <cellStyle name="20% - Accent1 12 5" xfId="51"/>
    <cellStyle name="20% - Accent1 12 6" xfId="52"/>
    <cellStyle name="20% - Accent1 12 7" xfId="53"/>
    <cellStyle name="20% - Accent1 12 8" xfId="54"/>
    <cellStyle name="20% - Accent1 13" xfId="55"/>
    <cellStyle name="20% - Accent1 13 2" xfId="56"/>
    <cellStyle name="20% - Accent1 13 2 2" xfId="57"/>
    <cellStyle name="20% - Accent1 13 2 3" xfId="58"/>
    <cellStyle name="20% - Accent1 13 2 4" xfId="59"/>
    <cellStyle name="20% - Accent1 13 3" xfId="60"/>
    <cellStyle name="20% - Accent1 13 3 2" xfId="61"/>
    <cellStyle name="20% - Accent1 13 4" xfId="62"/>
    <cellStyle name="20% - Accent1 13 5" xfId="63"/>
    <cellStyle name="20% - Accent1 13 6" xfId="64"/>
    <cellStyle name="20% - Accent1 14" xfId="65"/>
    <cellStyle name="20% - Accent1 14 2" xfId="66"/>
    <cellStyle name="20% - Accent1 14 2 2" xfId="67"/>
    <cellStyle name="20% - Accent1 14 3" xfId="68"/>
    <cellStyle name="20% - Accent1 14 4" xfId="69"/>
    <cellStyle name="20% - Accent1 14 5" xfId="70"/>
    <cellStyle name="20% - Accent1 15" xfId="71"/>
    <cellStyle name="20% - Accent1 15 2" xfId="72"/>
    <cellStyle name="20% - Accent1 15 2 2" xfId="73"/>
    <cellStyle name="20% - Accent1 15 3" xfId="74"/>
    <cellStyle name="20% - Accent1 15 4" xfId="75"/>
    <cellStyle name="20% - Accent1 15 5" xfId="76"/>
    <cellStyle name="20% - Accent1 16" xfId="77"/>
    <cellStyle name="20% - Accent1 16 2" xfId="78"/>
    <cellStyle name="20% - Accent1 17" xfId="79"/>
    <cellStyle name="20% - Accent1 18" xfId="80"/>
    <cellStyle name="20% - Accent1 19" xfId="81"/>
    <cellStyle name="20% - Accent1 2" xfId="82"/>
    <cellStyle name="20% - Accent1 2 10" xfId="83"/>
    <cellStyle name="20% - Accent1 2 11" xfId="84"/>
    <cellStyle name="20% - Accent1 2 2" xfId="85"/>
    <cellStyle name="20% - Accent1 2 2 10" xfId="86"/>
    <cellStyle name="20% - Accent1 2 2 2" xfId="87"/>
    <cellStyle name="20% - Accent1 2 2 2 2" xfId="88"/>
    <cellStyle name="20% - Accent1 2 2 2 2 2" xfId="89"/>
    <cellStyle name="20% - Accent1 2 2 2 2 2 2" xfId="90"/>
    <cellStyle name="20% - Accent1 2 2 2 2 2 3" xfId="91"/>
    <cellStyle name="20% - Accent1 2 2 2 2 3" xfId="92"/>
    <cellStyle name="20% - Accent1 2 2 2 2 4" xfId="93"/>
    <cellStyle name="20% - Accent1 2 2 2 2 5" xfId="94"/>
    <cellStyle name="20% - Accent1 2 2 2 2 6" xfId="95"/>
    <cellStyle name="20% - Accent1 2 2 2 3" xfId="96"/>
    <cellStyle name="20% - Accent1 2 2 2 3 2" xfId="97"/>
    <cellStyle name="20% - Accent1 2 2 2 3 2 2" xfId="98"/>
    <cellStyle name="20% - Accent1 2 2 2 3 3" xfId="99"/>
    <cellStyle name="20% - Accent1 2 2 2 3 4" xfId="100"/>
    <cellStyle name="20% - Accent1 2 2 2 3 5" xfId="101"/>
    <cellStyle name="20% - Accent1 2 2 2 4" xfId="102"/>
    <cellStyle name="20% - Accent1 2 2 2 4 2" xfId="103"/>
    <cellStyle name="20% - Accent1 2 2 2 4 3" xfId="104"/>
    <cellStyle name="20% - Accent1 2 2 2 4 4" xfId="105"/>
    <cellStyle name="20% - Accent1 2 2 2 5" xfId="106"/>
    <cellStyle name="20% - Accent1 2 2 2 5 2" xfId="107"/>
    <cellStyle name="20% - Accent1 2 2 2 6" xfId="108"/>
    <cellStyle name="20% - Accent1 2 2 2 7" xfId="109"/>
    <cellStyle name="20% - Accent1 2 2 2 8" xfId="110"/>
    <cellStyle name="20% - Accent1 2 2 2 9" xfId="111"/>
    <cellStyle name="20% - Accent1 2 2 3" xfId="112"/>
    <cellStyle name="20% - Accent1 2 2 3 2" xfId="113"/>
    <cellStyle name="20% - Accent1 2 2 3 2 2" xfId="114"/>
    <cellStyle name="20% - Accent1 2 2 3 2 3" xfId="115"/>
    <cellStyle name="20% - Accent1 2 2 3 3" xfId="116"/>
    <cellStyle name="20% - Accent1 2 2 3 4" xfId="117"/>
    <cellStyle name="20% - Accent1 2 2 3 5" xfId="118"/>
    <cellStyle name="20% - Accent1 2 2 3 6" xfId="119"/>
    <cellStyle name="20% - Accent1 2 2 4" xfId="120"/>
    <cellStyle name="20% - Accent1 2 2 4 2" xfId="121"/>
    <cellStyle name="20% - Accent1 2 2 4 2 2" xfId="122"/>
    <cellStyle name="20% - Accent1 2 2 4 3" xfId="123"/>
    <cellStyle name="20% - Accent1 2 2 4 4" xfId="124"/>
    <cellStyle name="20% - Accent1 2 2 4 5" xfId="125"/>
    <cellStyle name="20% - Accent1 2 2 5" xfId="126"/>
    <cellStyle name="20% - Accent1 2 2 5 2" xfId="127"/>
    <cellStyle name="20% - Accent1 2 2 5 3" xfId="128"/>
    <cellStyle name="20% - Accent1 2 2 5 4" xfId="129"/>
    <cellStyle name="20% - Accent1 2 2 6" xfId="130"/>
    <cellStyle name="20% - Accent1 2 2 6 2" xfId="131"/>
    <cellStyle name="20% - Accent1 2 2 7" xfId="132"/>
    <cellStyle name="20% - Accent1 2 2 8" xfId="133"/>
    <cellStyle name="20% - Accent1 2 2 9" xfId="134"/>
    <cellStyle name="20% - Accent1 2 3" xfId="135"/>
    <cellStyle name="20% - Accent1 2 3 2" xfId="136"/>
    <cellStyle name="20% - Accent1 2 3 2 2" xfId="137"/>
    <cellStyle name="20% - Accent1 2 3 2 2 2" xfId="138"/>
    <cellStyle name="20% - Accent1 2 3 2 2 3" xfId="139"/>
    <cellStyle name="20% - Accent1 2 3 2 3" xfId="140"/>
    <cellStyle name="20% - Accent1 2 3 2 4" xfId="141"/>
    <cellStyle name="20% - Accent1 2 3 2 5" xfId="142"/>
    <cellStyle name="20% - Accent1 2 3 2 6" xfId="143"/>
    <cellStyle name="20% - Accent1 2 3 3" xfId="144"/>
    <cellStyle name="20% - Accent1 2 3 3 2" xfId="145"/>
    <cellStyle name="20% - Accent1 2 3 3 2 2" xfId="146"/>
    <cellStyle name="20% - Accent1 2 3 3 3" xfId="147"/>
    <cellStyle name="20% - Accent1 2 3 3 4" xfId="148"/>
    <cellStyle name="20% - Accent1 2 3 3 5" xfId="149"/>
    <cellStyle name="20% - Accent1 2 3 4" xfId="150"/>
    <cellStyle name="20% - Accent1 2 3 4 2" xfId="151"/>
    <cellStyle name="20% - Accent1 2 3 4 3" xfId="152"/>
    <cellStyle name="20% - Accent1 2 3 4 4" xfId="153"/>
    <cellStyle name="20% - Accent1 2 3 5" xfId="154"/>
    <cellStyle name="20% - Accent1 2 3 5 2" xfId="155"/>
    <cellStyle name="20% - Accent1 2 3 6" xfId="156"/>
    <cellStyle name="20% - Accent1 2 3 7" xfId="157"/>
    <cellStyle name="20% - Accent1 2 3 8" xfId="158"/>
    <cellStyle name="20% - Accent1 2 3 9" xfId="159"/>
    <cellStyle name="20% - Accent1 2 4" xfId="160"/>
    <cellStyle name="20% - Accent1 2 4 2" xfId="161"/>
    <cellStyle name="20% - Accent1 2 4 2 2" xfId="162"/>
    <cellStyle name="20% - Accent1 2 4 2 3" xfId="163"/>
    <cellStyle name="20% - Accent1 2 4 3" xfId="164"/>
    <cellStyle name="20% - Accent1 2 4 4" xfId="165"/>
    <cellStyle name="20% - Accent1 2 4 5" xfId="166"/>
    <cellStyle name="20% - Accent1 2 4 6" xfId="167"/>
    <cellStyle name="20% - Accent1 2 5" xfId="168"/>
    <cellStyle name="20% - Accent1 2 5 2" xfId="169"/>
    <cellStyle name="20% - Accent1 2 5 2 2" xfId="170"/>
    <cellStyle name="20% - Accent1 2 5 3" xfId="171"/>
    <cellStyle name="20% - Accent1 2 5 4" xfId="172"/>
    <cellStyle name="20% - Accent1 2 5 5" xfId="173"/>
    <cellStyle name="20% - Accent1 2 6" xfId="174"/>
    <cellStyle name="20% - Accent1 2 6 2" xfId="175"/>
    <cellStyle name="20% - Accent1 2 6 2 2" xfId="176"/>
    <cellStyle name="20% - Accent1 2 6 3" xfId="177"/>
    <cellStyle name="20% - Accent1 2 6 4" xfId="178"/>
    <cellStyle name="20% - Accent1 2 6 5" xfId="179"/>
    <cellStyle name="20% - Accent1 2 7" xfId="180"/>
    <cellStyle name="20% - Accent1 2 7 2" xfId="181"/>
    <cellStyle name="20% - Accent1 2 8" xfId="182"/>
    <cellStyle name="20% - Accent1 2 9" xfId="183"/>
    <cellStyle name="20% - Accent1 3" xfId="184"/>
    <cellStyle name="20% - Accent1 3 10" xfId="185"/>
    <cellStyle name="20% - Accent1 3 2" xfId="186"/>
    <cellStyle name="20% - Accent1 3 2 2" xfId="187"/>
    <cellStyle name="20% - Accent1 3 2 2 2" xfId="188"/>
    <cellStyle name="20% - Accent1 3 2 2 2 2" xfId="189"/>
    <cellStyle name="20% - Accent1 3 2 2 2 3" xfId="190"/>
    <cellStyle name="20% - Accent1 3 2 2 3" xfId="191"/>
    <cellStyle name="20% - Accent1 3 2 2 4" xfId="192"/>
    <cellStyle name="20% - Accent1 3 2 2 5" xfId="193"/>
    <cellStyle name="20% - Accent1 3 2 2 6" xfId="194"/>
    <cellStyle name="20% - Accent1 3 2 3" xfId="195"/>
    <cellStyle name="20% - Accent1 3 2 3 2" xfId="196"/>
    <cellStyle name="20% - Accent1 3 2 3 2 2" xfId="197"/>
    <cellStyle name="20% - Accent1 3 2 3 3" xfId="198"/>
    <cellStyle name="20% - Accent1 3 2 3 4" xfId="199"/>
    <cellStyle name="20% - Accent1 3 2 3 5" xfId="200"/>
    <cellStyle name="20% - Accent1 3 2 4" xfId="201"/>
    <cellStyle name="20% - Accent1 3 2 4 2" xfId="202"/>
    <cellStyle name="20% - Accent1 3 2 4 3" xfId="203"/>
    <cellStyle name="20% - Accent1 3 2 4 4" xfId="204"/>
    <cellStyle name="20% - Accent1 3 2 5" xfId="205"/>
    <cellStyle name="20% - Accent1 3 2 5 2" xfId="206"/>
    <cellStyle name="20% - Accent1 3 2 6" xfId="207"/>
    <cellStyle name="20% - Accent1 3 2 7" xfId="208"/>
    <cellStyle name="20% - Accent1 3 2 8" xfId="209"/>
    <cellStyle name="20% - Accent1 3 2 9" xfId="210"/>
    <cellStyle name="20% - Accent1 3 3" xfId="211"/>
    <cellStyle name="20% - Accent1 3 3 2" xfId="212"/>
    <cellStyle name="20% - Accent1 3 3 2 2" xfId="213"/>
    <cellStyle name="20% - Accent1 3 3 2 3" xfId="214"/>
    <cellStyle name="20% - Accent1 3 3 3" xfId="215"/>
    <cellStyle name="20% - Accent1 3 3 4" xfId="216"/>
    <cellStyle name="20% - Accent1 3 3 5" xfId="217"/>
    <cellStyle name="20% - Accent1 3 3 6" xfId="218"/>
    <cellStyle name="20% - Accent1 3 4" xfId="219"/>
    <cellStyle name="20% - Accent1 3 4 2" xfId="220"/>
    <cellStyle name="20% - Accent1 3 4 2 2" xfId="221"/>
    <cellStyle name="20% - Accent1 3 4 3" xfId="222"/>
    <cellStyle name="20% - Accent1 3 4 4" xfId="223"/>
    <cellStyle name="20% - Accent1 3 4 5" xfId="224"/>
    <cellStyle name="20% - Accent1 3 5" xfId="225"/>
    <cellStyle name="20% - Accent1 3 5 2" xfId="226"/>
    <cellStyle name="20% - Accent1 3 5 2 2" xfId="227"/>
    <cellStyle name="20% - Accent1 3 5 3" xfId="228"/>
    <cellStyle name="20% - Accent1 3 5 4" xfId="229"/>
    <cellStyle name="20% - Accent1 3 5 5" xfId="230"/>
    <cellStyle name="20% - Accent1 3 6" xfId="231"/>
    <cellStyle name="20% - Accent1 3 6 2" xfId="232"/>
    <cellStyle name="20% - Accent1 3 7" xfId="233"/>
    <cellStyle name="20% - Accent1 3 8" xfId="234"/>
    <cellStyle name="20% - Accent1 3 9" xfId="235"/>
    <cellStyle name="20% - Accent1 4" xfId="236"/>
    <cellStyle name="20% - Accent1 4 10" xfId="237"/>
    <cellStyle name="20% - Accent1 4 2" xfId="238"/>
    <cellStyle name="20% - Accent1 4 2 2" xfId="239"/>
    <cellStyle name="20% - Accent1 4 2 2 2" xfId="240"/>
    <cellStyle name="20% - Accent1 4 2 2 2 2" xfId="241"/>
    <cellStyle name="20% - Accent1 4 2 2 2 3" xfId="242"/>
    <cellStyle name="20% - Accent1 4 2 2 3" xfId="243"/>
    <cellStyle name="20% - Accent1 4 2 2 4" xfId="244"/>
    <cellStyle name="20% - Accent1 4 2 2 5" xfId="245"/>
    <cellStyle name="20% - Accent1 4 2 2 6" xfId="246"/>
    <cellStyle name="20% - Accent1 4 2 3" xfId="247"/>
    <cellStyle name="20% - Accent1 4 2 3 2" xfId="248"/>
    <cellStyle name="20% - Accent1 4 2 3 2 2" xfId="249"/>
    <cellStyle name="20% - Accent1 4 2 3 3" xfId="250"/>
    <cellStyle name="20% - Accent1 4 2 3 4" xfId="251"/>
    <cellStyle name="20% - Accent1 4 2 3 5" xfId="252"/>
    <cellStyle name="20% - Accent1 4 2 4" xfId="253"/>
    <cellStyle name="20% - Accent1 4 2 4 2" xfId="254"/>
    <cellStyle name="20% - Accent1 4 2 4 3" xfId="255"/>
    <cellStyle name="20% - Accent1 4 2 4 4" xfId="256"/>
    <cellStyle name="20% - Accent1 4 2 5" xfId="257"/>
    <cellStyle name="20% - Accent1 4 2 5 2" xfId="258"/>
    <cellStyle name="20% - Accent1 4 2 6" xfId="259"/>
    <cellStyle name="20% - Accent1 4 2 7" xfId="260"/>
    <cellStyle name="20% - Accent1 4 2 8" xfId="261"/>
    <cellStyle name="20% - Accent1 4 2 9" xfId="262"/>
    <cellStyle name="20% - Accent1 4 3" xfId="263"/>
    <cellStyle name="20% - Accent1 4 3 2" xfId="264"/>
    <cellStyle name="20% - Accent1 4 3 2 2" xfId="265"/>
    <cellStyle name="20% - Accent1 4 3 2 3" xfId="266"/>
    <cellStyle name="20% - Accent1 4 3 3" xfId="267"/>
    <cellStyle name="20% - Accent1 4 3 4" xfId="268"/>
    <cellStyle name="20% - Accent1 4 3 5" xfId="269"/>
    <cellStyle name="20% - Accent1 4 3 6" xfId="270"/>
    <cellStyle name="20% - Accent1 4 4" xfId="271"/>
    <cellStyle name="20% - Accent1 4 4 2" xfId="272"/>
    <cellStyle name="20% - Accent1 4 4 2 2" xfId="273"/>
    <cellStyle name="20% - Accent1 4 4 3" xfId="274"/>
    <cellStyle name="20% - Accent1 4 4 4" xfId="275"/>
    <cellStyle name="20% - Accent1 4 4 5" xfId="276"/>
    <cellStyle name="20% - Accent1 4 5" xfId="277"/>
    <cellStyle name="20% - Accent1 4 5 2" xfId="278"/>
    <cellStyle name="20% - Accent1 4 5 2 2" xfId="279"/>
    <cellStyle name="20% - Accent1 4 5 3" xfId="280"/>
    <cellStyle name="20% - Accent1 4 5 4" xfId="281"/>
    <cellStyle name="20% - Accent1 4 5 5" xfId="282"/>
    <cellStyle name="20% - Accent1 4 6" xfId="283"/>
    <cellStyle name="20% - Accent1 4 6 2" xfId="284"/>
    <cellStyle name="20% - Accent1 4 7" xfId="285"/>
    <cellStyle name="20% - Accent1 4 8" xfId="286"/>
    <cellStyle name="20% - Accent1 4 9" xfId="287"/>
    <cellStyle name="20% - Accent1 5" xfId="288"/>
    <cellStyle name="20% - Accent1 5 10" xfId="289"/>
    <cellStyle name="20% - Accent1 5 2" xfId="290"/>
    <cellStyle name="20% - Accent1 5 2 2" xfId="291"/>
    <cellStyle name="20% - Accent1 5 2 2 2" xfId="292"/>
    <cellStyle name="20% - Accent1 5 2 2 2 2" xfId="293"/>
    <cellStyle name="20% - Accent1 5 2 2 2 3" xfId="294"/>
    <cellStyle name="20% - Accent1 5 2 2 3" xfId="295"/>
    <cellStyle name="20% - Accent1 5 2 2 4" xfId="296"/>
    <cellStyle name="20% - Accent1 5 2 2 5" xfId="297"/>
    <cellStyle name="20% - Accent1 5 2 2 6" xfId="298"/>
    <cellStyle name="20% - Accent1 5 2 3" xfId="299"/>
    <cellStyle name="20% - Accent1 5 2 3 2" xfId="300"/>
    <cellStyle name="20% - Accent1 5 2 3 2 2" xfId="301"/>
    <cellStyle name="20% - Accent1 5 2 3 3" xfId="302"/>
    <cellStyle name="20% - Accent1 5 2 3 4" xfId="303"/>
    <cellStyle name="20% - Accent1 5 2 3 5" xfId="304"/>
    <cellStyle name="20% - Accent1 5 2 4" xfId="305"/>
    <cellStyle name="20% - Accent1 5 2 4 2" xfId="306"/>
    <cellStyle name="20% - Accent1 5 2 4 3" xfId="307"/>
    <cellStyle name="20% - Accent1 5 2 4 4" xfId="308"/>
    <cellStyle name="20% - Accent1 5 2 5" xfId="309"/>
    <cellStyle name="20% - Accent1 5 2 5 2" xfId="310"/>
    <cellStyle name="20% - Accent1 5 2 6" xfId="311"/>
    <cellStyle name="20% - Accent1 5 2 7" xfId="312"/>
    <cellStyle name="20% - Accent1 5 2 8" xfId="313"/>
    <cellStyle name="20% - Accent1 5 2 9" xfId="314"/>
    <cellStyle name="20% - Accent1 5 3" xfId="315"/>
    <cellStyle name="20% - Accent1 5 3 2" xfId="316"/>
    <cellStyle name="20% - Accent1 5 3 2 2" xfId="317"/>
    <cellStyle name="20% - Accent1 5 3 2 3" xfId="318"/>
    <cellStyle name="20% - Accent1 5 3 3" xfId="319"/>
    <cellStyle name="20% - Accent1 5 3 4" xfId="320"/>
    <cellStyle name="20% - Accent1 5 3 5" xfId="321"/>
    <cellStyle name="20% - Accent1 5 3 6" xfId="322"/>
    <cellStyle name="20% - Accent1 5 4" xfId="323"/>
    <cellStyle name="20% - Accent1 5 4 2" xfId="324"/>
    <cellStyle name="20% - Accent1 5 4 2 2" xfId="325"/>
    <cellStyle name="20% - Accent1 5 4 3" xfId="326"/>
    <cellStyle name="20% - Accent1 5 4 4" xfId="327"/>
    <cellStyle name="20% - Accent1 5 4 5" xfId="328"/>
    <cellStyle name="20% - Accent1 5 5" xfId="329"/>
    <cellStyle name="20% - Accent1 5 5 2" xfId="330"/>
    <cellStyle name="20% - Accent1 5 5 3" xfId="331"/>
    <cellStyle name="20% - Accent1 5 5 4" xfId="332"/>
    <cellStyle name="20% - Accent1 5 6" xfId="333"/>
    <cellStyle name="20% - Accent1 5 6 2" xfId="334"/>
    <cellStyle name="20% - Accent1 5 7" xfId="335"/>
    <cellStyle name="20% - Accent1 5 8" xfId="336"/>
    <cellStyle name="20% - Accent1 5 9" xfId="337"/>
    <cellStyle name="20% - Accent1 6" xfId="338"/>
    <cellStyle name="20% - Accent1 6 10" xfId="339"/>
    <cellStyle name="20% - Accent1 6 2" xfId="340"/>
    <cellStyle name="20% - Accent1 6 2 2" xfId="341"/>
    <cellStyle name="20% - Accent1 6 2 2 2" xfId="342"/>
    <cellStyle name="20% - Accent1 6 2 2 2 2" xfId="343"/>
    <cellStyle name="20% - Accent1 6 2 2 2 3" xfId="344"/>
    <cellStyle name="20% - Accent1 6 2 2 3" xfId="345"/>
    <cellStyle name="20% - Accent1 6 2 2 4" xfId="346"/>
    <cellStyle name="20% - Accent1 6 2 2 5" xfId="347"/>
    <cellStyle name="20% - Accent1 6 2 2 6" xfId="348"/>
    <cellStyle name="20% - Accent1 6 2 3" xfId="349"/>
    <cellStyle name="20% - Accent1 6 2 3 2" xfId="350"/>
    <cellStyle name="20% - Accent1 6 2 3 2 2" xfId="351"/>
    <cellStyle name="20% - Accent1 6 2 3 3" xfId="352"/>
    <cellStyle name="20% - Accent1 6 2 3 4" xfId="353"/>
    <cellStyle name="20% - Accent1 6 2 3 5" xfId="354"/>
    <cellStyle name="20% - Accent1 6 2 4" xfId="355"/>
    <cellStyle name="20% - Accent1 6 2 4 2" xfId="356"/>
    <cellStyle name="20% - Accent1 6 2 4 3" xfId="357"/>
    <cellStyle name="20% - Accent1 6 2 4 4" xfId="358"/>
    <cellStyle name="20% - Accent1 6 2 5" xfId="359"/>
    <cellStyle name="20% - Accent1 6 2 5 2" xfId="360"/>
    <cellStyle name="20% - Accent1 6 2 6" xfId="361"/>
    <cellStyle name="20% - Accent1 6 2 7" xfId="362"/>
    <cellStyle name="20% - Accent1 6 2 8" xfId="363"/>
    <cellStyle name="20% - Accent1 6 2 9" xfId="364"/>
    <cellStyle name="20% - Accent1 6 3" xfId="365"/>
    <cellStyle name="20% - Accent1 6 3 2" xfId="366"/>
    <cellStyle name="20% - Accent1 6 3 2 2" xfId="367"/>
    <cellStyle name="20% - Accent1 6 3 2 3" xfId="368"/>
    <cellStyle name="20% - Accent1 6 3 3" xfId="369"/>
    <cellStyle name="20% - Accent1 6 3 4" xfId="370"/>
    <cellStyle name="20% - Accent1 6 3 5" xfId="371"/>
    <cellStyle name="20% - Accent1 6 3 6" xfId="372"/>
    <cellStyle name="20% - Accent1 6 4" xfId="373"/>
    <cellStyle name="20% - Accent1 6 4 2" xfId="374"/>
    <cellStyle name="20% - Accent1 6 4 2 2" xfId="375"/>
    <cellStyle name="20% - Accent1 6 4 3" xfId="376"/>
    <cellStyle name="20% - Accent1 6 4 4" xfId="377"/>
    <cellStyle name="20% - Accent1 6 4 5" xfId="378"/>
    <cellStyle name="20% - Accent1 6 5" xfId="379"/>
    <cellStyle name="20% - Accent1 6 5 2" xfId="380"/>
    <cellStyle name="20% - Accent1 6 5 3" xfId="381"/>
    <cellStyle name="20% - Accent1 6 5 4" xfId="382"/>
    <cellStyle name="20% - Accent1 6 6" xfId="383"/>
    <cellStyle name="20% - Accent1 6 6 2" xfId="384"/>
    <cellStyle name="20% - Accent1 6 7" xfId="385"/>
    <cellStyle name="20% - Accent1 6 8" xfId="386"/>
    <cellStyle name="20% - Accent1 6 9" xfId="387"/>
    <cellStyle name="20% - Accent1 7" xfId="388"/>
    <cellStyle name="20% - Accent1 7 2" xfId="389"/>
    <cellStyle name="20% - Accent1 7 2 2" xfId="390"/>
    <cellStyle name="20% - Accent1 7 2 2 2" xfId="391"/>
    <cellStyle name="20% - Accent1 7 2 2 3" xfId="392"/>
    <cellStyle name="20% - Accent1 7 2 3" xfId="393"/>
    <cellStyle name="20% - Accent1 7 2 4" xfId="394"/>
    <cellStyle name="20% - Accent1 7 2 5" xfId="395"/>
    <cellStyle name="20% - Accent1 7 2 6" xfId="396"/>
    <cellStyle name="20% - Accent1 7 3" xfId="397"/>
    <cellStyle name="20% - Accent1 7 3 2" xfId="398"/>
    <cellStyle name="20% - Accent1 7 3 2 2" xfId="399"/>
    <cellStyle name="20% - Accent1 7 3 3" xfId="400"/>
    <cellStyle name="20% - Accent1 7 3 4" xfId="401"/>
    <cellStyle name="20% - Accent1 7 3 5" xfId="402"/>
    <cellStyle name="20% - Accent1 7 4" xfId="403"/>
    <cellStyle name="20% - Accent1 7 4 2" xfId="404"/>
    <cellStyle name="20% - Accent1 7 4 3" xfId="405"/>
    <cellStyle name="20% - Accent1 7 4 4" xfId="406"/>
    <cellStyle name="20% - Accent1 7 5" xfId="407"/>
    <cellStyle name="20% - Accent1 7 5 2" xfId="408"/>
    <cellStyle name="20% - Accent1 7 6" xfId="409"/>
    <cellStyle name="20% - Accent1 7 7" xfId="410"/>
    <cellStyle name="20% - Accent1 7 8" xfId="411"/>
    <cellStyle name="20% - Accent1 7 9" xfId="412"/>
    <cellStyle name="20% - Accent1 8" xfId="413"/>
    <cellStyle name="20% - Accent1 8 2" xfId="414"/>
    <cellStyle name="20% - Accent1 8 2 2" xfId="415"/>
    <cellStyle name="20% - Accent1 8 2 2 2" xfId="416"/>
    <cellStyle name="20% - Accent1 8 2 2 3" xfId="417"/>
    <cellStyle name="20% - Accent1 8 2 3" xfId="418"/>
    <cellStyle name="20% - Accent1 8 2 4" xfId="419"/>
    <cellStyle name="20% - Accent1 8 2 5" xfId="420"/>
    <cellStyle name="20% - Accent1 8 2 6" xfId="421"/>
    <cellStyle name="20% - Accent1 8 3" xfId="422"/>
    <cellStyle name="20% - Accent1 8 3 2" xfId="423"/>
    <cellStyle name="20% - Accent1 8 3 2 2" xfId="424"/>
    <cellStyle name="20% - Accent1 8 3 3" xfId="425"/>
    <cellStyle name="20% - Accent1 8 3 4" xfId="426"/>
    <cellStyle name="20% - Accent1 8 3 5" xfId="427"/>
    <cellStyle name="20% - Accent1 8 4" xfId="428"/>
    <cellStyle name="20% - Accent1 8 4 2" xfId="429"/>
    <cellStyle name="20% - Accent1 8 4 3" xfId="430"/>
    <cellStyle name="20% - Accent1 8 4 4" xfId="431"/>
    <cellStyle name="20% - Accent1 8 5" xfId="432"/>
    <cellStyle name="20% - Accent1 8 5 2" xfId="433"/>
    <cellStyle name="20% - Accent1 8 6" xfId="434"/>
    <cellStyle name="20% - Accent1 8 7" xfId="435"/>
    <cellStyle name="20% - Accent1 8 8" xfId="436"/>
    <cellStyle name="20% - Accent1 8 9" xfId="437"/>
    <cellStyle name="20% - Accent1 9" xfId="438"/>
    <cellStyle name="20% - Accent1 9 2" xfId="439"/>
    <cellStyle name="20% - Accent1 9 2 2" xfId="440"/>
    <cellStyle name="20% - Accent1 9 2 2 2" xfId="441"/>
    <cellStyle name="20% - Accent1 9 2 3" xfId="442"/>
    <cellStyle name="20% - Accent1 9 2 4" xfId="443"/>
    <cellStyle name="20% - Accent1 9 2 5" xfId="444"/>
    <cellStyle name="20% - Accent1 9 3" xfId="445"/>
    <cellStyle name="20% - Accent1 9 3 2" xfId="446"/>
    <cellStyle name="20% - Accent1 9 3 3" xfId="447"/>
    <cellStyle name="20% - Accent1 9 3 4" xfId="448"/>
    <cellStyle name="20% - Accent1 9 4" xfId="449"/>
    <cellStyle name="20% - Accent1 9 4 2" xfId="450"/>
    <cellStyle name="20% - Accent1 9 5" xfId="451"/>
    <cellStyle name="20% - Accent1 9 6" xfId="452"/>
    <cellStyle name="20% - Accent1 9 7" xfId="453"/>
    <cellStyle name="20% - Accent1 9 8" xfId="454"/>
    <cellStyle name="20% - Accent2 10" xfId="455"/>
    <cellStyle name="20% - Accent2 10 2" xfId="456"/>
    <cellStyle name="20% - Accent2 10 2 2" xfId="457"/>
    <cellStyle name="20% - Accent2 10 2 2 2" xfId="458"/>
    <cellStyle name="20% - Accent2 10 2 3" xfId="459"/>
    <cellStyle name="20% - Accent2 10 2 4" xfId="460"/>
    <cellStyle name="20% - Accent2 10 2 5" xfId="461"/>
    <cellStyle name="20% - Accent2 10 3" xfId="462"/>
    <cellStyle name="20% - Accent2 10 3 2" xfId="463"/>
    <cellStyle name="20% - Accent2 10 3 3" xfId="464"/>
    <cellStyle name="20% - Accent2 10 3 4" xfId="465"/>
    <cellStyle name="20% - Accent2 10 4" xfId="466"/>
    <cellStyle name="20% - Accent2 10 4 2" xfId="467"/>
    <cellStyle name="20% - Accent2 10 5" xfId="468"/>
    <cellStyle name="20% - Accent2 10 6" xfId="469"/>
    <cellStyle name="20% - Accent2 10 7" xfId="470"/>
    <cellStyle name="20% - Accent2 10 8" xfId="471"/>
    <cellStyle name="20% - Accent2 11" xfId="472"/>
    <cellStyle name="20% - Accent2 11 2" xfId="473"/>
    <cellStyle name="20% - Accent2 11 2 2" xfId="474"/>
    <cellStyle name="20% - Accent2 11 2 2 2" xfId="475"/>
    <cellStyle name="20% - Accent2 11 2 3" xfId="476"/>
    <cellStyle name="20% - Accent2 11 2 4" xfId="477"/>
    <cellStyle name="20% - Accent2 11 2 5" xfId="478"/>
    <cellStyle name="20% - Accent2 11 3" xfId="479"/>
    <cellStyle name="20% - Accent2 11 3 2" xfId="480"/>
    <cellStyle name="20% - Accent2 11 3 3" xfId="481"/>
    <cellStyle name="20% - Accent2 11 3 4" xfId="482"/>
    <cellStyle name="20% - Accent2 11 4" xfId="483"/>
    <cellStyle name="20% - Accent2 11 4 2" xfId="484"/>
    <cellStyle name="20% - Accent2 11 5" xfId="485"/>
    <cellStyle name="20% - Accent2 11 6" xfId="486"/>
    <cellStyle name="20% - Accent2 11 7" xfId="487"/>
    <cellStyle name="20% - Accent2 11 8" xfId="488"/>
    <cellStyle name="20% - Accent2 12" xfId="489"/>
    <cellStyle name="20% - Accent2 12 2" xfId="490"/>
    <cellStyle name="20% - Accent2 12 2 2" xfId="491"/>
    <cellStyle name="20% - Accent2 12 2 2 2" xfId="492"/>
    <cellStyle name="20% - Accent2 12 2 3" xfId="493"/>
    <cellStyle name="20% - Accent2 12 2 4" xfId="494"/>
    <cellStyle name="20% - Accent2 12 2 5" xfId="495"/>
    <cellStyle name="20% - Accent2 12 3" xfId="496"/>
    <cellStyle name="20% - Accent2 12 3 2" xfId="497"/>
    <cellStyle name="20% - Accent2 12 3 3" xfId="498"/>
    <cellStyle name="20% - Accent2 12 3 4" xfId="499"/>
    <cellStyle name="20% - Accent2 12 4" xfId="500"/>
    <cellStyle name="20% - Accent2 12 4 2" xfId="501"/>
    <cellStyle name="20% - Accent2 12 5" xfId="502"/>
    <cellStyle name="20% - Accent2 12 6" xfId="503"/>
    <cellStyle name="20% - Accent2 12 7" xfId="504"/>
    <cellStyle name="20% - Accent2 12 8" xfId="505"/>
    <cellStyle name="20% - Accent2 13" xfId="506"/>
    <cellStyle name="20% - Accent2 13 2" xfId="507"/>
    <cellStyle name="20% - Accent2 13 2 2" xfId="508"/>
    <cellStyle name="20% - Accent2 13 2 3" xfId="509"/>
    <cellStyle name="20% - Accent2 13 2 4" xfId="510"/>
    <cellStyle name="20% - Accent2 13 3" xfId="511"/>
    <cellStyle name="20% - Accent2 13 3 2" xfId="512"/>
    <cellStyle name="20% - Accent2 13 4" xfId="513"/>
    <cellStyle name="20% - Accent2 13 5" xfId="514"/>
    <cellStyle name="20% - Accent2 13 6" xfId="515"/>
    <cellStyle name="20% - Accent2 14" xfId="516"/>
    <cellStyle name="20% - Accent2 14 2" xfId="517"/>
    <cellStyle name="20% - Accent2 14 2 2" xfId="518"/>
    <cellStyle name="20% - Accent2 14 3" xfId="519"/>
    <cellStyle name="20% - Accent2 14 4" xfId="520"/>
    <cellStyle name="20% - Accent2 14 5" xfId="521"/>
    <cellStyle name="20% - Accent2 15" xfId="522"/>
    <cellStyle name="20% - Accent2 15 2" xfId="523"/>
    <cellStyle name="20% - Accent2 15 2 2" xfId="524"/>
    <cellStyle name="20% - Accent2 15 3" xfId="525"/>
    <cellStyle name="20% - Accent2 15 4" xfId="526"/>
    <cellStyle name="20% - Accent2 15 5" xfId="527"/>
    <cellStyle name="20% - Accent2 16" xfId="528"/>
    <cellStyle name="20% - Accent2 16 2" xfId="529"/>
    <cellStyle name="20% - Accent2 17" xfId="530"/>
    <cellStyle name="20% - Accent2 18" xfId="531"/>
    <cellStyle name="20% - Accent2 19" xfId="532"/>
    <cellStyle name="20% - Accent2 2" xfId="533"/>
    <cellStyle name="20% - Accent2 2 10" xfId="534"/>
    <cellStyle name="20% - Accent2 2 11" xfId="535"/>
    <cellStyle name="20% - Accent2 2 2" xfId="536"/>
    <cellStyle name="20% - Accent2 2 2 10" xfId="537"/>
    <cellStyle name="20% - Accent2 2 2 2" xfId="538"/>
    <cellStyle name="20% - Accent2 2 2 2 2" xfId="539"/>
    <cellStyle name="20% - Accent2 2 2 2 2 2" xfId="540"/>
    <cellStyle name="20% - Accent2 2 2 2 2 2 2" xfId="541"/>
    <cellStyle name="20% - Accent2 2 2 2 2 2 3" xfId="542"/>
    <cellStyle name="20% - Accent2 2 2 2 2 3" xfId="543"/>
    <cellStyle name="20% - Accent2 2 2 2 2 4" xfId="544"/>
    <cellStyle name="20% - Accent2 2 2 2 2 5" xfId="545"/>
    <cellStyle name="20% - Accent2 2 2 2 2 6" xfId="546"/>
    <cellStyle name="20% - Accent2 2 2 2 3" xfId="547"/>
    <cellStyle name="20% - Accent2 2 2 2 3 2" xfId="548"/>
    <cellStyle name="20% - Accent2 2 2 2 3 2 2" xfId="549"/>
    <cellStyle name="20% - Accent2 2 2 2 3 3" xfId="550"/>
    <cellStyle name="20% - Accent2 2 2 2 3 4" xfId="551"/>
    <cellStyle name="20% - Accent2 2 2 2 3 5" xfId="552"/>
    <cellStyle name="20% - Accent2 2 2 2 4" xfId="553"/>
    <cellStyle name="20% - Accent2 2 2 2 4 2" xfId="554"/>
    <cellStyle name="20% - Accent2 2 2 2 4 3" xfId="555"/>
    <cellStyle name="20% - Accent2 2 2 2 4 4" xfId="556"/>
    <cellStyle name="20% - Accent2 2 2 2 5" xfId="557"/>
    <cellStyle name="20% - Accent2 2 2 2 5 2" xfId="558"/>
    <cellStyle name="20% - Accent2 2 2 2 6" xfId="559"/>
    <cellStyle name="20% - Accent2 2 2 2 7" xfId="560"/>
    <cellStyle name="20% - Accent2 2 2 2 8" xfId="561"/>
    <cellStyle name="20% - Accent2 2 2 2 9" xfId="562"/>
    <cellStyle name="20% - Accent2 2 2 3" xfId="563"/>
    <cellStyle name="20% - Accent2 2 2 3 2" xfId="564"/>
    <cellStyle name="20% - Accent2 2 2 3 2 2" xfId="565"/>
    <cellStyle name="20% - Accent2 2 2 3 2 3" xfId="566"/>
    <cellStyle name="20% - Accent2 2 2 3 3" xfId="567"/>
    <cellStyle name="20% - Accent2 2 2 3 4" xfId="568"/>
    <cellStyle name="20% - Accent2 2 2 3 5" xfId="569"/>
    <cellStyle name="20% - Accent2 2 2 3 6" xfId="570"/>
    <cellStyle name="20% - Accent2 2 2 4" xfId="571"/>
    <cellStyle name="20% - Accent2 2 2 4 2" xfId="572"/>
    <cellStyle name="20% - Accent2 2 2 4 2 2" xfId="573"/>
    <cellStyle name="20% - Accent2 2 2 4 3" xfId="574"/>
    <cellStyle name="20% - Accent2 2 2 4 4" xfId="575"/>
    <cellStyle name="20% - Accent2 2 2 4 5" xfId="576"/>
    <cellStyle name="20% - Accent2 2 2 5" xfId="577"/>
    <cellStyle name="20% - Accent2 2 2 5 2" xfId="578"/>
    <cellStyle name="20% - Accent2 2 2 5 3" xfId="579"/>
    <cellStyle name="20% - Accent2 2 2 5 4" xfId="580"/>
    <cellStyle name="20% - Accent2 2 2 6" xfId="581"/>
    <cellStyle name="20% - Accent2 2 2 6 2" xfId="582"/>
    <cellStyle name="20% - Accent2 2 2 7" xfId="583"/>
    <cellStyle name="20% - Accent2 2 2 8" xfId="584"/>
    <cellStyle name="20% - Accent2 2 2 9" xfId="585"/>
    <cellStyle name="20% - Accent2 2 3" xfId="586"/>
    <cellStyle name="20% - Accent2 2 3 2" xfId="587"/>
    <cellStyle name="20% - Accent2 2 3 2 2" xfId="588"/>
    <cellStyle name="20% - Accent2 2 3 2 2 2" xfId="589"/>
    <cellStyle name="20% - Accent2 2 3 2 2 3" xfId="590"/>
    <cellStyle name="20% - Accent2 2 3 2 3" xfId="591"/>
    <cellStyle name="20% - Accent2 2 3 2 4" xfId="592"/>
    <cellStyle name="20% - Accent2 2 3 2 5" xfId="593"/>
    <cellStyle name="20% - Accent2 2 3 2 6" xfId="594"/>
    <cellStyle name="20% - Accent2 2 3 3" xfId="595"/>
    <cellStyle name="20% - Accent2 2 3 3 2" xfId="596"/>
    <cellStyle name="20% - Accent2 2 3 3 2 2" xfId="597"/>
    <cellStyle name="20% - Accent2 2 3 3 3" xfId="598"/>
    <cellStyle name="20% - Accent2 2 3 3 4" xfId="599"/>
    <cellStyle name="20% - Accent2 2 3 3 5" xfId="600"/>
    <cellStyle name="20% - Accent2 2 3 4" xfId="601"/>
    <cellStyle name="20% - Accent2 2 3 4 2" xfId="602"/>
    <cellStyle name="20% - Accent2 2 3 4 3" xfId="603"/>
    <cellStyle name="20% - Accent2 2 3 4 4" xfId="604"/>
    <cellStyle name="20% - Accent2 2 3 5" xfId="605"/>
    <cellStyle name="20% - Accent2 2 3 5 2" xfId="606"/>
    <cellStyle name="20% - Accent2 2 3 6" xfId="607"/>
    <cellStyle name="20% - Accent2 2 3 7" xfId="608"/>
    <cellStyle name="20% - Accent2 2 3 8" xfId="609"/>
    <cellStyle name="20% - Accent2 2 3 9" xfId="610"/>
    <cellStyle name="20% - Accent2 2 4" xfId="611"/>
    <cellStyle name="20% - Accent2 2 4 2" xfId="612"/>
    <cellStyle name="20% - Accent2 2 4 2 2" xfId="613"/>
    <cellStyle name="20% - Accent2 2 4 2 3" xfId="614"/>
    <cellStyle name="20% - Accent2 2 4 3" xfId="615"/>
    <cellStyle name="20% - Accent2 2 4 4" xfId="616"/>
    <cellStyle name="20% - Accent2 2 4 5" xfId="617"/>
    <cellStyle name="20% - Accent2 2 4 6" xfId="618"/>
    <cellStyle name="20% - Accent2 2 5" xfId="619"/>
    <cellStyle name="20% - Accent2 2 5 2" xfId="620"/>
    <cellStyle name="20% - Accent2 2 5 2 2" xfId="621"/>
    <cellStyle name="20% - Accent2 2 5 3" xfId="622"/>
    <cellStyle name="20% - Accent2 2 5 4" xfId="623"/>
    <cellStyle name="20% - Accent2 2 5 5" xfId="624"/>
    <cellStyle name="20% - Accent2 2 6" xfId="625"/>
    <cellStyle name="20% - Accent2 2 6 2" xfId="626"/>
    <cellStyle name="20% - Accent2 2 6 2 2" xfId="627"/>
    <cellStyle name="20% - Accent2 2 6 3" xfId="628"/>
    <cellStyle name="20% - Accent2 2 6 4" xfId="629"/>
    <cellStyle name="20% - Accent2 2 6 5" xfId="630"/>
    <cellStyle name="20% - Accent2 2 7" xfId="631"/>
    <cellStyle name="20% - Accent2 2 7 2" xfId="632"/>
    <cellStyle name="20% - Accent2 2 8" xfId="633"/>
    <cellStyle name="20% - Accent2 2 9" xfId="634"/>
    <cellStyle name="20% - Accent2 3" xfId="635"/>
    <cellStyle name="20% - Accent2 3 10" xfId="636"/>
    <cellStyle name="20% - Accent2 3 2" xfId="637"/>
    <cellStyle name="20% - Accent2 3 2 2" xfId="638"/>
    <cellStyle name="20% - Accent2 3 2 2 2" xfId="639"/>
    <cellStyle name="20% - Accent2 3 2 2 2 2" xfId="640"/>
    <cellStyle name="20% - Accent2 3 2 2 2 3" xfId="641"/>
    <cellStyle name="20% - Accent2 3 2 2 3" xfId="642"/>
    <cellStyle name="20% - Accent2 3 2 2 4" xfId="643"/>
    <cellStyle name="20% - Accent2 3 2 2 5" xfId="644"/>
    <cellStyle name="20% - Accent2 3 2 2 6" xfId="645"/>
    <cellStyle name="20% - Accent2 3 2 3" xfId="646"/>
    <cellStyle name="20% - Accent2 3 2 3 2" xfId="647"/>
    <cellStyle name="20% - Accent2 3 2 3 2 2" xfId="648"/>
    <cellStyle name="20% - Accent2 3 2 3 3" xfId="649"/>
    <cellStyle name="20% - Accent2 3 2 3 4" xfId="650"/>
    <cellStyle name="20% - Accent2 3 2 3 5" xfId="651"/>
    <cellStyle name="20% - Accent2 3 2 4" xfId="652"/>
    <cellStyle name="20% - Accent2 3 2 4 2" xfId="653"/>
    <cellStyle name="20% - Accent2 3 2 4 3" xfId="654"/>
    <cellStyle name="20% - Accent2 3 2 4 4" xfId="655"/>
    <cellStyle name="20% - Accent2 3 2 5" xfId="656"/>
    <cellStyle name="20% - Accent2 3 2 5 2" xfId="657"/>
    <cellStyle name="20% - Accent2 3 2 6" xfId="658"/>
    <cellStyle name="20% - Accent2 3 2 7" xfId="659"/>
    <cellStyle name="20% - Accent2 3 2 8" xfId="660"/>
    <cellStyle name="20% - Accent2 3 2 9" xfId="661"/>
    <cellStyle name="20% - Accent2 3 3" xfId="662"/>
    <cellStyle name="20% - Accent2 3 3 2" xfId="663"/>
    <cellStyle name="20% - Accent2 3 3 2 2" xfId="664"/>
    <cellStyle name="20% - Accent2 3 3 2 3" xfId="665"/>
    <cellStyle name="20% - Accent2 3 3 3" xfId="666"/>
    <cellStyle name="20% - Accent2 3 3 4" xfId="667"/>
    <cellStyle name="20% - Accent2 3 3 5" xfId="668"/>
    <cellStyle name="20% - Accent2 3 3 6" xfId="669"/>
    <cellStyle name="20% - Accent2 3 4" xfId="670"/>
    <cellStyle name="20% - Accent2 3 4 2" xfId="671"/>
    <cellStyle name="20% - Accent2 3 4 2 2" xfId="672"/>
    <cellStyle name="20% - Accent2 3 4 3" xfId="673"/>
    <cellStyle name="20% - Accent2 3 4 4" xfId="674"/>
    <cellStyle name="20% - Accent2 3 4 5" xfId="675"/>
    <cellStyle name="20% - Accent2 3 5" xfId="676"/>
    <cellStyle name="20% - Accent2 3 5 2" xfId="677"/>
    <cellStyle name="20% - Accent2 3 5 2 2" xfId="678"/>
    <cellStyle name="20% - Accent2 3 5 3" xfId="679"/>
    <cellStyle name="20% - Accent2 3 5 4" xfId="680"/>
    <cellStyle name="20% - Accent2 3 5 5" xfId="681"/>
    <cellStyle name="20% - Accent2 3 6" xfId="682"/>
    <cellStyle name="20% - Accent2 3 6 2" xfId="683"/>
    <cellStyle name="20% - Accent2 3 7" xfId="684"/>
    <cellStyle name="20% - Accent2 3 8" xfId="685"/>
    <cellStyle name="20% - Accent2 3 9" xfId="686"/>
    <cellStyle name="20% - Accent2 4" xfId="687"/>
    <cellStyle name="20% - Accent2 4 10" xfId="688"/>
    <cellStyle name="20% - Accent2 4 2" xfId="689"/>
    <cellStyle name="20% - Accent2 4 2 2" xfId="690"/>
    <cellStyle name="20% - Accent2 4 2 2 2" xfId="691"/>
    <cellStyle name="20% - Accent2 4 2 2 2 2" xfId="692"/>
    <cellStyle name="20% - Accent2 4 2 2 2 3" xfId="693"/>
    <cellStyle name="20% - Accent2 4 2 2 3" xfId="694"/>
    <cellStyle name="20% - Accent2 4 2 2 4" xfId="695"/>
    <cellStyle name="20% - Accent2 4 2 2 5" xfId="696"/>
    <cellStyle name="20% - Accent2 4 2 2 6" xfId="697"/>
    <cellStyle name="20% - Accent2 4 2 3" xfId="698"/>
    <cellStyle name="20% - Accent2 4 2 3 2" xfId="699"/>
    <cellStyle name="20% - Accent2 4 2 3 2 2" xfId="700"/>
    <cellStyle name="20% - Accent2 4 2 3 3" xfId="701"/>
    <cellStyle name="20% - Accent2 4 2 3 4" xfId="702"/>
    <cellStyle name="20% - Accent2 4 2 3 5" xfId="703"/>
    <cellStyle name="20% - Accent2 4 2 4" xfId="704"/>
    <cellStyle name="20% - Accent2 4 2 4 2" xfId="705"/>
    <cellStyle name="20% - Accent2 4 2 4 3" xfId="706"/>
    <cellStyle name="20% - Accent2 4 2 4 4" xfId="707"/>
    <cellStyle name="20% - Accent2 4 2 5" xfId="708"/>
    <cellStyle name="20% - Accent2 4 2 5 2" xfId="709"/>
    <cellStyle name="20% - Accent2 4 2 6" xfId="710"/>
    <cellStyle name="20% - Accent2 4 2 7" xfId="711"/>
    <cellStyle name="20% - Accent2 4 2 8" xfId="712"/>
    <cellStyle name="20% - Accent2 4 2 9" xfId="713"/>
    <cellStyle name="20% - Accent2 4 3" xfId="714"/>
    <cellStyle name="20% - Accent2 4 3 2" xfId="715"/>
    <cellStyle name="20% - Accent2 4 3 2 2" xfId="716"/>
    <cellStyle name="20% - Accent2 4 3 2 3" xfId="717"/>
    <cellStyle name="20% - Accent2 4 3 3" xfId="718"/>
    <cellStyle name="20% - Accent2 4 3 4" xfId="719"/>
    <cellStyle name="20% - Accent2 4 3 5" xfId="720"/>
    <cellStyle name="20% - Accent2 4 3 6" xfId="721"/>
    <cellStyle name="20% - Accent2 4 4" xfId="722"/>
    <cellStyle name="20% - Accent2 4 4 2" xfId="723"/>
    <cellStyle name="20% - Accent2 4 4 2 2" xfId="724"/>
    <cellStyle name="20% - Accent2 4 4 3" xfId="725"/>
    <cellStyle name="20% - Accent2 4 4 4" xfId="726"/>
    <cellStyle name="20% - Accent2 4 4 5" xfId="727"/>
    <cellStyle name="20% - Accent2 4 5" xfId="728"/>
    <cellStyle name="20% - Accent2 4 5 2" xfId="729"/>
    <cellStyle name="20% - Accent2 4 5 2 2" xfId="730"/>
    <cellStyle name="20% - Accent2 4 5 3" xfId="731"/>
    <cellStyle name="20% - Accent2 4 5 4" xfId="732"/>
    <cellStyle name="20% - Accent2 4 5 5" xfId="733"/>
    <cellStyle name="20% - Accent2 4 6" xfId="734"/>
    <cellStyle name="20% - Accent2 4 6 2" xfId="735"/>
    <cellStyle name="20% - Accent2 4 7" xfId="736"/>
    <cellStyle name="20% - Accent2 4 8" xfId="737"/>
    <cellStyle name="20% - Accent2 4 9" xfId="738"/>
    <cellStyle name="20% - Accent2 5" xfId="739"/>
    <cellStyle name="20% - Accent2 5 10" xfId="740"/>
    <cellStyle name="20% - Accent2 5 2" xfId="741"/>
    <cellStyle name="20% - Accent2 5 2 2" xfId="742"/>
    <cellStyle name="20% - Accent2 5 2 2 2" xfId="743"/>
    <cellStyle name="20% - Accent2 5 2 2 2 2" xfId="744"/>
    <cellStyle name="20% - Accent2 5 2 2 2 3" xfId="745"/>
    <cellStyle name="20% - Accent2 5 2 2 3" xfId="746"/>
    <cellStyle name="20% - Accent2 5 2 2 4" xfId="747"/>
    <cellStyle name="20% - Accent2 5 2 2 5" xfId="748"/>
    <cellStyle name="20% - Accent2 5 2 2 6" xfId="749"/>
    <cellStyle name="20% - Accent2 5 2 3" xfId="750"/>
    <cellStyle name="20% - Accent2 5 2 3 2" xfId="751"/>
    <cellStyle name="20% - Accent2 5 2 3 2 2" xfId="752"/>
    <cellStyle name="20% - Accent2 5 2 3 3" xfId="753"/>
    <cellStyle name="20% - Accent2 5 2 3 4" xfId="754"/>
    <cellStyle name="20% - Accent2 5 2 3 5" xfId="755"/>
    <cellStyle name="20% - Accent2 5 2 4" xfId="756"/>
    <cellStyle name="20% - Accent2 5 2 4 2" xfId="757"/>
    <cellStyle name="20% - Accent2 5 2 4 3" xfId="758"/>
    <cellStyle name="20% - Accent2 5 2 4 4" xfId="759"/>
    <cellStyle name="20% - Accent2 5 2 5" xfId="760"/>
    <cellStyle name="20% - Accent2 5 2 5 2" xfId="761"/>
    <cellStyle name="20% - Accent2 5 2 6" xfId="762"/>
    <cellStyle name="20% - Accent2 5 2 7" xfId="763"/>
    <cellStyle name="20% - Accent2 5 2 8" xfId="764"/>
    <cellStyle name="20% - Accent2 5 2 9" xfId="765"/>
    <cellStyle name="20% - Accent2 5 3" xfId="766"/>
    <cellStyle name="20% - Accent2 5 3 2" xfId="767"/>
    <cellStyle name="20% - Accent2 5 3 2 2" xfId="768"/>
    <cellStyle name="20% - Accent2 5 3 2 3" xfId="769"/>
    <cellStyle name="20% - Accent2 5 3 3" xfId="770"/>
    <cellStyle name="20% - Accent2 5 3 4" xfId="771"/>
    <cellStyle name="20% - Accent2 5 3 5" xfId="772"/>
    <cellStyle name="20% - Accent2 5 3 6" xfId="773"/>
    <cellStyle name="20% - Accent2 5 4" xfId="774"/>
    <cellStyle name="20% - Accent2 5 4 2" xfId="775"/>
    <cellStyle name="20% - Accent2 5 4 2 2" xfId="776"/>
    <cellStyle name="20% - Accent2 5 4 3" xfId="777"/>
    <cellStyle name="20% - Accent2 5 4 4" xfId="778"/>
    <cellStyle name="20% - Accent2 5 4 5" xfId="779"/>
    <cellStyle name="20% - Accent2 5 5" xfId="780"/>
    <cellStyle name="20% - Accent2 5 5 2" xfId="781"/>
    <cellStyle name="20% - Accent2 5 5 3" xfId="782"/>
    <cellStyle name="20% - Accent2 5 5 4" xfId="783"/>
    <cellStyle name="20% - Accent2 5 6" xfId="784"/>
    <cellStyle name="20% - Accent2 5 6 2" xfId="785"/>
    <cellStyle name="20% - Accent2 5 7" xfId="786"/>
    <cellStyle name="20% - Accent2 5 8" xfId="787"/>
    <cellStyle name="20% - Accent2 5 9" xfId="788"/>
    <cellStyle name="20% - Accent2 6" xfId="789"/>
    <cellStyle name="20% - Accent2 6 10" xfId="790"/>
    <cellStyle name="20% - Accent2 6 2" xfId="791"/>
    <cellStyle name="20% - Accent2 6 2 2" xfId="792"/>
    <cellStyle name="20% - Accent2 6 2 2 2" xfId="793"/>
    <cellStyle name="20% - Accent2 6 2 2 2 2" xfId="794"/>
    <cellStyle name="20% - Accent2 6 2 2 2 3" xfId="795"/>
    <cellStyle name="20% - Accent2 6 2 2 3" xfId="796"/>
    <cellStyle name="20% - Accent2 6 2 2 4" xfId="797"/>
    <cellStyle name="20% - Accent2 6 2 2 5" xfId="798"/>
    <cellStyle name="20% - Accent2 6 2 2 6" xfId="799"/>
    <cellStyle name="20% - Accent2 6 2 3" xfId="800"/>
    <cellStyle name="20% - Accent2 6 2 3 2" xfId="801"/>
    <cellStyle name="20% - Accent2 6 2 3 2 2" xfId="802"/>
    <cellStyle name="20% - Accent2 6 2 3 3" xfId="803"/>
    <cellStyle name="20% - Accent2 6 2 3 4" xfId="804"/>
    <cellStyle name="20% - Accent2 6 2 3 5" xfId="805"/>
    <cellStyle name="20% - Accent2 6 2 4" xfId="806"/>
    <cellStyle name="20% - Accent2 6 2 4 2" xfId="807"/>
    <cellStyle name="20% - Accent2 6 2 4 3" xfId="808"/>
    <cellStyle name="20% - Accent2 6 2 4 4" xfId="809"/>
    <cellStyle name="20% - Accent2 6 2 5" xfId="810"/>
    <cellStyle name="20% - Accent2 6 2 5 2" xfId="811"/>
    <cellStyle name="20% - Accent2 6 2 6" xfId="812"/>
    <cellStyle name="20% - Accent2 6 2 7" xfId="813"/>
    <cellStyle name="20% - Accent2 6 2 8" xfId="814"/>
    <cellStyle name="20% - Accent2 6 2 9" xfId="815"/>
    <cellStyle name="20% - Accent2 6 3" xfId="816"/>
    <cellStyle name="20% - Accent2 6 3 2" xfId="817"/>
    <cellStyle name="20% - Accent2 6 3 2 2" xfId="818"/>
    <cellStyle name="20% - Accent2 6 3 2 3" xfId="819"/>
    <cellStyle name="20% - Accent2 6 3 3" xfId="820"/>
    <cellStyle name="20% - Accent2 6 3 4" xfId="821"/>
    <cellStyle name="20% - Accent2 6 3 5" xfId="822"/>
    <cellStyle name="20% - Accent2 6 3 6" xfId="823"/>
    <cellStyle name="20% - Accent2 6 4" xfId="824"/>
    <cellStyle name="20% - Accent2 6 4 2" xfId="825"/>
    <cellStyle name="20% - Accent2 6 4 2 2" xfId="826"/>
    <cellStyle name="20% - Accent2 6 4 3" xfId="827"/>
    <cellStyle name="20% - Accent2 6 4 4" xfId="828"/>
    <cellStyle name="20% - Accent2 6 4 5" xfId="829"/>
    <cellStyle name="20% - Accent2 6 5" xfId="830"/>
    <cellStyle name="20% - Accent2 6 5 2" xfId="831"/>
    <cellStyle name="20% - Accent2 6 5 3" xfId="832"/>
    <cellStyle name="20% - Accent2 6 5 4" xfId="833"/>
    <cellStyle name="20% - Accent2 6 6" xfId="834"/>
    <cellStyle name="20% - Accent2 6 6 2" xfId="835"/>
    <cellStyle name="20% - Accent2 6 7" xfId="836"/>
    <cellStyle name="20% - Accent2 6 8" xfId="837"/>
    <cellStyle name="20% - Accent2 6 9" xfId="838"/>
    <cellStyle name="20% - Accent2 7" xfId="839"/>
    <cellStyle name="20% - Accent2 7 2" xfId="840"/>
    <cellStyle name="20% - Accent2 7 2 2" xfId="841"/>
    <cellStyle name="20% - Accent2 7 2 2 2" xfId="842"/>
    <cellStyle name="20% - Accent2 7 2 2 3" xfId="843"/>
    <cellStyle name="20% - Accent2 7 2 3" xfId="844"/>
    <cellStyle name="20% - Accent2 7 2 4" xfId="845"/>
    <cellStyle name="20% - Accent2 7 2 5" xfId="846"/>
    <cellStyle name="20% - Accent2 7 2 6" xfId="847"/>
    <cellStyle name="20% - Accent2 7 3" xfId="848"/>
    <cellStyle name="20% - Accent2 7 3 2" xfId="849"/>
    <cellStyle name="20% - Accent2 7 3 2 2" xfId="850"/>
    <cellStyle name="20% - Accent2 7 3 3" xfId="851"/>
    <cellStyle name="20% - Accent2 7 3 4" xfId="852"/>
    <cellStyle name="20% - Accent2 7 3 5" xfId="853"/>
    <cellStyle name="20% - Accent2 7 4" xfId="854"/>
    <cellStyle name="20% - Accent2 7 4 2" xfId="855"/>
    <cellStyle name="20% - Accent2 7 4 3" xfId="856"/>
    <cellStyle name="20% - Accent2 7 4 4" xfId="857"/>
    <cellStyle name="20% - Accent2 7 5" xfId="858"/>
    <cellStyle name="20% - Accent2 7 5 2" xfId="859"/>
    <cellStyle name="20% - Accent2 7 6" xfId="860"/>
    <cellStyle name="20% - Accent2 7 7" xfId="861"/>
    <cellStyle name="20% - Accent2 7 8" xfId="862"/>
    <cellStyle name="20% - Accent2 7 9" xfId="863"/>
    <cellStyle name="20% - Accent2 8" xfId="864"/>
    <cellStyle name="20% - Accent2 8 2" xfId="865"/>
    <cellStyle name="20% - Accent2 8 2 2" xfId="866"/>
    <cellStyle name="20% - Accent2 8 2 2 2" xfId="867"/>
    <cellStyle name="20% - Accent2 8 2 2 3" xfId="868"/>
    <cellStyle name="20% - Accent2 8 2 3" xfId="869"/>
    <cellStyle name="20% - Accent2 8 2 4" xfId="870"/>
    <cellStyle name="20% - Accent2 8 2 5" xfId="871"/>
    <cellStyle name="20% - Accent2 8 2 6" xfId="872"/>
    <cellStyle name="20% - Accent2 8 3" xfId="873"/>
    <cellStyle name="20% - Accent2 8 3 2" xfId="874"/>
    <cellStyle name="20% - Accent2 8 3 2 2" xfId="875"/>
    <cellStyle name="20% - Accent2 8 3 3" xfId="876"/>
    <cellStyle name="20% - Accent2 8 3 4" xfId="877"/>
    <cellStyle name="20% - Accent2 8 3 5" xfId="878"/>
    <cellStyle name="20% - Accent2 8 4" xfId="879"/>
    <cellStyle name="20% - Accent2 8 4 2" xfId="880"/>
    <cellStyle name="20% - Accent2 8 4 3" xfId="881"/>
    <cellStyle name="20% - Accent2 8 4 4" xfId="882"/>
    <cellStyle name="20% - Accent2 8 5" xfId="883"/>
    <cellStyle name="20% - Accent2 8 5 2" xfId="884"/>
    <cellStyle name="20% - Accent2 8 6" xfId="885"/>
    <cellStyle name="20% - Accent2 8 7" xfId="886"/>
    <cellStyle name="20% - Accent2 8 8" xfId="887"/>
    <cellStyle name="20% - Accent2 8 9" xfId="888"/>
    <cellStyle name="20% - Accent2 9" xfId="889"/>
    <cellStyle name="20% - Accent2 9 2" xfId="890"/>
    <cellStyle name="20% - Accent2 9 2 2" xfId="891"/>
    <cellStyle name="20% - Accent2 9 2 2 2" xfId="892"/>
    <cellStyle name="20% - Accent2 9 2 3" xfId="893"/>
    <cellStyle name="20% - Accent2 9 2 4" xfId="894"/>
    <cellStyle name="20% - Accent2 9 2 5" xfId="895"/>
    <cellStyle name="20% - Accent2 9 3" xfId="896"/>
    <cellStyle name="20% - Accent2 9 3 2" xfId="897"/>
    <cellStyle name="20% - Accent2 9 3 3" xfId="898"/>
    <cellStyle name="20% - Accent2 9 3 4" xfId="899"/>
    <cellStyle name="20% - Accent2 9 4" xfId="900"/>
    <cellStyle name="20% - Accent2 9 4 2" xfId="901"/>
    <cellStyle name="20% - Accent2 9 5" xfId="902"/>
    <cellStyle name="20% - Accent2 9 6" xfId="903"/>
    <cellStyle name="20% - Accent2 9 7" xfId="904"/>
    <cellStyle name="20% - Accent2 9 8" xfId="905"/>
    <cellStyle name="20% - Accent3 10" xfId="906"/>
    <cellStyle name="20% - Accent3 10 2" xfId="907"/>
    <cellStyle name="20% - Accent3 10 2 2" xfId="908"/>
    <cellStyle name="20% - Accent3 10 2 2 2" xfId="909"/>
    <cellStyle name="20% - Accent3 10 2 3" xfId="910"/>
    <cellStyle name="20% - Accent3 10 2 4" xfId="911"/>
    <cellStyle name="20% - Accent3 10 2 5" xfId="912"/>
    <cellStyle name="20% - Accent3 10 3" xfId="913"/>
    <cellStyle name="20% - Accent3 10 3 2" xfId="914"/>
    <cellStyle name="20% - Accent3 10 3 3" xfId="915"/>
    <cellStyle name="20% - Accent3 10 3 4" xfId="916"/>
    <cellStyle name="20% - Accent3 10 4" xfId="917"/>
    <cellStyle name="20% - Accent3 10 4 2" xfId="918"/>
    <cellStyle name="20% - Accent3 10 5" xfId="919"/>
    <cellStyle name="20% - Accent3 10 6" xfId="920"/>
    <cellStyle name="20% - Accent3 10 7" xfId="921"/>
    <cellStyle name="20% - Accent3 10 8" xfId="922"/>
    <cellStyle name="20% - Accent3 11" xfId="923"/>
    <cellStyle name="20% - Accent3 11 2" xfId="924"/>
    <cellStyle name="20% - Accent3 11 2 2" xfId="925"/>
    <cellStyle name="20% - Accent3 11 2 2 2" xfId="926"/>
    <cellStyle name="20% - Accent3 11 2 3" xfId="927"/>
    <cellStyle name="20% - Accent3 11 2 4" xfId="928"/>
    <cellStyle name="20% - Accent3 11 2 5" xfId="929"/>
    <cellStyle name="20% - Accent3 11 3" xfId="930"/>
    <cellStyle name="20% - Accent3 11 3 2" xfId="931"/>
    <cellStyle name="20% - Accent3 11 3 3" xfId="932"/>
    <cellStyle name="20% - Accent3 11 3 4" xfId="933"/>
    <cellStyle name="20% - Accent3 11 4" xfId="934"/>
    <cellStyle name="20% - Accent3 11 4 2" xfId="935"/>
    <cellStyle name="20% - Accent3 11 5" xfId="936"/>
    <cellStyle name="20% - Accent3 11 6" xfId="937"/>
    <cellStyle name="20% - Accent3 11 7" xfId="938"/>
    <cellStyle name="20% - Accent3 11 8" xfId="939"/>
    <cellStyle name="20% - Accent3 12" xfId="940"/>
    <cellStyle name="20% - Accent3 12 2" xfId="941"/>
    <cellStyle name="20% - Accent3 12 2 2" xfId="942"/>
    <cellStyle name="20% - Accent3 12 2 2 2" xfId="943"/>
    <cellStyle name="20% - Accent3 12 2 3" xfId="944"/>
    <cellStyle name="20% - Accent3 12 2 4" xfId="945"/>
    <cellStyle name="20% - Accent3 12 2 5" xfId="946"/>
    <cellStyle name="20% - Accent3 12 3" xfId="947"/>
    <cellStyle name="20% - Accent3 12 3 2" xfId="948"/>
    <cellStyle name="20% - Accent3 12 3 3" xfId="949"/>
    <cellStyle name="20% - Accent3 12 3 4" xfId="950"/>
    <cellStyle name="20% - Accent3 12 4" xfId="951"/>
    <cellStyle name="20% - Accent3 12 4 2" xfId="952"/>
    <cellStyle name="20% - Accent3 12 5" xfId="953"/>
    <cellStyle name="20% - Accent3 12 6" xfId="954"/>
    <cellStyle name="20% - Accent3 12 7" xfId="955"/>
    <cellStyle name="20% - Accent3 12 8" xfId="956"/>
    <cellStyle name="20% - Accent3 13" xfId="957"/>
    <cellStyle name="20% - Accent3 13 2" xfId="958"/>
    <cellStyle name="20% - Accent3 13 2 2" xfId="959"/>
    <cellStyle name="20% - Accent3 13 2 3" xfId="960"/>
    <cellStyle name="20% - Accent3 13 2 4" xfId="961"/>
    <cellStyle name="20% - Accent3 13 3" xfId="962"/>
    <cellStyle name="20% - Accent3 13 3 2" xfId="963"/>
    <cellStyle name="20% - Accent3 13 4" xfId="964"/>
    <cellStyle name="20% - Accent3 13 5" xfId="965"/>
    <cellStyle name="20% - Accent3 13 6" xfId="966"/>
    <cellStyle name="20% - Accent3 14" xfId="967"/>
    <cellStyle name="20% - Accent3 14 2" xfId="968"/>
    <cellStyle name="20% - Accent3 14 2 2" xfId="969"/>
    <cellStyle name="20% - Accent3 14 3" xfId="970"/>
    <cellStyle name="20% - Accent3 14 4" xfId="971"/>
    <cellStyle name="20% - Accent3 14 5" xfId="972"/>
    <cellStyle name="20% - Accent3 15" xfId="973"/>
    <cellStyle name="20% - Accent3 15 2" xfId="974"/>
    <cellStyle name="20% - Accent3 15 2 2" xfId="975"/>
    <cellStyle name="20% - Accent3 15 3" xfId="976"/>
    <cellStyle name="20% - Accent3 15 4" xfId="977"/>
    <cellStyle name="20% - Accent3 15 5" xfId="978"/>
    <cellStyle name="20% - Accent3 16" xfId="979"/>
    <cellStyle name="20% - Accent3 16 2" xfId="980"/>
    <cellStyle name="20% - Accent3 17" xfId="981"/>
    <cellStyle name="20% - Accent3 18" xfId="982"/>
    <cellStyle name="20% - Accent3 19" xfId="983"/>
    <cellStyle name="20% - Accent3 2" xfId="984"/>
    <cellStyle name="20% - Accent3 2 10" xfId="985"/>
    <cellStyle name="20% - Accent3 2 11" xfId="986"/>
    <cellStyle name="20% - Accent3 2 2" xfId="987"/>
    <cellStyle name="20% - Accent3 2 2 10" xfId="988"/>
    <cellStyle name="20% - Accent3 2 2 2" xfId="989"/>
    <cellStyle name="20% - Accent3 2 2 2 2" xfId="990"/>
    <cellStyle name="20% - Accent3 2 2 2 2 2" xfId="991"/>
    <cellStyle name="20% - Accent3 2 2 2 2 2 2" xfId="992"/>
    <cellStyle name="20% - Accent3 2 2 2 2 2 3" xfId="993"/>
    <cellStyle name="20% - Accent3 2 2 2 2 3" xfId="994"/>
    <cellStyle name="20% - Accent3 2 2 2 2 4" xfId="995"/>
    <cellStyle name="20% - Accent3 2 2 2 2 5" xfId="996"/>
    <cellStyle name="20% - Accent3 2 2 2 2 6" xfId="997"/>
    <cellStyle name="20% - Accent3 2 2 2 3" xfId="998"/>
    <cellStyle name="20% - Accent3 2 2 2 3 2" xfId="999"/>
    <cellStyle name="20% - Accent3 2 2 2 3 2 2" xfId="1000"/>
    <cellStyle name="20% - Accent3 2 2 2 3 3" xfId="1001"/>
    <cellStyle name="20% - Accent3 2 2 2 3 4" xfId="1002"/>
    <cellStyle name="20% - Accent3 2 2 2 3 5" xfId="1003"/>
    <cellStyle name="20% - Accent3 2 2 2 4" xfId="1004"/>
    <cellStyle name="20% - Accent3 2 2 2 4 2" xfId="1005"/>
    <cellStyle name="20% - Accent3 2 2 2 4 3" xfId="1006"/>
    <cellStyle name="20% - Accent3 2 2 2 4 4" xfId="1007"/>
    <cellStyle name="20% - Accent3 2 2 2 5" xfId="1008"/>
    <cellStyle name="20% - Accent3 2 2 2 5 2" xfId="1009"/>
    <cellStyle name="20% - Accent3 2 2 2 6" xfId="1010"/>
    <cellStyle name="20% - Accent3 2 2 2 7" xfId="1011"/>
    <cellStyle name="20% - Accent3 2 2 2 8" xfId="1012"/>
    <cellStyle name="20% - Accent3 2 2 2 9" xfId="1013"/>
    <cellStyle name="20% - Accent3 2 2 3" xfId="1014"/>
    <cellStyle name="20% - Accent3 2 2 3 2" xfId="1015"/>
    <cellStyle name="20% - Accent3 2 2 3 2 2" xfId="1016"/>
    <cellStyle name="20% - Accent3 2 2 3 2 3" xfId="1017"/>
    <cellStyle name="20% - Accent3 2 2 3 3" xfId="1018"/>
    <cellStyle name="20% - Accent3 2 2 3 4" xfId="1019"/>
    <cellStyle name="20% - Accent3 2 2 3 5" xfId="1020"/>
    <cellStyle name="20% - Accent3 2 2 3 6" xfId="1021"/>
    <cellStyle name="20% - Accent3 2 2 4" xfId="1022"/>
    <cellStyle name="20% - Accent3 2 2 4 2" xfId="1023"/>
    <cellStyle name="20% - Accent3 2 2 4 2 2" xfId="1024"/>
    <cellStyle name="20% - Accent3 2 2 4 3" xfId="1025"/>
    <cellStyle name="20% - Accent3 2 2 4 4" xfId="1026"/>
    <cellStyle name="20% - Accent3 2 2 4 5" xfId="1027"/>
    <cellStyle name="20% - Accent3 2 2 5" xfId="1028"/>
    <cellStyle name="20% - Accent3 2 2 5 2" xfId="1029"/>
    <cellStyle name="20% - Accent3 2 2 5 3" xfId="1030"/>
    <cellStyle name="20% - Accent3 2 2 5 4" xfId="1031"/>
    <cellStyle name="20% - Accent3 2 2 6" xfId="1032"/>
    <cellStyle name="20% - Accent3 2 2 6 2" xfId="1033"/>
    <cellStyle name="20% - Accent3 2 2 7" xfId="1034"/>
    <cellStyle name="20% - Accent3 2 2 8" xfId="1035"/>
    <cellStyle name="20% - Accent3 2 2 9" xfId="1036"/>
    <cellStyle name="20% - Accent3 2 3" xfId="1037"/>
    <cellStyle name="20% - Accent3 2 3 2" xfId="1038"/>
    <cellStyle name="20% - Accent3 2 3 2 2" xfId="1039"/>
    <cellStyle name="20% - Accent3 2 3 2 2 2" xfId="1040"/>
    <cellStyle name="20% - Accent3 2 3 2 2 3" xfId="1041"/>
    <cellStyle name="20% - Accent3 2 3 2 3" xfId="1042"/>
    <cellStyle name="20% - Accent3 2 3 2 4" xfId="1043"/>
    <cellStyle name="20% - Accent3 2 3 2 5" xfId="1044"/>
    <cellStyle name="20% - Accent3 2 3 2 6" xfId="1045"/>
    <cellStyle name="20% - Accent3 2 3 3" xfId="1046"/>
    <cellStyle name="20% - Accent3 2 3 3 2" xfId="1047"/>
    <cellStyle name="20% - Accent3 2 3 3 2 2" xfId="1048"/>
    <cellStyle name="20% - Accent3 2 3 3 3" xfId="1049"/>
    <cellStyle name="20% - Accent3 2 3 3 4" xfId="1050"/>
    <cellStyle name="20% - Accent3 2 3 3 5" xfId="1051"/>
    <cellStyle name="20% - Accent3 2 3 4" xfId="1052"/>
    <cellStyle name="20% - Accent3 2 3 4 2" xfId="1053"/>
    <cellStyle name="20% - Accent3 2 3 4 3" xfId="1054"/>
    <cellStyle name="20% - Accent3 2 3 4 4" xfId="1055"/>
    <cellStyle name="20% - Accent3 2 3 5" xfId="1056"/>
    <cellStyle name="20% - Accent3 2 3 5 2" xfId="1057"/>
    <cellStyle name="20% - Accent3 2 3 6" xfId="1058"/>
    <cellStyle name="20% - Accent3 2 3 7" xfId="1059"/>
    <cellStyle name="20% - Accent3 2 3 8" xfId="1060"/>
    <cellStyle name="20% - Accent3 2 3 9" xfId="1061"/>
    <cellStyle name="20% - Accent3 2 4" xfId="1062"/>
    <cellStyle name="20% - Accent3 2 4 2" xfId="1063"/>
    <cellStyle name="20% - Accent3 2 4 2 2" xfId="1064"/>
    <cellStyle name="20% - Accent3 2 4 2 3" xfId="1065"/>
    <cellStyle name="20% - Accent3 2 4 3" xfId="1066"/>
    <cellStyle name="20% - Accent3 2 4 4" xfId="1067"/>
    <cellStyle name="20% - Accent3 2 4 5" xfId="1068"/>
    <cellStyle name="20% - Accent3 2 4 6" xfId="1069"/>
    <cellStyle name="20% - Accent3 2 5" xfId="1070"/>
    <cellStyle name="20% - Accent3 2 5 2" xfId="1071"/>
    <cellStyle name="20% - Accent3 2 5 2 2" xfId="1072"/>
    <cellStyle name="20% - Accent3 2 5 3" xfId="1073"/>
    <cellStyle name="20% - Accent3 2 5 4" xfId="1074"/>
    <cellStyle name="20% - Accent3 2 5 5" xfId="1075"/>
    <cellStyle name="20% - Accent3 2 6" xfId="1076"/>
    <cellStyle name="20% - Accent3 2 6 2" xfId="1077"/>
    <cellStyle name="20% - Accent3 2 6 2 2" xfId="1078"/>
    <cellStyle name="20% - Accent3 2 6 3" xfId="1079"/>
    <cellStyle name="20% - Accent3 2 6 4" xfId="1080"/>
    <cellStyle name="20% - Accent3 2 6 5" xfId="1081"/>
    <cellStyle name="20% - Accent3 2 7" xfId="1082"/>
    <cellStyle name="20% - Accent3 2 7 2" xfId="1083"/>
    <cellStyle name="20% - Accent3 2 8" xfId="1084"/>
    <cellStyle name="20% - Accent3 2 9" xfId="1085"/>
    <cellStyle name="20% - Accent3 3" xfId="1086"/>
    <cellStyle name="20% - Accent3 3 10" xfId="1087"/>
    <cellStyle name="20% - Accent3 3 2" xfId="1088"/>
    <cellStyle name="20% - Accent3 3 2 2" xfId="1089"/>
    <cellStyle name="20% - Accent3 3 2 2 2" xfId="1090"/>
    <cellStyle name="20% - Accent3 3 2 2 2 2" xfId="1091"/>
    <cellStyle name="20% - Accent3 3 2 2 2 3" xfId="1092"/>
    <cellStyle name="20% - Accent3 3 2 2 3" xfId="1093"/>
    <cellStyle name="20% - Accent3 3 2 2 4" xfId="1094"/>
    <cellStyle name="20% - Accent3 3 2 2 5" xfId="1095"/>
    <cellStyle name="20% - Accent3 3 2 2 6" xfId="1096"/>
    <cellStyle name="20% - Accent3 3 2 3" xfId="1097"/>
    <cellStyle name="20% - Accent3 3 2 3 2" xfId="1098"/>
    <cellStyle name="20% - Accent3 3 2 3 2 2" xfId="1099"/>
    <cellStyle name="20% - Accent3 3 2 3 3" xfId="1100"/>
    <cellStyle name="20% - Accent3 3 2 3 4" xfId="1101"/>
    <cellStyle name="20% - Accent3 3 2 3 5" xfId="1102"/>
    <cellStyle name="20% - Accent3 3 2 4" xfId="1103"/>
    <cellStyle name="20% - Accent3 3 2 4 2" xfId="1104"/>
    <cellStyle name="20% - Accent3 3 2 4 3" xfId="1105"/>
    <cellStyle name="20% - Accent3 3 2 4 4" xfId="1106"/>
    <cellStyle name="20% - Accent3 3 2 5" xfId="1107"/>
    <cellStyle name="20% - Accent3 3 2 5 2" xfId="1108"/>
    <cellStyle name="20% - Accent3 3 2 6" xfId="1109"/>
    <cellStyle name="20% - Accent3 3 2 7" xfId="1110"/>
    <cellStyle name="20% - Accent3 3 2 8" xfId="1111"/>
    <cellStyle name="20% - Accent3 3 2 9" xfId="1112"/>
    <cellStyle name="20% - Accent3 3 3" xfId="1113"/>
    <cellStyle name="20% - Accent3 3 3 2" xfId="1114"/>
    <cellStyle name="20% - Accent3 3 3 2 2" xfId="1115"/>
    <cellStyle name="20% - Accent3 3 3 2 3" xfId="1116"/>
    <cellStyle name="20% - Accent3 3 3 3" xfId="1117"/>
    <cellStyle name="20% - Accent3 3 3 4" xfId="1118"/>
    <cellStyle name="20% - Accent3 3 3 5" xfId="1119"/>
    <cellStyle name="20% - Accent3 3 3 6" xfId="1120"/>
    <cellStyle name="20% - Accent3 3 4" xfId="1121"/>
    <cellStyle name="20% - Accent3 3 4 2" xfId="1122"/>
    <cellStyle name="20% - Accent3 3 4 2 2" xfId="1123"/>
    <cellStyle name="20% - Accent3 3 4 3" xfId="1124"/>
    <cellStyle name="20% - Accent3 3 4 4" xfId="1125"/>
    <cellStyle name="20% - Accent3 3 4 5" xfId="1126"/>
    <cellStyle name="20% - Accent3 3 5" xfId="1127"/>
    <cellStyle name="20% - Accent3 3 5 2" xfId="1128"/>
    <cellStyle name="20% - Accent3 3 5 2 2" xfId="1129"/>
    <cellStyle name="20% - Accent3 3 5 3" xfId="1130"/>
    <cellStyle name="20% - Accent3 3 5 4" xfId="1131"/>
    <cellStyle name="20% - Accent3 3 5 5" xfId="1132"/>
    <cellStyle name="20% - Accent3 3 6" xfId="1133"/>
    <cellStyle name="20% - Accent3 3 6 2" xfId="1134"/>
    <cellStyle name="20% - Accent3 3 7" xfId="1135"/>
    <cellStyle name="20% - Accent3 3 8" xfId="1136"/>
    <cellStyle name="20% - Accent3 3 9" xfId="1137"/>
    <cellStyle name="20% - Accent3 4" xfId="1138"/>
    <cellStyle name="20% - Accent3 4 10" xfId="1139"/>
    <cellStyle name="20% - Accent3 4 2" xfId="1140"/>
    <cellStyle name="20% - Accent3 4 2 2" xfId="1141"/>
    <cellStyle name="20% - Accent3 4 2 2 2" xfId="1142"/>
    <cellStyle name="20% - Accent3 4 2 2 2 2" xfId="1143"/>
    <cellStyle name="20% - Accent3 4 2 2 2 3" xfId="1144"/>
    <cellStyle name="20% - Accent3 4 2 2 3" xfId="1145"/>
    <cellStyle name="20% - Accent3 4 2 2 4" xfId="1146"/>
    <cellStyle name="20% - Accent3 4 2 2 5" xfId="1147"/>
    <cellStyle name="20% - Accent3 4 2 2 6" xfId="1148"/>
    <cellStyle name="20% - Accent3 4 2 3" xfId="1149"/>
    <cellStyle name="20% - Accent3 4 2 3 2" xfId="1150"/>
    <cellStyle name="20% - Accent3 4 2 3 2 2" xfId="1151"/>
    <cellStyle name="20% - Accent3 4 2 3 3" xfId="1152"/>
    <cellStyle name="20% - Accent3 4 2 3 4" xfId="1153"/>
    <cellStyle name="20% - Accent3 4 2 3 5" xfId="1154"/>
    <cellStyle name="20% - Accent3 4 2 4" xfId="1155"/>
    <cellStyle name="20% - Accent3 4 2 4 2" xfId="1156"/>
    <cellStyle name="20% - Accent3 4 2 4 3" xfId="1157"/>
    <cellStyle name="20% - Accent3 4 2 4 4" xfId="1158"/>
    <cellStyle name="20% - Accent3 4 2 5" xfId="1159"/>
    <cellStyle name="20% - Accent3 4 2 5 2" xfId="1160"/>
    <cellStyle name="20% - Accent3 4 2 6" xfId="1161"/>
    <cellStyle name="20% - Accent3 4 2 7" xfId="1162"/>
    <cellStyle name="20% - Accent3 4 2 8" xfId="1163"/>
    <cellStyle name="20% - Accent3 4 2 9" xfId="1164"/>
    <cellStyle name="20% - Accent3 4 3" xfId="1165"/>
    <cellStyle name="20% - Accent3 4 3 2" xfId="1166"/>
    <cellStyle name="20% - Accent3 4 3 2 2" xfId="1167"/>
    <cellStyle name="20% - Accent3 4 3 2 3" xfId="1168"/>
    <cellStyle name="20% - Accent3 4 3 3" xfId="1169"/>
    <cellStyle name="20% - Accent3 4 3 4" xfId="1170"/>
    <cellStyle name="20% - Accent3 4 3 5" xfId="1171"/>
    <cellStyle name="20% - Accent3 4 3 6" xfId="1172"/>
    <cellStyle name="20% - Accent3 4 4" xfId="1173"/>
    <cellStyle name="20% - Accent3 4 4 2" xfId="1174"/>
    <cellStyle name="20% - Accent3 4 4 2 2" xfId="1175"/>
    <cellStyle name="20% - Accent3 4 4 3" xfId="1176"/>
    <cellStyle name="20% - Accent3 4 4 4" xfId="1177"/>
    <cellStyle name="20% - Accent3 4 4 5" xfId="1178"/>
    <cellStyle name="20% - Accent3 4 5" xfId="1179"/>
    <cellStyle name="20% - Accent3 4 5 2" xfId="1180"/>
    <cellStyle name="20% - Accent3 4 5 2 2" xfId="1181"/>
    <cellStyle name="20% - Accent3 4 5 3" xfId="1182"/>
    <cellStyle name="20% - Accent3 4 5 4" xfId="1183"/>
    <cellStyle name="20% - Accent3 4 5 5" xfId="1184"/>
    <cellStyle name="20% - Accent3 4 6" xfId="1185"/>
    <cellStyle name="20% - Accent3 4 6 2" xfId="1186"/>
    <cellStyle name="20% - Accent3 4 7" xfId="1187"/>
    <cellStyle name="20% - Accent3 4 8" xfId="1188"/>
    <cellStyle name="20% - Accent3 4 9" xfId="1189"/>
    <cellStyle name="20% - Accent3 5" xfId="1190"/>
    <cellStyle name="20% - Accent3 5 10" xfId="1191"/>
    <cellStyle name="20% - Accent3 5 2" xfId="1192"/>
    <cellStyle name="20% - Accent3 5 2 2" xfId="1193"/>
    <cellStyle name="20% - Accent3 5 2 2 2" xfId="1194"/>
    <cellStyle name="20% - Accent3 5 2 2 2 2" xfId="1195"/>
    <cellStyle name="20% - Accent3 5 2 2 2 3" xfId="1196"/>
    <cellStyle name="20% - Accent3 5 2 2 3" xfId="1197"/>
    <cellStyle name="20% - Accent3 5 2 2 4" xfId="1198"/>
    <cellStyle name="20% - Accent3 5 2 2 5" xfId="1199"/>
    <cellStyle name="20% - Accent3 5 2 2 6" xfId="1200"/>
    <cellStyle name="20% - Accent3 5 2 3" xfId="1201"/>
    <cellStyle name="20% - Accent3 5 2 3 2" xfId="1202"/>
    <cellStyle name="20% - Accent3 5 2 3 2 2" xfId="1203"/>
    <cellStyle name="20% - Accent3 5 2 3 3" xfId="1204"/>
    <cellStyle name="20% - Accent3 5 2 3 4" xfId="1205"/>
    <cellStyle name="20% - Accent3 5 2 3 5" xfId="1206"/>
    <cellStyle name="20% - Accent3 5 2 4" xfId="1207"/>
    <cellStyle name="20% - Accent3 5 2 4 2" xfId="1208"/>
    <cellStyle name="20% - Accent3 5 2 4 3" xfId="1209"/>
    <cellStyle name="20% - Accent3 5 2 4 4" xfId="1210"/>
    <cellStyle name="20% - Accent3 5 2 5" xfId="1211"/>
    <cellStyle name="20% - Accent3 5 2 5 2" xfId="1212"/>
    <cellStyle name="20% - Accent3 5 2 6" xfId="1213"/>
    <cellStyle name="20% - Accent3 5 2 7" xfId="1214"/>
    <cellStyle name="20% - Accent3 5 2 8" xfId="1215"/>
    <cellStyle name="20% - Accent3 5 2 9" xfId="1216"/>
    <cellStyle name="20% - Accent3 5 3" xfId="1217"/>
    <cellStyle name="20% - Accent3 5 3 2" xfId="1218"/>
    <cellStyle name="20% - Accent3 5 3 2 2" xfId="1219"/>
    <cellStyle name="20% - Accent3 5 3 2 3" xfId="1220"/>
    <cellStyle name="20% - Accent3 5 3 3" xfId="1221"/>
    <cellStyle name="20% - Accent3 5 3 4" xfId="1222"/>
    <cellStyle name="20% - Accent3 5 3 5" xfId="1223"/>
    <cellStyle name="20% - Accent3 5 3 6" xfId="1224"/>
    <cellStyle name="20% - Accent3 5 4" xfId="1225"/>
    <cellStyle name="20% - Accent3 5 4 2" xfId="1226"/>
    <cellStyle name="20% - Accent3 5 4 2 2" xfId="1227"/>
    <cellStyle name="20% - Accent3 5 4 3" xfId="1228"/>
    <cellStyle name="20% - Accent3 5 4 4" xfId="1229"/>
    <cellStyle name="20% - Accent3 5 4 5" xfId="1230"/>
    <cellStyle name="20% - Accent3 5 5" xfId="1231"/>
    <cellStyle name="20% - Accent3 5 5 2" xfId="1232"/>
    <cellStyle name="20% - Accent3 5 5 3" xfId="1233"/>
    <cellStyle name="20% - Accent3 5 5 4" xfId="1234"/>
    <cellStyle name="20% - Accent3 5 6" xfId="1235"/>
    <cellStyle name="20% - Accent3 5 6 2" xfId="1236"/>
    <cellStyle name="20% - Accent3 5 7" xfId="1237"/>
    <cellStyle name="20% - Accent3 5 8" xfId="1238"/>
    <cellStyle name="20% - Accent3 5 9" xfId="1239"/>
    <cellStyle name="20% - Accent3 6" xfId="1240"/>
    <cellStyle name="20% - Accent3 6 10" xfId="1241"/>
    <cellStyle name="20% - Accent3 6 2" xfId="1242"/>
    <cellStyle name="20% - Accent3 6 2 2" xfId="1243"/>
    <cellStyle name="20% - Accent3 6 2 2 2" xfId="1244"/>
    <cellStyle name="20% - Accent3 6 2 2 2 2" xfId="1245"/>
    <cellStyle name="20% - Accent3 6 2 2 2 3" xfId="1246"/>
    <cellStyle name="20% - Accent3 6 2 2 3" xfId="1247"/>
    <cellStyle name="20% - Accent3 6 2 2 4" xfId="1248"/>
    <cellStyle name="20% - Accent3 6 2 2 5" xfId="1249"/>
    <cellStyle name="20% - Accent3 6 2 2 6" xfId="1250"/>
    <cellStyle name="20% - Accent3 6 2 3" xfId="1251"/>
    <cellStyle name="20% - Accent3 6 2 3 2" xfId="1252"/>
    <cellStyle name="20% - Accent3 6 2 3 2 2" xfId="1253"/>
    <cellStyle name="20% - Accent3 6 2 3 3" xfId="1254"/>
    <cellStyle name="20% - Accent3 6 2 3 4" xfId="1255"/>
    <cellStyle name="20% - Accent3 6 2 3 5" xfId="1256"/>
    <cellStyle name="20% - Accent3 6 2 4" xfId="1257"/>
    <cellStyle name="20% - Accent3 6 2 4 2" xfId="1258"/>
    <cellStyle name="20% - Accent3 6 2 4 3" xfId="1259"/>
    <cellStyle name="20% - Accent3 6 2 4 4" xfId="1260"/>
    <cellStyle name="20% - Accent3 6 2 5" xfId="1261"/>
    <cellStyle name="20% - Accent3 6 2 5 2" xfId="1262"/>
    <cellStyle name="20% - Accent3 6 2 6" xfId="1263"/>
    <cellStyle name="20% - Accent3 6 2 7" xfId="1264"/>
    <cellStyle name="20% - Accent3 6 2 8" xfId="1265"/>
    <cellStyle name="20% - Accent3 6 2 9" xfId="1266"/>
    <cellStyle name="20% - Accent3 6 3" xfId="1267"/>
    <cellStyle name="20% - Accent3 6 3 2" xfId="1268"/>
    <cellStyle name="20% - Accent3 6 3 2 2" xfId="1269"/>
    <cellStyle name="20% - Accent3 6 3 2 3" xfId="1270"/>
    <cellStyle name="20% - Accent3 6 3 3" xfId="1271"/>
    <cellStyle name="20% - Accent3 6 3 4" xfId="1272"/>
    <cellStyle name="20% - Accent3 6 3 5" xfId="1273"/>
    <cellStyle name="20% - Accent3 6 3 6" xfId="1274"/>
    <cellStyle name="20% - Accent3 6 4" xfId="1275"/>
    <cellStyle name="20% - Accent3 6 4 2" xfId="1276"/>
    <cellStyle name="20% - Accent3 6 4 2 2" xfId="1277"/>
    <cellStyle name="20% - Accent3 6 4 3" xfId="1278"/>
    <cellStyle name="20% - Accent3 6 4 4" xfId="1279"/>
    <cellStyle name="20% - Accent3 6 4 5" xfId="1280"/>
    <cellStyle name="20% - Accent3 6 5" xfId="1281"/>
    <cellStyle name="20% - Accent3 6 5 2" xfId="1282"/>
    <cellStyle name="20% - Accent3 6 5 3" xfId="1283"/>
    <cellStyle name="20% - Accent3 6 5 4" xfId="1284"/>
    <cellStyle name="20% - Accent3 6 6" xfId="1285"/>
    <cellStyle name="20% - Accent3 6 6 2" xfId="1286"/>
    <cellStyle name="20% - Accent3 6 7" xfId="1287"/>
    <cellStyle name="20% - Accent3 6 8" xfId="1288"/>
    <cellStyle name="20% - Accent3 6 9" xfId="1289"/>
    <cellStyle name="20% - Accent3 7" xfId="1290"/>
    <cellStyle name="20% - Accent3 7 2" xfId="1291"/>
    <cellStyle name="20% - Accent3 7 2 2" xfId="1292"/>
    <cellStyle name="20% - Accent3 7 2 2 2" xfId="1293"/>
    <cellStyle name="20% - Accent3 7 2 2 3" xfId="1294"/>
    <cellStyle name="20% - Accent3 7 2 3" xfId="1295"/>
    <cellStyle name="20% - Accent3 7 2 4" xfId="1296"/>
    <cellStyle name="20% - Accent3 7 2 5" xfId="1297"/>
    <cellStyle name="20% - Accent3 7 2 6" xfId="1298"/>
    <cellStyle name="20% - Accent3 7 3" xfId="1299"/>
    <cellStyle name="20% - Accent3 7 3 2" xfId="1300"/>
    <cellStyle name="20% - Accent3 7 3 2 2" xfId="1301"/>
    <cellStyle name="20% - Accent3 7 3 3" xfId="1302"/>
    <cellStyle name="20% - Accent3 7 3 4" xfId="1303"/>
    <cellStyle name="20% - Accent3 7 3 5" xfId="1304"/>
    <cellStyle name="20% - Accent3 7 4" xfId="1305"/>
    <cellStyle name="20% - Accent3 7 4 2" xfId="1306"/>
    <cellStyle name="20% - Accent3 7 4 3" xfId="1307"/>
    <cellStyle name="20% - Accent3 7 4 4" xfId="1308"/>
    <cellStyle name="20% - Accent3 7 5" xfId="1309"/>
    <cellStyle name="20% - Accent3 7 5 2" xfId="1310"/>
    <cellStyle name="20% - Accent3 7 6" xfId="1311"/>
    <cellStyle name="20% - Accent3 7 7" xfId="1312"/>
    <cellStyle name="20% - Accent3 7 8" xfId="1313"/>
    <cellStyle name="20% - Accent3 7 9" xfId="1314"/>
    <cellStyle name="20% - Accent3 8" xfId="1315"/>
    <cellStyle name="20% - Accent3 8 2" xfId="1316"/>
    <cellStyle name="20% - Accent3 8 2 2" xfId="1317"/>
    <cellStyle name="20% - Accent3 8 2 2 2" xfId="1318"/>
    <cellStyle name="20% - Accent3 8 2 2 3" xfId="1319"/>
    <cellStyle name="20% - Accent3 8 2 3" xfId="1320"/>
    <cellStyle name="20% - Accent3 8 2 4" xfId="1321"/>
    <cellStyle name="20% - Accent3 8 2 5" xfId="1322"/>
    <cellStyle name="20% - Accent3 8 2 6" xfId="1323"/>
    <cellStyle name="20% - Accent3 8 3" xfId="1324"/>
    <cellStyle name="20% - Accent3 8 3 2" xfId="1325"/>
    <cellStyle name="20% - Accent3 8 3 2 2" xfId="1326"/>
    <cellStyle name="20% - Accent3 8 3 3" xfId="1327"/>
    <cellStyle name="20% - Accent3 8 3 4" xfId="1328"/>
    <cellStyle name="20% - Accent3 8 3 5" xfId="1329"/>
    <cellStyle name="20% - Accent3 8 4" xfId="1330"/>
    <cellStyle name="20% - Accent3 8 4 2" xfId="1331"/>
    <cellStyle name="20% - Accent3 8 4 3" xfId="1332"/>
    <cellStyle name="20% - Accent3 8 4 4" xfId="1333"/>
    <cellStyle name="20% - Accent3 8 5" xfId="1334"/>
    <cellStyle name="20% - Accent3 8 5 2" xfId="1335"/>
    <cellStyle name="20% - Accent3 8 6" xfId="1336"/>
    <cellStyle name="20% - Accent3 8 7" xfId="1337"/>
    <cellStyle name="20% - Accent3 8 8" xfId="1338"/>
    <cellStyle name="20% - Accent3 8 9" xfId="1339"/>
    <cellStyle name="20% - Accent3 9" xfId="1340"/>
    <cellStyle name="20% - Accent3 9 2" xfId="1341"/>
    <cellStyle name="20% - Accent3 9 2 2" xfId="1342"/>
    <cellStyle name="20% - Accent3 9 2 2 2" xfId="1343"/>
    <cellStyle name="20% - Accent3 9 2 3" xfId="1344"/>
    <cellStyle name="20% - Accent3 9 2 4" xfId="1345"/>
    <cellStyle name="20% - Accent3 9 2 5" xfId="1346"/>
    <cellStyle name="20% - Accent3 9 3" xfId="1347"/>
    <cellStyle name="20% - Accent3 9 3 2" xfId="1348"/>
    <cellStyle name="20% - Accent3 9 3 3" xfId="1349"/>
    <cellStyle name="20% - Accent3 9 3 4" xfId="1350"/>
    <cellStyle name="20% - Accent3 9 4" xfId="1351"/>
    <cellStyle name="20% - Accent3 9 4 2" xfId="1352"/>
    <cellStyle name="20% - Accent3 9 5" xfId="1353"/>
    <cellStyle name="20% - Accent3 9 6" xfId="1354"/>
    <cellStyle name="20% - Accent3 9 7" xfId="1355"/>
    <cellStyle name="20% - Accent3 9 8" xfId="1356"/>
    <cellStyle name="20% - Accent4 10" xfId="1357"/>
    <cellStyle name="20% - Accent4 10 2" xfId="1358"/>
    <cellStyle name="20% - Accent4 10 2 2" xfId="1359"/>
    <cellStyle name="20% - Accent4 10 2 2 2" xfId="1360"/>
    <cellStyle name="20% - Accent4 10 2 3" xfId="1361"/>
    <cellStyle name="20% - Accent4 10 2 4" xfId="1362"/>
    <cellStyle name="20% - Accent4 10 2 5" xfId="1363"/>
    <cellStyle name="20% - Accent4 10 3" xfId="1364"/>
    <cellStyle name="20% - Accent4 10 3 2" xfId="1365"/>
    <cellStyle name="20% - Accent4 10 3 3" xfId="1366"/>
    <cellStyle name="20% - Accent4 10 3 4" xfId="1367"/>
    <cellStyle name="20% - Accent4 10 4" xfId="1368"/>
    <cellStyle name="20% - Accent4 10 4 2" xfId="1369"/>
    <cellStyle name="20% - Accent4 10 5" xfId="1370"/>
    <cellStyle name="20% - Accent4 10 6" xfId="1371"/>
    <cellStyle name="20% - Accent4 10 7" xfId="1372"/>
    <cellStyle name="20% - Accent4 10 8" xfId="1373"/>
    <cellStyle name="20% - Accent4 11" xfId="1374"/>
    <cellStyle name="20% - Accent4 11 2" xfId="1375"/>
    <cellStyle name="20% - Accent4 11 2 2" xfId="1376"/>
    <cellStyle name="20% - Accent4 11 2 2 2" xfId="1377"/>
    <cellStyle name="20% - Accent4 11 2 3" xfId="1378"/>
    <cellStyle name="20% - Accent4 11 2 4" xfId="1379"/>
    <cellStyle name="20% - Accent4 11 2 5" xfId="1380"/>
    <cellStyle name="20% - Accent4 11 3" xfId="1381"/>
    <cellStyle name="20% - Accent4 11 3 2" xfId="1382"/>
    <cellStyle name="20% - Accent4 11 3 3" xfId="1383"/>
    <cellStyle name="20% - Accent4 11 3 4" xfId="1384"/>
    <cellStyle name="20% - Accent4 11 4" xfId="1385"/>
    <cellStyle name="20% - Accent4 11 4 2" xfId="1386"/>
    <cellStyle name="20% - Accent4 11 5" xfId="1387"/>
    <cellStyle name="20% - Accent4 11 6" xfId="1388"/>
    <cellStyle name="20% - Accent4 11 7" xfId="1389"/>
    <cellStyle name="20% - Accent4 11 8" xfId="1390"/>
    <cellStyle name="20% - Accent4 12" xfId="1391"/>
    <cellStyle name="20% - Accent4 12 2" xfId="1392"/>
    <cellStyle name="20% - Accent4 12 2 2" xfId="1393"/>
    <cellStyle name="20% - Accent4 12 2 2 2" xfId="1394"/>
    <cellStyle name="20% - Accent4 12 2 3" xfId="1395"/>
    <cellStyle name="20% - Accent4 12 2 4" xfId="1396"/>
    <cellStyle name="20% - Accent4 12 2 5" xfId="1397"/>
    <cellStyle name="20% - Accent4 12 3" xfId="1398"/>
    <cellStyle name="20% - Accent4 12 3 2" xfId="1399"/>
    <cellStyle name="20% - Accent4 12 3 3" xfId="1400"/>
    <cellStyle name="20% - Accent4 12 3 4" xfId="1401"/>
    <cellStyle name="20% - Accent4 12 4" xfId="1402"/>
    <cellStyle name="20% - Accent4 12 4 2" xfId="1403"/>
    <cellStyle name="20% - Accent4 12 5" xfId="1404"/>
    <cellStyle name="20% - Accent4 12 6" xfId="1405"/>
    <cellStyle name="20% - Accent4 12 7" xfId="1406"/>
    <cellStyle name="20% - Accent4 12 8" xfId="1407"/>
    <cellStyle name="20% - Accent4 13" xfId="1408"/>
    <cellStyle name="20% - Accent4 13 2" xfId="1409"/>
    <cellStyle name="20% - Accent4 13 2 2" xfId="1410"/>
    <cellStyle name="20% - Accent4 13 2 3" xfId="1411"/>
    <cellStyle name="20% - Accent4 13 2 4" xfId="1412"/>
    <cellStyle name="20% - Accent4 13 3" xfId="1413"/>
    <cellStyle name="20% - Accent4 13 3 2" xfId="1414"/>
    <cellStyle name="20% - Accent4 13 4" xfId="1415"/>
    <cellStyle name="20% - Accent4 13 5" xfId="1416"/>
    <cellStyle name="20% - Accent4 13 6" xfId="1417"/>
    <cellStyle name="20% - Accent4 14" xfId="1418"/>
    <cellStyle name="20% - Accent4 14 2" xfId="1419"/>
    <cellStyle name="20% - Accent4 14 2 2" xfId="1420"/>
    <cellStyle name="20% - Accent4 14 3" xfId="1421"/>
    <cellStyle name="20% - Accent4 14 4" xfId="1422"/>
    <cellStyle name="20% - Accent4 14 5" xfId="1423"/>
    <cellStyle name="20% - Accent4 15" xfId="1424"/>
    <cellStyle name="20% - Accent4 15 2" xfId="1425"/>
    <cellStyle name="20% - Accent4 15 2 2" xfId="1426"/>
    <cellStyle name="20% - Accent4 15 3" xfId="1427"/>
    <cellStyle name="20% - Accent4 15 4" xfId="1428"/>
    <cellStyle name="20% - Accent4 15 5" xfId="1429"/>
    <cellStyle name="20% - Accent4 16" xfId="1430"/>
    <cellStyle name="20% - Accent4 16 2" xfId="1431"/>
    <cellStyle name="20% - Accent4 17" xfId="1432"/>
    <cellStyle name="20% - Accent4 18" xfId="1433"/>
    <cellStyle name="20% - Accent4 19" xfId="1434"/>
    <cellStyle name="20% - Accent4 2" xfId="1435"/>
    <cellStyle name="20% - Accent4 2 10" xfId="1436"/>
    <cellStyle name="20% - Accent4 2 11" xfId="1437"/>
    <cellStyle name="20% - Accent4 2 2" xfId="1438"/>
    <cellStyle name="20% - Accent4 2 2 10" xfId="1439"/>
    <cellStyle name="20% - Accent4 2 2 2" xfId="1440"/>
    <cellStyle name="20% - Accent4 2 2 2 2" xfId="1441"/>
    <cellStyle name="20% - Accent4 2 2 2 2 2" xfId="1442"/>
    <cellStyle name="20% - Accent4 2 2 2 2 2 2" xfId="1443"/>
    <cellStyle name="20% - Accent4 2 2 2 2 2 3" xfId="1444"/>
    <cellStyle name="20% - Accent4 2 2 2 2 3" xfId="1445"/>
    <cellStyle name="20% - Accent4 2 2 2 2 4" xfId="1446"/>
    <cellStyle name="20% - Accent4 2 2 2 2 5" xfId="1447"/>
    <cellStyle name="20% - Accent4 2 2 2 2 6" xfId="1448"/>
    <cellStyle name="20% - Accent4 2 2 2 3" xfId="1449"/>
    <cellStyle name="20% - Accent4 2 2 2 3 2" xfId="1450"/>
    <cellStyle name="20% - Accent4 2 2 2 3 2 2" xfId="1451"/>
    <cellStyle name="20% - Accent4 2 2 2 3 3" xfId="1452"/>
    <cellStyle name="20% - Accent4 2 2 2 3 4" xfId="1453"/>
    <cellStyle name="20% - Accent4 2 2 2 3 5" xfId="1454"/>
    <cellStyle name="20% - Accent4 2 2 2 4" xfId="1455"/>
    <cellStyle name="20% - Accent4 2 2 2 4 2" xfId="1456"/>
    <cellStyle name="20% - Accent4 2 2 2 4 3" xfId="1457"/>
    <cellStyle name="20% - Accent4 2 2 2 4 4" xfId="1458"/>
    <cellStyle name="20% - Accent4 2 2 2 5" xfId="1459"/>
    <cellStyle name="20% - Accent4 2 2 2 5 2" xfId="1460"/>
    <cellStyle name="20% - Accent4 2 2 2 6" xfId="1461"/>
    <cellStyle name="20% - Accent4 2 2 2 7" xfId="1462"/>
    <cellStyle name="20% - Accent4 2 2 2 8" xfId="1463"/>
    <cellStyle name="20% - Accent4 2 2 2 9" xfId="1464"/>
    <cellStyle name="20% - Accent4 2 2 3" xfId="1465"/>
    <cellStyle name="20% - Accent4 2 2 3 2" xfId="1466"/>
    <cellStyle name="20% - Accent4 2 2 3 2 2" xfId="1467"/>
    <cellStyle name="20% - Accent4 2 2 3 2 3" xfId="1468"/>
    <cellStyle name="20% - Accent4 2 2 3 3" xfId="1469"/>
    <cellStyle name="20% - Accent4 2 2 3 4" xfId="1470"/>
    <cellStyle name="20% - Accent4 2 2 3 5" xfId="1471"/>
    <cellStyle name="20% - Accent4 2 2 3 6" xfId="1472"/>
    <cellStyle name="20% - Accent4 2 2 4" xfId="1473"/>
    <cellStyle name="20% - Accent4 2 2 4 2" xfId="1474"/>
    <cellStyle name="20% - Accent4 2 2 4 2 2" xfId="1475"/>
    <cellStyle name="20% - Accent4 2 2 4 3" xfId="1476"/>
    <cellStyle name="20% - Accent4 2 2 4 4" xfId="1477"/>
    <cellStyle name="20% - Accent4 2 2 4 5" xfId="1478"/>
    <cellStyle name="20% - Accent4 2 2 5" xfId="1479"/>
    <cellStyle name="20% - Accent4 2 2 5 2" xfId="1480"/>
    <cellStyle name="20% - Accent4 2 2 5 3" xfId="1481"/>
    <cellStyle name="20% - Accent4 2 2 5 4" xfId="1482"/>
    <cellStyle name="20% - Accent4 2 2 6" xfId="1483"/>
    <cellStyle name="20% - Accent4 2 2 6 2" xfId="1484"/>
    <cellStyle name="20% - Accent4 2 2 7" xfId="1485"/>
    <cellStyle name="20% - Accent4 2 2 8" xfId="1486"/>
    <cellStyle name="20% - Accent4 2 2 9" xfId="1487"/>
    <cellStyle name="20% - Accent4 2 3" xfId="1488"/>
    <cellStyle name="20% - Accent4 2 3 2" xfId="1489"/>
    <cellStyle name="20% - Accent4 2 3 2 2" xfId="1490"/>
    <cellStyle name="20% - Accent4 2 3 2 2 2" xfId="1491"/>
    <cellStyle name="20% - Accent4 2 3 2 2 3" xfId="1492"/>
    <cellStyle name="20% - Accent4 2 3 2 3" xfId="1493"/>
    <cellStyle name="20% - Accent4 2 3 2 4" xfId="1494"/>
    <cellStyle name="20% - Accent4 2 3 2 5" xfId="1495"/>
    <cellStyle name="20% - Accent4 2 3 2 6" xfId="1496"/>
    <cellStyle name="20% - Accent4 2 3 3" xfId="1497"/>
    <cellStyle name="20% - Accent4 2 3 3 2" xfId="1498"/>
    <cellStyle name="20% - Accent4 2 3 3 2 2" xfId="1499"/>
    <cellStyle name="20% - Accent4 2 3 3 3" xfId="1500"/>
    <cellStyle name="20% - Accent4 2 3 3 4" xfId="1501"/>
    <cellStyle name="20% - Accent4 2 3 3 5" xfId="1502"/>
    <cellStyle name="20% - Accent4 2 3 4" xfId="1503"/>
    <cellStyle name="20% - Accent4 2 3 4 2" xfId="1504"/>
    <cellStyle name="20% - Accent4 2 3 4 3" xfId="1505"/>
    <cellStyle name="20% - Accent4 2 3 4 4" xfId="1506"/>
    <cellStyle name="20% - Accent4 2 3 5" xfId="1507"/>
    <cellStyle name="20% - Accent4 2 3 5 2" xfId="1508"/>
    <cellStyle name="20% - Accent4 2 3 6" xfId="1509"/>
    <cellStyle name="20% - Accent4 2 3 7" xfId="1510"/>
    <cellStyle name="20% - Accent4 2 3 8" xfId="1511"/>
    <cellStyle name="20% - Accent4 2 3 9" xfId="1512"/>
    <cellStyle name="20% - Accent4 2 4" xfId="1513"/>
    <cellStyle name="20% - Accent4 2 4 2" xfId="1514"/>
    <cellStyle name="20% - Accent4 2 4 2 2" xfId="1515"/>
    <cellStyle name="20% - Accent4 2 4 2 3" xfId="1516"/>
    <cellStyle name="20% - Accent4 2 4 3" xfId="1517"/>
    <cellStyle name="20% - Accent4 2 4 4" xfId="1518"/>
    <cellStyle name="20% - Accent4 2 4 5" xfId="1519"/>
    <cellStyle name="20% - Accent4 2 4 6" xfId="1520"/>
    <cellStyle name="20% - Accent4 2 5" xfId="1521"/>
    <cellStyle name="20% - Accent4 2 5 2" xfId="1522"/>
    <cellStyle name="20% - Accent4 2 5 2 2" xfId="1523"/>
    <cellStyle name="20% - Accent4 2 5 3" xfId="1524"/>
    <cellStyle name="20% - Accent4 2 5 4" xfId="1525"/>
    <cellStyle name="20% - Accent4 2 5 5" xfId="1526"/>
    <cellStyle name="20% - Accent4 2 6" xfId="1527"/>
    <cellStyle name="20% - Accent4 2 6 2" xfId="1528"/>
    <cellStyle name="20% - Accent4 2 6 2 2" xfId="1529"/>
    <cellStyle name="20% - Accent4 2 6 3" xfId="1530"/>
    <cellStyle name="20% - Accent4 2 6 4" xfId="1531"/>
    <cellStyle name="20% - Accent4 2 6 5" xfId="1532"/>
    <cellStyle name="20% - Accent4 2 7" xfId="1533"/>
    <cellStyle name="20% - Accent4 2 7 2" xfId="1534"/>
    <cellStyle name="20% - Accent4 2 8" xfId="1535"/>
    <cellStyle name="20% - Accent4 2 9" xfId="1536"/>
    <cellStyle name="20% - Accent4 3" xfId="1537"/>
    <cellStyle name="20% - Accent4 3 10" xfId="1538"/>
    <cellStyle name="20% - Accent4 3 2" xfId="1539"/>
    <cellStyle name="20% - Accent4 3 2 2" xfId="1540"/>
    <cellStyle name="20% - Accent4 3 2 2 2" xfId="1541"/>
    <cellStyle name="20% - Accent4 3 2 2 2 2" xfId="1542"/>
    <cellStyle name="20% - Accent4 3 2 2 2 3" xfId="1543"/>
    <cellStyle name="20% - Accent4 3 2 2 3" xfId="1544"/>
    <cellStyle name="20% - Accent4 3 2 2 4" xfId="1545"/>
    <cellStyle name="20% - Accent4 3 2 2 5" xfId="1546"/>
    <cellStyle name="20% - Accent4 3 2 2 6" xfId="1547"/>
    <cellStyle name="20% - Accent4 3 2 3" xfId="1548"/>
    <cellStyle name="20% - Accent4 3 2 3 2" xfId="1549"/>
    <cellStyle name="20% - Accent4 3 2 3 2 2" xfId="1550"/>
    <cellStyle name="20% - Accent4 3 2 3 3" xfId="1551"/>
    <cellStyle name="20% - Accent4 3 2 3 4" xfId="1552"/>
    <cellStyle name="20% - Accent4 3 2 3 5" xfId="1553"/>
    <cellStyle name="20% - Accent4 3 2 4" xfId="1554"/>
    <cellStyle name="20% - Accent4 3 2 4 2" xfId="1555"/>
    <cellStyle name="20% - Accent4 3 2 4 3" xfId="1556"/>
    <cellStyle name="20% - Accent4 3 2 4 4" xfId="1557"/>
    <cellStyle name="20% - Accent4 3 2 5" xfId="1558"/>
    <cellStyle name="20% - Accent4 3 2 5 2" xfId="1559"/>
    <cellStyle name="20% - Accent4 3 2 6" xfId="1560"/>
    <cellStyle name="20% - Accent4 3 2 7" xfId="1561"/>
    <cellStyle name="20% - Accent4 3 2 8" xfId="1562"/>
    <cellStyle name="20% - Accent4 3 2 9" xfId="1563"/>
    <cellStyle name="20% - Accent4 3 3" xfId="1564"/>
    <cellStyle name="20% - Accent4 3 3 2" xfId="1565"/>
    <cellStyle name="20% - Accent4 3 3 2 2" xfId="1566"/>
    <cellStyle name="20% - Accent4 3 3 2 3" xfId="1567"/>
    <cellStyle name="20% - Accent4 3 3 3" xfId="1568"/>
    <cellStyle name="20% - Accent4 3 3 4" xfId="1569"/>
    <cellStyle name="20% - Accent4 3 3 5" xfId="1570"/>
    <cellStyle name="20% - Accent4 3 3 6" xfId="1571"/>
    <cellStyle name="20% - Accent4 3 4" xfId="1572"/>
    <cellStyle name="20% - Accent4 3 4 2" xfId="1573"/>
    <cellStyle name="20% - Accent4 3 4 2 2" xfId="1574"/>
    <cellStyle name="20% - Accent4 3 4 3" xfId="1575"/>
    <cellStyle name="20% - Accent4 3 4 4" xfId="1576"/>
    <cellStyle name="20% - Accent4 3 4 5" xfId="1577"/>
    <cellStyle name="20% - Accent4 3 5" xfId="1578"/>
    <cellStyle name="20% - Accent4 3 5 2" xfId="1579"/>
    <cellStyle name="20% - Accent4 3 5 2 2" xfId="1580"/>
    <cellStyle name="20% - Accent4 3 5 3" xfId="1581"/>
    <cellStyle name="20% - Accent4 3 5 4" xfId="1582"/>
    <cellStyle name="20% - Accent4 3 5 5" xfId="1583"/>
    <cellStyle name="20% - Accent4 3 6" xfId="1584"/>
    <cellStyle name="20% - Accent4 3 6 2" xfId="1585"/>
    <cellStyle name="20% - Accent4 3 7" xfId="1586"/>
    <cellStyle name="20% - Accent4 3 8" xfId="1587"/>
    <cellStyle name="20% - Accent4 3 9" xfId="1588"/>
    <cellStyle name="20% - Accent4 4" xfId="1589"/>
    <cellStyle name="20% - Accent4 4 10" xfId="1590"/>
    <cellStyle name="20% - Accent4 4 2" xfId="1591"/>
    <cellStyle name="20% - Accent4 4 2 2" xfId="1592"/>
    <cellStyle name="20% - Accent4 4 2 2 2" xfId="1593"/>
    <cellStyle name="20% - Accent4 4 2 2 2 2" xfId="1594"/>
    <cellStyle name="20% - Accent4 4 2 2 2 3" xfId="1595"/>
    <cellStyle name="20% - Accent4 4 2 2 3" xfId="1596"/>
    <cellStyle name="20% - Accent4 4 2 2 4" xfId="1597"/>
    <cellStyle name="20% - Accent4 4 2 2 5" xfId="1598"/>
    <cellStyle name="20% - Accent4 4 2 2 6" xfId="1599"/>
    <cellStyle name="20% - Accent4 4 2 3" xfId="1600"/>
    <cellStyle name="20% - Accent4 4 2 3 2" xfId="1601"/>
    <cellStyle name="20% - Accent4 4 2 3 2 2" xfId="1602"/>
    <cellStyle name="20% - Accent4 4 2 3 3" xfId="1603"/>
    <cellStyle name="20% - Accent4 4 2 3 4" xfId="1604"/>
    <cellStyle name="20% - Accent4 4 2 3 5" xfId="1605"/>
    <cellStyle name="20% - Accent4 4 2 4" xfId="1606"/>
    <cellStyle name="20% - Accent4 4 2 4 2" xfId="1607"/>
    <cellStyle name="20% - Accent4 4 2 4 3" xfId="1608"/>
    <cellStyle name="20% - Accent4 4 2 4 4" xfId="1609"/>
    <cellStyle name="20% - Accent4 4 2 5" xfId="1610"/>
    <cellStyle name="20% - Accent4 4 2 5 2" xfId="1611"/>
    <cellStyle name="20% - Accent4 4 2 6" xfId="1612"/>
    <cellStyle name="20% - Accent4 4 2 7" xfId="1613"/>
    <cellStyle name="20% - Accent4 4 2 8" xfId="1614"/>
    <cellStyle name="20% - Accent4 4 2 9" xfId="1615"/>
    <cellStyle name="20% - Accent4 4 3" xfId="1616"/>
    <cellStyle name="20% - Accent4 4 3 2" xfId="1617"/>
    <cellStyle name="20% - Accent4 4 3 2 2" xfId="1618"/>
    <cellStyle name="20% - Accent4 4 3 2 3" xfId="1619"/>
    <cellStyle name="20% - Accent4 4 3 3" xfId="1620"/>
    <cellStyle name="20% - Accent4 4 3 4" xfId="1621"/>
    <cellStyle name="20% - Accent4 4 3 5" xfId="1622"/>
    <cellStyle name="20% - Accent4 4 3 6" xfId="1623"/>
    <cellStyle name="20% - Accent4 4 4" xfId="1624"/>
    <cellStyle name="20% - Accent4 4 4 2" xfId="1625"/>
    <cellStyle name="20% - Accent4 4 4 2 2" xfId="1626"/>
    <cellStyle name="20% - Accent4 4 4 3" xfId="1627"/>
    <cellStyle name="20% - Accent4 4 4 4" xfId="1628"/>
    <cellStyle name="20% - Accent4 4 4 5" xfId="1629"/>
    <cellStyle name="20% - Accent4 4 5" xfId="1630"/>
    <cellStyle name="20% - Accent4 4 5 2" xfId="1631"/>
    <cellStyle name="20% - Accent4 4 5 2 2" xfId="1632"/>
    <cellStyle name="20% - Accent4 4 5 3" xfId="1633"/>
    <cellStyle name="20% - Accent4 4 5 4" xfId="1634"/>
    <cellStyle name="20% - Accent4 4 5 5" xfId="1635"/>
    <cellStyle name="20% - Accent4 4 6" xfId="1636"/>
    <cellStyle name="20% - Accent4 4 6 2" xfId="1637"/>
    <cellStyle name="20% - Accent4 4 7" xfId="1638"/>
    <cellStyle name="20% - Accent4 4 8" xfId="1639"/>
    <cellStyle name="20% - Accent4 4 9" xfId="1640"/>
    <cellStyle name="20% - Accent4 5" xfId="1641"/>
    <cellStyle name="20% - Accent4 5 10" xfId="1642"/>
    <cellStyle name="20% - Accent4 5 2" xfId="1643"/>
    <cellStyle name="20% - Accent4 5 2 2" xfId="1644"/>
    <cellStyle name="20% - Accent4 5 2 2 2" xfId="1645"/>
    <cellStyle name="20% - Accent4 5 2 2 2 2" xfId="1646"/>
    <cellStyle name="20% - Accent4 5 2 2 2 3" xfId="1647"/>
    <cellStyle name="20% - Accent4 5 2 2 3" xfId="1648"/>
    <cellStyle name="20% - Accent4 5 2 2 4" xfId="1649"/>
    <cellStyle name="20% - Accent4 5 2 2 5" xfId="1650"/>
    <cellStyle name="20% - Accent4 5 2 2 6" xfId="1651"/>
    <cellStyle name="20% - Accent4 5 2 3" xfId="1652"/>
    <cellStyle name="20% - Accent4 5 2 3 2" xfId="1653"/>
    <cellStyle name="20% - Accent4 5 2 3 2 2" xfId="1654"/>
    <cellStyle name="20% - Accent4 5 2 3 3" xfId="1655"/>
    <cellStyle name="20% - Accent4 5 2 3 4" xfId="1656"/>
    <cellStyle name="20% - Accent4 5 2 3 5" xfId="1657"/>
    <cellStyle name="20% - Accent4 5 2 4" xfId="1658"/>
    <cellStyle name="20% - Accent4 5 2 4 2" xfId="1659"/>
    <cellStyle name="20% - Accent4 5 2 4 3" xfId="1660"/>
    <cellStyle name="20% - Accent4 5 2 4 4" xfId="1661"/>
    <cellStyle name="20% - Accent4 5 2 5" xfId="1662"/>
    <cellStyle name="20% - Accent4 5 2 5 2" xfId="1663"/>
    <cellStyle name="20% - Accent4 5 2 6" xfId="1664"/>
    <cellStyle name="20% - Accent4 5 2 7" xfId="1665"/>
    <cellStyle name="20% - Accent4 5 2 8" xfId="1666"/>
    <cellStyle name="20% - Accent4 5 2 9" xfId="1667"/>
    <cellStyle name="20% - Accent4 5 3" xfId="1668"/>
    <cellStyle name="20% - Accent4 5 3 2" xfId="1669"/>
    <cellStyle name="20% - Accent4 5 3 2 2" xfId="1670"/>
    <cellStyle name="20% - Accent4 5 3 2 3" xfId="1671"/>
    <cellStyle name="20% - Accent4 5 3 3" xfId="1672"/>
    <cellStyle name="20% - Accent4 5 3 4" xfId="1673"/>
    <cellStyle name="20% - Accent4 5 3 5" xfId="1674"/>
    <cellStyle name="20% - Accent4 5 3 6" xfId="1675"/>
    <cellStyle name="20% - Accent4 5 4" xfId="1676"/>
    <cellStyle name="20% - Accent4 5 4 2" xfId="1677"/>
    <cellStyle name="20% - Accent4 5 4 2 2" xfId="1678"/>
    <cellStyle name="20% - Accent4 5 4 3" xfId="1679"/>
    <cellStyle name="20% - Accent4 5 4 4" xfId="1680"/>
    <cellStyle name="20% - Accent4 5 4 5" xfId="1681"/>
    <cellStyle name="20% - Accent4 5 5" xfId="1682"/>
    <cellStyle name="20% - Accent4 5 5 2" xfId="1683"/>
    <cellStyle name="20% - Accent4 5 5 3" xfId="1684"/>
    <cellStyle name="20% - Accent4 5 5 4" xfId="1685"/>
    <cellStyle name="20% - Accent4 5 6" xfId="1686"/>
    <cellStyle name="20% - Accent4 5 6 2" xfId="1687"/>
    <cellStyle name="20% - Accent4 5 7" xfId="1688"/>
    <cellStyle name="20% - Accent4 5 8" xfId="1689"/>
    <cellStyle name="20% - Accent4 5 9" xfId="1690"/>
    <cellStyle name="20% - Accent4 6" xfId="1691"/>
    <cellStyle name="20% - Accent4 6 10" xfId="1692"/>
    <cellStyle name="20% - Accent4 6 2" xfId="1693"/>
    <cellStyle name="20% - Accent4 6 2 2" xfId="1694"/>
    <cellStyle name="20% - Accent4 6 2 2 2" xfId="1695"/>
    <cellStyle name="20% - Accent4 6 2 2 2 2" xfId="1696"/>
    <cellStyle name="20% - Accent4 6 2 2 2 3" xfId="1697"/>
    <cellStyle name="20% - Accent4 6 2 2 3" xfId="1698"/>
    <cellStyle name="20% - Accent4 6 2 2 4" xfId="1699"/>
    <cellStyle name="20% - Accent4 6 2 2 5" xfId="1700"/>
    <cellStyle name="20% - Accent4 6 2 2 6" xfId="1701"/>
    <cellStyle name="20% - Accent4 6 2 3" xfId="1702"/>
    <cellStyle name="20% - Accent4 6 2 3 2" xfId="1703"/>
    <cellStyle name="20% - Accent4 6 2 3 2 2" xfId="1704"/>
    <cellStyle name="20% - Accent4 6 2 3 3" xfId="1705"/>
    <cellStyle name="20% - Accent4 6 2 3 4" xfId="1706"/>
    <cellStyle name="20% - Accent4 6 2 3 5" xfId="1707"/>
    <cellStyle name="20% - Accent4 6 2 4" xfId="1708"/>
    <cellStyle name="20% - Accent4 6 2 4 2" xfId="1709"/>
    <cellStyle name="20% - Accent4 6 2 4 3" xfId="1710"/>
    <cellStyle name="20% - Accent4 6 2 4 4" xfId="1711"/>
    <cellStyle name="20% - Accent4 6 2 5" xfId="1712"/>
    <cellStyle name="20% - Accent4 6 2 5 2" xfId="1713"/>
    <cellStyle name="20% - Accent4 6 2 6" xfId="1714"/>
    <cellStyle name="20% - Accent4 6 2 7" xfId="1715"/>
    <cellStyle name="20% - Accent4 6 2 8" xfId="1716"/>
    <cellStyle name="20% - Accent4 6 2 9" xfId="1717"/>
    <cellStyle name="20% - Accent4 6 3" xfId="1718"/>
    <cellStyle name="20% - Accent4 6 3 2" xfId="1719"/>
    <cellStyle name="20% - Accent4 6 3 2 2" xfId="1720"/>
    <cellStyle name="20% - Accent4 6 3 2 3" xfId="1721"/>
    <cellStyle name="20% - Accent4 6 3 3" xfId="1722"/>
    <cellStyle name="20% - Accent4 6 3 4" xfId="1723"/>
    <cellStyle name="20% - Accent4 6 3 5" xfId="1724"/>
    <cellStyle name="20% - Accent4 6 3 6" xfId="1725"/>
    <cellStyle name="20% - Accent4 6 4" xfId="1726"/>
    <cellStyle name="20% - Accent4 6 4 2" xfId="1727"/>
    <cellStyle name="20% - Accent4 6 4 2 2" xfId="1728"/>
    <cellStyle name="20% - Accent4 6 4 3" xfId="1729"/>
    <cellStyle name="20% - Accent4 6 4 4" xfId="1730"/>
    <cellStyle name="20% - Accent4 6 4 5" xfId="1731"/>
    <cellStyle name="20% - Accent4 6 5" xfId="1732"/>
    <cellStyle name="20% - Accent4 6 5 2" xfId="1733"/>
    <cellStyle name="20% - Accent4 6 5 3" xfId="1734"/>
    <cellStyle name="20% - Accent4 6 5 4" xfId="1735"/>
    <cellStyle name="20% - Accent4 6 6" xfId="1736"/>
    <cellStyle name="20% - Accent4 6 6 2" xfId="1737"/>
    <cellStyle name="20% - Accent4 6 7" xfId="1738"/>
    <cellStyle name="20% - Accent4 6 8" xfId="1739"/>
    <cellStyle name="20% - Accent4 6 9" xfId="1740"/>
    <cellStyle name="20% - Accent4 7" xfId="1741"/>
    <cellStyle name="20% - Accent4 7 2" xfId="1742"/>
    <cellStyle name="20% - Accent4 7 2 2" xfId="1743"/>
    <cellStyle name="20% - Accent4 7 2 2 2" xfId="1744"/>
    <cellStyle name="20% - Accent4 7 2 2 3" xfId="1745"/>
    <cellStyle name="20% - Accent4 7 2 3" xfId="1746"/>
    <cellStyle name="20% - Accent4 7 2 4" xfId="1747"/>
    <cellStyle name="20% - Accent4 7 2 5" xfId="1748"/>
    <cellStyle name="20% - Accent4 7 2 6" xfId="1749"/>
    <cellStyle name="20% - Accent4 7 3" xfId="1750"/>
    <cellStyle name="20% - Accent4 7 3 2" xfId="1751"/>
    <cellStyle name="20% - Accent4 7 3 2 2" xfId="1752"/>
    <cellStyle name="20% - Accent4 7 3 3" xfId="1753"/>
    <cellStyle name="20% - Accent4 7 3 4" xfId="1754"/>
    <cellStyle name="20% - Accent4 7 3 5" xfId="1755"/>
    <cellStyle name="20% - Accent4 7 4" xfId="1756"/>
    <cellStyle name="20% - Accent4 7 4 2" xfId="1757"/>
    <cellStyle name="20% - Accent4 7 4 3" xfId="1758"/>
    <cellStyle name="20% - Accent4 7 4 4" xfId="1759"/>
    <cellStyle name="20% - Accent4 7 5" xfId="1760"/>
    <cellStyle name="20% - Accent4 7 5 2" xfId="1761"/>
    <cellStyle name="20% - Accent4 7 6" xfId="1762"/>
    <cellStyle name="20% - Accent4 7 7" xfId="1763"/>
    <cellStyle name="20% - Accent4 7 8" xfId="1764"/>
    <cellStyle name="20% - Accent4 7 9" xfId="1765"/>
    <cellStyle name="20% - Accent4 8" xfId="1766"/>
    <cellStyle name="20% - Accent4 8 2" xfId="1767"/>
    <cellStyle name="20% - Accent4 8 2 2" xfId="1768"/>
    <cellStyle name="20% - Accent4 8 2 2 2" xfId="1769"/>
    <cellStyle name="20% - Accent4 8 2 2 3" xfId="1770"/>
    <cellStyle name="20% - Accent4 8 2 3" xfId="1771"/>
    <cellStyle name="20% - Accent4 8 2 4" xfId="1772"/>
    <cellStyle name="20% - Accent4 8 2 5" xfId="1773"/>
    <cellStyle name="20% - Accent4 8 2 6" xfId="1774"/>
    <cellStyle name="20% - Accent4 8 3" xfId="1775"/>
    <cellStyle name="20% - Accent4 8 3 2" xfId="1776"/>
    <cellStyle name="20% - Accent4 8 3 2 2" xfId="1777"/>
    <cellStyle name="20% - Accent4 8 3 3" xfId="1778"/>
    <cellStyle name="20% - Accent4 8 3 4" xfId="1779"/>
    <cellStyle name="20% - Accent4 8 3 5" xfId="1780"/>
    <cellStyle name="20% - Accent4 8 4" xfId="1781"/>
    <cellStyle name="20% - Accent4 8 4 2" xfId="1782"/>
    <cellStyle name="20% - Accent4 8 4 3" xfId="1783"/>
    <cellStyle name="20% - Accent4 8 4 4" xfId="1784"/>
    <cellStyle name="20% - Accent4 8 5" xfId="1785"/>
    <cellStyle name="20% - Accent4 8 5 2" xfId="1786"/>
    <cellStyle name="20% - Accent4 8 6" xfId="1787"/>
    <cellStyle name="20% - Accent4 8 7" xfId="1788"/>
    <cellStyle name="20% - Accent4 8 8" xfId="1789"/>
    <cellStyle name="20% - Accent4 8 9" xfId="1790"/>
    <cellStyle name="20% - Accent4 9" xfId="1791"/>
    <cellStyle name="20% - Accent4 9 2" xfId="1792"/>
    <cellStyle name="20% - Accent4 9 2 2" xfId="1793"/>
    <cellStyle name="20% - Accent4 9 2 2 2" xfId="1794"/>
    <cellStyle name="20% - Accent4 9 2 3" xfId="1795"/>
    <cellStyle name="20% - Accent4 9 2 4" xfId="1796"/>
    <cellStyle name="20% - Accent4 9 2 5" xfId="1797"/>
    <cellStyle name="20% - Accent4 9 3" xfId="1798"/>
    <cellStyle name="20% - Accent4 9 3 2" xfId="1799"/>
    <cellStyle name="20% - Accent4 9 3 3" xfId="1800"/>
    <cellStyle name="20% - Accent4 9 3 4" xfId="1801"/>
    <cellStyle name="20% - Accent4 9 4" xfId="1802"/>
    <cellStyle name="20% - Accent4 9 4 2" xfId="1803"/>
    <cellStyle name="20% - Accent4 9 5" xfId="1804"/>
    <cellStyle name="20% - Accent4 9 6" xfId="1805"/>
    <cellStyle name="20% - Accent4 9 7" xfId="1806"/>
    <cellStyle name="20% - Accent4 9 8" xfId="1807"/>
    <cellStyle name="20% - Accent5 10" xfId="1808"/>
    <cellStyle name="20% - Accent5 10 2" xfId="1809"/>
    <cellStyle name="20% - Accent5 10 2 2" xfId="1810"/>
    <cellStyle name="20% - Accent5 10 2 2 2" xfId="1811"/>
    <cellStyle name="20% - Accent5 10 2 3" xfId="1812"/>
    <cellStyle name="20% - Accent5 10 2 4" xfId="1813"/>
    <cellStyle name="20% - Accent5 10 2 5" xfId="1814"/>
    <cellStyle name="20% - Accent5 10 3" xfId="1815"/>
    <cellStyle name="20% - Accent5 10 3 2" xfId="1816"/>
    <cellStyle name="20% - Accent5 10 3 3" xfId="1817"/>
    <cellStyle name="20% - Accent5 10 3 4" xfId="1818"/>
    <cellStyle name="20% - Accent5 10 4" xfId="1819"/>
    <cellStyle name="20% - Accent5 10 4 2" xfId="1820"/>
    <cellStyle name="20% - Accent5 10 5" xfId="1821"/>
    <cellStyle name="20% - Accent5 10 6" xfId="1822"/>
    <cellStyle name="20% - Accent5 10 7" xfId="1823"/>
    <cellStyle name="20% - Accent5 10 8" xfId="1824"/>
    <cellStyle name="20% - Accent5 11" xfId="1825"/>
    <cellStyle name="20% - Accent5 11 2" xfId="1826"/>
    <cellStyle name="20% - Accent5 11 2 2" xfId="1827"/>
    <cellStyle name="20% - Accent5 11 2 2 2" xfId="1828"/>
    <cellStyle name="20% - Accent5 11 2 3" xfId="1829"/>
    <cellStyle name="20% - Accent5 11 2 4" xfId="1830"/>
    <cellStyle name="20% - Accent5 11 2 5" xfId="1831"/>
    <cellStyle name="20% - Accent5 11 3" xfId="1832"/>
    <cellStyle name="20% - Accent5 11 3 2" xfId="1833"/>
    <cellStyle name="20% - Accent5 11 3 3" xfId="1834"/>
    <cellStyle name="20% - Accent5 11 3 4" xfId="1835"/>
    <cellStyle name="20% - Accent5 11 4" xfId="1836"/>
    <cellStyle name="20% - Accent5 11 4 2" xfId="1837"/>
    <cellStyle name="20% - Accent5 11 5" xfId="1838"/>
    <cellStyle name="20% - Accent5 11 6" xfId="1839"/>
    <cellStyle name="20% - Accent5 11 7" xfId="1840"/>
    <cellStyle name="20% - Accent5 11 8" xfId="1841"/>
    <cellStyle name="20% - Accent5 12" xfId="1842"/>
    <cellStyle name="20% - Accent5 12 2" xfId="1843"/>
    <cellStyle name="20% - Accent5 12 2 2" xfId="1844"/>
    <cellStyle name="20% - Accent5 12 2 2 2" xfId="1845"/>
    <cellStyle name="20% - Accent5 12 2 3" xfId="1846"/>
    <cellStyle name="20% - Accent5 12 2 4" xfId="1847"/>
    <cellStyle name="20% - Accent5 12 2 5" xfId="1848"/>
    <cellStyle name="20% - Accent5 12 3" xfId="1849"/>
    <cellStyle name="20% - Accent5 12 3 2" xfId="1850"/>
    <cellStyle name="20% - Accent5 12 3 3" xfId="1851"/>
    <cellStyle name="20% - Accent5 12 3 4" xfId="1852"/>
    <cellStyle name="20% - Accent5 12 4" xfId="1853"/>
    <cellStyle name="20% - Accent5 12 4 2" xfId="1854"/>
    <cellStyle name="20% - Accent5 12 5" xfId="1855"/>
    <cellStyle name="20% - Accent5 12 6" xfId="1856"/>
    <cellStyle name="20% - Accent5 12 7" xfId="1857"/>
    <cellStyle name="20% - Accent5 12 8" xfId="1858"/>
    <cellStyle name="20% - Accent5 13" xfId="1859"/>
    <cellStyle name="20% - Accent5 13 2" xfId="1860"/>
    <cellStyle name="20% - Accent5 13 2 2" xfId="1861"/>
    <cellStyle name="20% - Accent5 13 2 3" xfId="1862"/>
    <cellStyle name="20% - Accent5 13 2 4" xfId="1863"/>
    <cellStyle name="20% - Accent5 13 3" xfId="1864"/>
    <cellStyle name="20% - Accent5 13 3 2" xfId="1865"/>
    <cellStyle name="20% - Accent5 13 4" xfId="1866"/>
    <cellStyle name="20% - Accent5 13 5" xfId="1867"/>
    <cellStyle name="20% - Accent5 13 6" xfId="1868"/>
    <cellStyle name="20% - Accent5 14" xfId="1869"/>
    <cellStyle name="20% - Accent5 14 2" xfId="1870"/>
    <cellStyle name="20% - Accent5 14 2 2" xfId="1871"/>
    <cellStyle name="20% - Accent5 14 3" xfId="1872"/>
    <cellStyle name="20% - Accent5 14 4" xfId="1873"/>
    <cellStyle name="20% - Accent5 14 5" xfId="1874"/>
    <cellStyle name="20% - Accent5 15" xfId="1875"/>
    <cellStyle name="20% - Accent5 15 2" xfId="1876"/>
    <cellStyle name="20% - Accent5 15 2 2" xfId="1877"/>
    <cellStyle name="20% - Accent5 15 3" xfId="1878"/>
    <cellStyle name="20% - Accent5 15 4" xfId="1879"/>
    <cellStyle name="20% - Accent5 15 5" xfId="1880"/>
    <cellStyle name="20% - Accent5 16" xfId="1881"/>
    <cellStyle name="20% - Accent5 16 2" xfId="1882"/>
    <cellStyle name="20% - Accent5 17" xfId="1883"/>
    <cellStyle name="20% - Accent5 18" xfId="1884"/>
    <cellStyle name="20% - Accent5 19" xfId="1885"/>
    <cellStyle name="20% - Accent5 2" xfId="1886"/>
    <cellStyle name="20% - Accent5 2 10" xfId="1887"/>
    <cellStyle name="20% - Accent5 2 11" xfId="1888"/>
    <cellStyle name="20% - Accent5 2 2" xfId="1889"/>
    <cellStyle name="20% - Accent5 2 2 10" xfId="1890"/>
    <cellStyle name="20% - Accent5 2 2 2" xfId="1891"/>
    <cellStyle name="20% - Accent5 2 2 2 2" xfId="1892"/>
    <cellStyle name="20% - Accent5 2 2 2 2 2" xfId="1893"/>
    <cellStyle name="20% - Accent5 2 2 2 2 2 2" xfId="1894"/>
    <cellStyle name="20% - Accent5 2 2 2 2 2 3" xfId="1895"/>
    <cellStyle name="20% - Accent5 2 2 2 2 3" xfId="1896"/>
    <cellStyle name="20% - Accent5 2 2 2 2 4" xfId="1897"/>
    <cellStyle name="20% - Accent5 2 2 2 2 5" xfId="1898"/>
    <cellStyle name="20% - Accent5 2 2 2 2 6" xfId="1899"/>
    <cellStyle name="20% - Accent5 2 2 2 3" xfId="1900"/>
    <cellStyle name="20% - Accent5 2 2 2 3 2" xfId="1901"/>
    <cellStyle name="20% - Accent5 2 2 2 3 2 2" xfId="1902"/>
    <cellStyle name="20% - Accent5 2 2 2 3 3" xfId="1903"/>
    <cellStyle name="20% - Accent5 2 2 2 3 4" xfId="1904"/>
    <cellStyle name="20% - Accent5 2 2 2 3 5" xfId="1905"/>
    <cellStyle name="20% - Accent5 2 2 2 4" xfId="1906"/>
    <cellStyle name="20% - Accent5 2 2 2 4 2" xfId="1907"/>
    <cellStyle name="20% - Accent5 2 2 2 4 3" xfId="1908"/>
    <cellStyle name="20% - Accent5 2 2 2 4 4" xfId="1909"/>
    <cellStyle name="20% - Accent5 2 2 2 5" xfId="1910"/>
    <cellStyle name="20% - Accent5 2 2 2 5 2" xfId="1911"/>
    <cellStyle name="20% - Accent5 2 2 2 6" xfId="1912"/>
    <cellStyle name="20% - Accent5 2 2 2 7" xfId="1913"/>
    <cellStyle name="20% - Accent5 2 2 2 8" xfId="1914"/>
    <cellStyle name="20% - Accent5 2 2 2 9" xfId="1915"/>
    <cellStyle name="20% - Accent5 2 2 3" xfId="1916"/>
    <cellStyle name="20% - Accent5 2 2 3 2" xfId="1917"/>
    <cellStyle name="20% - Accent5 2 2 3 2 2" xfId="1918"/>
    <cellStyle name="20% - Accent5 2 2 3 2 3" xfId="1919"/>
    <cellStyle name="20% - Accent5 2 2 3 3" xfId="1920"/>
    <cellStyle name="20% - Accent5 2 2 3 4" xfId="1921"/>
    <cellStyle name="20% - Accent5 2 2 3 5" xfId="1922"/>
    <cellStyle name="20% - Accent5 2 2 3 6" xfId="1923"/>
    <cellStyle name="20% - Accent5 2 2 4" xfId="1924"/>
    <cellStyle name="20% - Accent5 2 2 4 2" xfId="1925"/>
    <cellStyle name="20% - Accent5 2 2 4 2 2" xfId="1926"/>
    <cellStyle name="20% - Accent5 2 2 4 3" xfId="1927"/>
    <cellStyle name="20% - Accent5 2 2 4 4" xfId="1928"/>
    <cellStyle name="20% - Accent5 2 2 4 5" xfId="1929"/>
    <cellStyle name="20% - Accent5 2 2 5" xfId="1930"/>
    <cellStyle name="20% - Accent5 2 2 5 2" xfId="1931"/>
    <cellStyle name="20% - Accent5 2 2 5 3" xfId="1932"/>
    <cellStyle name="20% - Accent5 2 2 5 4" xfId="1933"/>
    <cellStyle name="20% - Accent5 2 2 6" xfId="1934"/>
    <cellStyle name="20% - Accent5 2 2 6 2" xfId="1935"/>
    <cellStyle name="20% - Accent5 2 2 7" xfId="1936"/>
    <cellStyle name="20% - Accent5 2 2 8" xfId="1937"/>
    <cellStyle name="20% - Accent5 2 2 9" xfId="1938"/>
    <cellStyle name="20% - Accent5 2 3" xfId="1939"/>
    <cellStyle name="20% - Accent5 2 3 2" xfId="1940"/>
    <cellStyle name="20% - Accent5 2 3 2 2" xfId="1941"/>
    <cellStyle name="20% - Accent5 2 3 2 2 2" xfId="1942"/>
    <cellStyle name="20% - Accent5 2 3 2 2 3" xfId="1943"/>
    <cellStyle name="20% - Accent5 2 3 2 3" xfId="1944"/>
    <cellStyle name="20% - Accent5 2 3 2 4" xfId="1945"/>
    <cellStyle name="20% - Accent5 2 3 2 5" xfId="1946"/>
    <cellStyle name="20% - Accent5 2 3 2 6" xfId="1947"/>
    <cellStyle name="20% - Accent5 2 3 3" xfId="1948"/>
    <cellStyle name="20% - Accent5 2 3 3 2" xfId="1949"/>
    <cellStyle name="20% - Accent5 2 3 3 2 2" xfId="1950"/>
    <cellStyle name="20% - Accent5 2 3 3 3" xfId="1951"/>
    <cellStyle name="20% - Accent5 2 3 3 4" xfId="1952"/>
    <cellStyle name="20% - Accent5 2 3 3 5" xfId="1953"/>
    <cellStyle name="20% - Accent5 2 3 4" xfId="1954"/>
    <cellStyle name="20% - Accent5 2 3 4 2" xfId="1955"/>
    <cellStyle name="20% - Accent5 2 3 4 3" xfId="1956"/>
    <cellStyle name="20% - Accent5 2 3 4 4" xfId="1957"/>
    <cellStyle name="20% - Accent5 2 3 5" xfId="1958"/>
    <cellStyle name="20% - Accent5 2 3 5 2" xfId="1959"/>
    <cellStyle name="20% - Accent5 2 3 6" xfId="1960"/>
    <cellStyle name="20% - Accent5 2 3 7" xfId="1961"/>
    <cellStyle name="20% - Accent5 2 3 8" xfId="1962"/>
    <cellStyle name="20% - Accent5 2 3 9" xfId="1963"/>
    <cellStyle name="20% - Accent5 2 4" xfId="1964"/>
    <cellStyle name="20% - Accent5 2 4 2" xfId="1965"/>
    <cellStyle name="20% - Accent5 2 4 2 2" xfId="1966"/>
    <cellStyle name="20% - Accent5 2 4 2 3" xfId="1967"/>
    <cellStyle name="20% - Accent5 2 4 3" xfId="1968"/>
    <cellStyle name="20% - Accent5 2 4 4" xfId="1969"/>
    <cellStyle name="20% - Accent5 2 4 5" xfId="1970"/>
    <cellStyle name="20% - Accent5 2 4 6" xfId="1971"/>
    <cellStyle name="20% - Accent5 2 5" xfId="1972"/>
    <cellStyle name="20% - Accent5 2 5 2" xfId="1973"/>
    <cellStyle name="20% - Accent5 2 5 2 2" xfId="1974"/>
    <cellStyle name="20% - Accent5 2 5 3" xfId="1975"/>
    <cellStyle name="20% - Accent5 2 5 4" xfId="1976"/>
    <cellStyle name="20% - Accent5 2 5 5" xfId="1977"/>
    <cellStyle name="20% - Accent5 2 6" xfId="1978"/>
    <cellStyle name="20% - Accent5 2 6 2" xfId="1979"/>
    <cellStyle name="20% - Accent5 2 6 2 2" xfId="1980"/>
    <cellStyle name="20% - Accent5 2 6 3" xfId="1981"/>
    <cellStyle name="20% - Accent5 2 6 4" xfId="1982"/>
    <cellStyle name="20% - Accent5 2 6 5" xfId="1983"/>
    <cellStyle name="20% - Accent5 2 7" xfId="1984"/>
    <cellStyle name="20% - Accent5 2 7 2" xfId="1985"/>
    <cellStyle name="20% - Accent5 2 8" xfId="1986"/>
    <cellStyle name="20% - Accent5 2 9" xfId="1987"/>
    <cellStyle name="20% - Accent5 3" xfId="1988"/>
    <cellStyle name="20% - Accent5 3 10" xfId="1989"/>
    <cellStyle name="20% - Accent5 3 2" xfId="1990"/>
    <cellStyle name="20% - Accent5 3 2 2" xfId="1991"/>
    <cellStyle name="20% - Accent5 3 2 2 2" xfId="1992"/>
    <cellStyle name="20% - Accent5 3 2 2 2 2" xfId="1993"/>
    <cellStyle name="20% - Accent5 3 2 2 2 3" xfId="1994"/>
    <cellStyle name="20% - Accent5 3 2 2 3" xfId="1995"/>
    <cellStyle name="20% - Accent5 3 2 2 4" xfId="1996"/>
    <cellStyle name="20% - Accent5 3 2 2 5" xfId="1997"/>
    <cellStyle name="20% - Accent5 3 2 2 6" xfId="1998"/>
    <cellStyle name="20% - Accent5 3 2 3" xfId="1999"/>
    <cellStyle name="20% - Accent5 3 2 3 2" xfId="2000"/>
    <cellStyle name="20% - Accent5 3 2 3 2 2" xfId="2001"/>
    <cellStyle name="20% - Accent5 3 2 3 3" xfId="2002"/>
    <cellStyle name="20% - Accent5 3 2 3 4" xfId="2003"/>
    <cellStyle name="20% - Accent5 3 2 3 5" xfId="2004"/>
    <cellStyle name="20% - Accent5 3 2 4" xfId="2005"/>
    <cellStyle name="20% - Accent5 3 2 4 2" xfId="2006"/>
    <cellStyle name="20% - Accent5 3 2 4 3" xfId="2007"/>
    <cellStyle name="20% - Accent5 3 2 4 4" xfId="2008"/>
    <cellStyle name="20% - Accent5 3 2 5" xfId="2009"/>
    <cellStyle name="20% - Accent5 3 2 5 2" xfId="2010"/>
    <cellStyle name="20% - Accent5 3 2 6" xfId="2011"/>
    <cellStyle name="20% - Accent5 3 2 7" xfId="2012"/>
    <cellStyle name="20% - Accent5 3 2 8" xfId="2013"/>
    <cellStyle name="20% - Accent5 3 2 9" xfId="2014"/>
    <cellStyle name="20% - Accent5 3 3" xfId="2015"/>
    <cellStyle name="20% - Accent5 3 3 2" xfId="2016"/>
    <cellStyle name="20% - Accent5 3 3 2 2" xfId="2017"/>
    <cellStyle name="20% - Accent5 3 3 2 3" xfId="2018"/>
    <cellStyle name="20% - Accent5 3 3 3" xfId="2019"/>
    <cellStyle name="20% - Accent5 3 3 4" xfId="2020"/>
    <cellStyle name="20% - Accent5 3 3 5" xfId="2021"/>
    <cellStyle name="20% - Accent5 3 3 6" xfId="2022"/>
    <cellStyle name="20% - Accent5 3 4" xfId="2023"/>
    <cellStyle name="20% - Accent5 3 4 2" xfId="2024"/>
    <cellStyle name="20% - Accent5 3 4 2 2" xfId="2025"/>
    <cellStyle name="20% - Accent5 3 4 3" xfId="2026"/>
    <cellStyle name="20% - Accent5 3 4 4" xfId="2027"/>
    <cellStyle name="20% - Accent5 3 4 5" xfId="2028"/>
    <cellStyle name="20% - Accent5 3 5" xfId="2029"/>
    <cellStyle name="20% - Accent5 3 5 2" xfId="2030"/>
    <cellStyle name="20% - Accent5 3 5 2 2" xfId="2031"/>
    <cellStyle name="20% - Accent5 3 5 3" xfId="2032"/>
    <cellStyle name="20% - Accent5 3 5 4" xfId="2033"/>
    <cellStyle name="20% - Accent5 3 5 5" xfId="2034"/>
    <cellStyle name="20% - Accent5 3 6" xfId="2035"/>
    <cellStyle name="20% - Accent5 3 6 2" xfId="2036"/>
    <cellStyle name="20% - Accent5 3 7" xfId="2037"/>
    <cellStyle name="20% - Accent5 3 8" xfId="2038"/>
    <cellStyle name="20% - Accent5 3 9" xfId="2039"/>
    <cellStyle name="20% - Accent5 4" xfId="2040"/>
    <cellStyle name="20% - Accent5 4 10" xfId="2041"/>
    <cellStyle name="20% - Accent5 4 2" xfId="2042"/>
    <cellStyle name="20% - Accent5 4 2 2" xfId="2043"/>
    <cellStyle name="20% - Accent5 4 2 2 2" xfId="2044"/>
    <cellStyle name="20% - Accent5 4 2 2 2 2" xfId="2045"/>
    <cellStyle name="20% - Accent5 4 2 2 2 3" xfId="2046"/>
    <cellStyle name="20% - Accent5 4 2 2 3" xfId="2047"/>
    <cellStyle name="20% - Accent5 4 2 2 4" xfId="2048"/>
    <cellStyle name="20% - Accent5 4 2 2 5" xfId="2049"/>
    <cellStyle name="20% - Accent5 4 2 2 6" xfId="2050"/>
    <cellStyle name="20% - Accent5 4 2 3" xfId="2051"/>
    <cellStyle name="20% - Accent5 4 2 3 2" xfId="2052"/>
    <cellStyle name="20% - Accent5 4 2 3 2 2" xfId="2053"/>
    <cellStyle name="20% - Accent5 4 2 3 3" xfId="2054"/>
    <cellStyle name="20% - Accent5 4 2 3 4" xfId="2055"/>
    <cellStyle name="20% - Accent5 4 2 3 5" xfId="2056"/>
    <cellStyle name="20% - Accent5 4 2 4" xfId="2057"/>
    <cellStyle name="20% - Accent5 4 2 4 2" xfId="2058"/>
    <cellStyle name="20% - Accent5 4 2 4 3" xfId="2059"/>
    <cellStyle name="20% - Accent5 4 2 4 4" xfId="2060"/>
    <cellStyle name="20% - Accent5 4 2 5" xfId="2061"/>
    <cellStyle name="20% - Accent5 4 2 5 2" xfId="2062"/>
    <cellStyle name="20% - Accent5 4 2 6" xfId="2063"/>
    <cellStyle name="20% - Accent5 4 2 7" xfId="2064"/>
    <cellStyle name="20% - Accent5 4 2 8" xfId="2065"/>
    <cellStyle name="20% - Accent5 4 2 9" xfId="2066"/>
    <cellStyle name="20% - Accent5 4 3" xfId="2067"/>
    <cellStyle name="20% - Accent5 4 3 2" xfId="2068"/>
    <cellStyle name="20% - Accent5 4 3 2 2" xfId="2069"/>
    <cellStyle name="20% - Accent5 4 3 2 3" xfId="2070"/>
    <cellStyle name="20% - Accent5 4 3 3" xfId="2071"/>
    <cellStyle name="20% - Accent5 4 3 4" xfId="2072"/>
    <cellStyle name="20% - Accent5 4 3 5" xfId="2073"/>
    <cellStyle name="20% - Accent5 4 3 6" xfId="2074"/>
    <cellStyle name="20% - Accent5 4 4" xfId="2075"/>
    <cellStyle name="20% - Accent5 4 4 2" xfId="2076"/>
    <cellStyle name="20% - Accent5 4 4 2 2" xfId="2077"/>
    <cellStyle name="20% - Accent5 4 4 3" xfId="2078"/>
    <cellStyle name="20% - Accent5 4 4 4" xfId="2079"/>
    <cellStyle name="20% - Accent5 4 4 5" xfId="2080"/>
    <cellStyle name="20% - Accent5 4 5" xfId="2081"/>
    <cellStyle name="20% - Accent5 4 5 2" xfId="2082"/>
    <cellStyle name="20% - Accent5 4 5 2 2" xfId="2083"/>
    <cellStyle name="20% - Accent5 4 5 3" xfId="2084"/>
    <cellStyle name="20% - Accent5 4 5 4" xfId="2085"/>
    <cellStyle name="20% - Accent5 4 5 5" xfId="2086"/>
    <cellStyle name="20% - Accent5 4 6" xfId="2087"/>
    <cellStyle name="20% - Accent5 4 6 2" xfId="2088"/>
    <cellStyle name="20% - Accent5 4 7" xfId="2089"/>
    <cellStyle name="20% - Accent5 4 8" xfId="2090"/>
    <cellStyle name="20% - Accent5 4 9" xfId="2091"/>
    <cellStyle name="20% - Accent5 5" xfId="2092"/>
    <cellStyle name="20% - Accent5 5 10" xfId="2093"/>
    <cellStyle name="20% - Accent5 5 2" xfId="2094"/>
    <cellStyle name="20% - Accent5 5 2 2" xfId="2095"/>
    <cellStyle name="20% - Accent5 5 2 2 2" xfId="2096"/>
    <cellStyle name="20% - Accent5 5 2 2 2 2" xfId="2097"/>
    <cellStyle name="20% - Accent5 5 2 2 2 3" xfId="2098"/>
    <cellStyle name="20% - Accent5 5 2 2 3" xfId="2099"/>
    <cellStyle name="20% - Accent5 5 2 2 4" xfId="2100"/>
    <cellStyle name="20% - Accent5 5 2 2 5" xfId="2101"/>
    <cellStyle name="20% - Accent5 5 2 2 6" xfId="2102"/>
    <cellStyle name="20% - Accent5 5 2 3" xfId="2103"/>
    <cellStyle name="20% - Accent5 5 2 3 2" xfId="2104"/>
    <cellStyle name="20% - Accent5 5 2 3 2 2" xfId="2105"/>
    <cellStyle name="20% - Accent5 5 2 3 3" xfId="2106"/>
    <cellStyle name="20% - Accent5 5 2 3 4" xfId="2107"/>
    <cellStyle name="20% - Accent5 5 2 3 5" xfId="2108"/>
    <cellStyle name="20% - Accent5 5 2 4" xfId="2109"/>
    <cellStyle name="20% - Accent5 5 2 4 2" xfId="2110"/>
    <cellStyle name="20% - Accent5 5 2 4 3" xfId="2111"/>
    <cellStyle name="20% - Accent5 5 2 4 4" xfId="2112"/>
    <cellStyle name="20% - Accent5 5 2 5" xfId="2113"/>
    <cellStyle name="20% - Accent5 5 2 5 2" xfId="2114"/>
    <cellStyle name="20% - Accent5 5 2 6" xfId="2115"/>
    <cellStyle name="20% - Accent5 5 2 7" xfId="2116"/>
    <cellStyle name="20% - Accent5 5 2 8" xfId="2117"/>
    <cellStyle name="20% - Accent5 5 2 9" xfId="2118"/>
    <cellStyle name="20% - Accent5 5 3" xfId="2119"/>
    <cellStyle name="20% - Accent5 5 3 2" xfId="2120"/>
    <cellStyle name="20% - Accent5 5 3 2 2" xfId="2121"/>
    <cellStyle name="20% - Accent5 5 3 2 3" xfId="2122"/>
    <cellStyle name="20% - Accent5 5 3 3" xfId="2123"/>
    <cellStyle name="20% - Accent5 5 3 4" xfId="2124"/>
    <cellStyle name="20% - Accent5 5 3 5" xfId="2125"/>
    <cellStyle name="20% - Accent5 5 3 6" xfId="2126"/>
    <cellStyle name="20% - Accent5 5 4" xfId="2127"/>
    <cellStyle name="20% - Accent5 5 4 2" xfId="2128"/>
    <cellStyle name="20% - Accent5 5 4 2 2" xfId="2129"/>
    <cellStyle name="20% - Accent5 5 4 3" xfId="2130"/>
    <cellStyle name="20% - Accent5 5 4 4" xfId="2131"/>
    <cellStyle name="20% - Accent5 5 4 5" xfId="2132"/>
    <cellStyle name="20% - Accent5 5 5" xfId="2133"/>
    <cellStyle name="20% - Accent5 5 5 2" xfId="2134"/>
    <cellStyle name="20% - Accent5 5 5 3" xfId="2135"/>
    <cellStyle name="20% - Accent5 5 5 4" xfId="2136"/>
    <cellStyle name="20% - Accent5 5 6" xfId="2137"/>
    <cellStyle name="20% - Accent5 5 6 2" xfId="2138"/>
    <cellStyle name="20% - Accent5 5 7" xfId="2139"/>
    <cellStyle name="20% - Accent5 5 8" xfId="2140"/>
    <cellStyle name="20% - Accent5 5 9" xfId="2141"/>
    <cellStyle name="20% - Accent5 6" xfId="2142"/>
    <cellStyle name="20% - Accent5 6 10" xfId="2143"/>
    <cellStyle name="20% - Accent5 6 2" xfId="2144"/>
    <cellStyle name="20% - Accent5 6 2 2" xfId="2145"/>
    <cellStyle name="20% - Accent5 6 2 2 2" xfId="2146"/>
    <cellStyle name="20% - Accent5 6 2 2 2 2" xfId="2147"/>
    <cellStyle name="20% - Accent5 6 2 2 2 3" xfId="2148"/>
    <cellStyle name="20% - Accent5 6 2 2 3" xfId="2149"/>
    <cellStyle name="20% - Accent5 6 2 2 4" xfId="2150"/>
    <cellStyle name="20% - Accent5 6 2 2 5" xfId="2151"/>
    <cellStyle name="20% - Accent5 6 2 2 6" xfId="2152"/>
    <cellStyle name="20% - Accent5 6 2 3" xfId="2153"/>
    <cellStyle name="20% - Accent5 6 2 3 2" xfId="2154"/>
    <cellStyle name="20% - Accent5 6 2 3 2 2" xfId="2155"/>
    <cellStyle name="20% - Accent5 6 2 3 3" xfId="2156"/>
    <cellStyle name="20% - Accent5 6 2 3 4" xfId="2157"/>
    <cellStyle name="20% - Accent5 6 2 3 5" xfId="2158"/>
    <cellStyle name="20% - Accent5 6 2 4" xfId="2159"/>
    <cellStyle name="20% - Accent5 6 2 4 2" xfId="2160"/>
    <cellStyle name="20% - Accent5 6 2 4 3" xfId="2161"/>
    <cellStyle name="20% - Accent5 6 2 4 4" xfId="2162"/>
    <cellStyle name="20% - Accent5 6 2 5" xfId="2163"/>
    <cellStyle name="20% - Accent5 6 2 5 2" xfId="2164"/>
    <cellStyle name="20% - Accent5 6 2 6" xfId="2165"/>
    <cellStyle name="20% - Accent5 6 2 7" xfId="2166"/>
    <cellStyle name="20% - Accent5 6 2 8" xfId="2167"/>
    <cellStyle name="20% - Accent5 6 2 9" xfId="2168"/>
    <cellStyle name="20% - Accent5 6 3" xfId="2169"/>
    <cellStyle name="20% - Accent5 6 3 2" xfId="2170"/>
    <cellStyle name="20% - Accent5 6 3 2 2" xfId="2171"/>
    <cellStyle name="20% - Accent5 6 3 2 3" xfId="2172"/>
    <cellStyle name="20% - Accent5 6 3 3" xfId="2173"/>
    <cellStyle name="20% - Accent5 6 3 4" xfId="2174"/>
    <cellStyle name="20% - Accent5 6 3 5" xfId="2175"/>
    <cellStyle name="20% - Accent5 6 3 6" xfId="2176"/>
    <cellStyle name="20% - Accent5 6 4" xfId="2177"/>
    <cellStyle name="20% - Accent5 6 4 2" xfId="2178"/>
    <cellStyle name="20% - Accent5 6 4 2 2" xfId="2179"/>
    <cellStyle name="20% - Accent5 6 4 3" xfId="2180"/>
    <cellStyle name="20% - Accent5 6 4 4" xfId="2181"/>
    <cellStyle name="20% - Accent5 6 4 5" xfId="2182"/>
    <cellStyle name="20% - Accent5 6 5" xfId="2183"/>
    <cellStyle name="20% - Accent5 6 5 2" xfId="2184"/>
    <cellStyle name="20% - Accent5 6 5 3" xfId="2185"/>
    <cellStyle name="20% - Accent5 6 5 4" xfId="2186"/>
    <cellStyle name="20% - Accent5 6 6" xfId="2187"/>
    <cellStyle name="20% - Accent5 6 6 2" xfId="2188"/>
    <cellStyle name="20% - Accent5 6 7" xfId="2189"/>
    <cellStyle name="20% - Accent5 6 8" xfId="2190"/>
    <cellStyle name="20% - Accent5 6 9" xfId="2191"/>
    <cellStyle name="20% - Accent5 7" xfId="2192"/>
    <cellStyle name="20% - Accent5 7 2" xfId="2193"/>
    <cellStyle name="20% - Accent5 7 2 2" xfId="2194"/>
    <cellStyle name="20% - Accent5 7 2 2 2" xfId="2195"/>
    <cellStyle name="20% - Accent5 7 2 2 3" xfId="2196"/>
    <cellStyle name="20% - Accent5 7 2 3" xfId="2197"/>
    <cellStyle name="20% - Accent5 7 2 4" xfId="2198"/>
    <cellStyle name="20% - Accent5 7 2 5" xfId="2199"/>
    <cellStyle name="20% - Accent5 7 2 6" xfId="2200"/>
    <cellStyle name="20% - Accent5 7 3" xfId="2201"/>
    <cellStyle name="20% - Accent5 7 3 2" xfId="2202"/>
    <cellStyle name="20% - Accent5 7 3 2 2" xfId="2203"/>
    <cellStyle name="20% - Accent5 7 3 3" xfId="2204"/>
    <cellStyle name="20% - Accent5 7 3 4" xfId="2205"/>
    <cellStyle name="20% - Accent5 7 3 5" xfId="2206"/>
    <cellStyle name="20% - Accent5 7 4" xfId="2207"/>
    <cellStyle name="20% - Accent5 7 4 2" xfId="2208"/>
    <cellStyle name="20% - Accent5 7 4 3" xfId="2209"/>
    <cellStyle name="20% - Accent5 7 4 4" xfId="2210"/>
    <cellStyle name="20% - Accent5 7 5" xfId="2211"/>
    <cellStyle name="20% - Accent5 7 5 2" xfId="2212"/>
    <cellStyle name="20% - Accent5 7 6" xfId="2213"/>
    <cellStyle name="20% - Accent5 7 7" xfId="2214"/>
    <cellStyle name="20% - Accent5 7 8" xfId="2215"/>
    <cellStyle name="20% - Accent5 7 9" xfId="2216"/>
    <cellStyle name="20% - Accent5 8" xfId="2217"/>
    <cellStyle name="20% - Accent5 8 2" xfId="2218"/>
    <cellStyle name="20% - Accent5 8 2 2" xfId="2219"/>
    <cellStyle name="20% - Accent5 8 2 2 2" xfId="2220"/>
    <cellStyle name="20% - Accent5 8 2 2 3" xfId="2221"/>
    <cellStyle name="20% - Accent5 8 2 3" xfId="2222"/>
    <cellStyle name="20% - Accent5 8 2 4" xfId="2223"/>
    <cellStyle name="20% - Accent5 8 2 5" xfId="2224"/>
    <cellStyle name="20% - Accent5 8 2 6" xfId="2225"/>
    <cellStyle name="20% - Accent5 8 3" xfId="2226"/>
    <cellStyle name="20% - Accent5 8 3 2" xfId="2227"/>
    <cellStyle name="20% - Accent5 8 3 2 2" xfId="2228"/>
    <cellStyle name="20% - Accent5 8 3 3" xfId="2229"/>
    <cellStyle name="20% - Accent5 8 3 4" xfId="2230"/>
    <cellStyle name="20% - Accent5 8 3 5" xfId="2231"/>
    <cellStyle name="20% - Accent5 8 4" xfId="2232"/>
    <cellStyle name="20% - Accent5 8 4 2" xfId="2233"/>
    <cellStyle name="20% - Accent5 8 4 3" xfId="2234"/>
    <cellStyle name="20% - Accent5 8 4 4" xfId="2235"/>
    <cellStyle name="20% - Accent5 8 5" xfId="2236"/>
    <cellStyle name="20% - Accent5 8 5 2" xfId="2237"/>
    <cellStyle name="20% - Accent5 8 6" xfId="2238"/>
    <cellStyle name="20% - Accent5 8 7" xfId="2239"/>
    <cellStyle name="20% - Accent5 8 8" xfId="2240"/>
    <cellStyle name="20% - Accent5 8 9" xfId="2241"/>
    <cellStyle name="20% - Accent5 9" xfId="2242"/>
    <cellStyle name="20% - Accent5 9 2" xfId="2243"/>
    <cellStyle name="20% - Accent5 9 2 2" xfId="2244"/>
    <cellStyle name="20% - Accent5 9 2 2 2" xfId="2245"/>
    <cellStyle name="20% - Accent5 9 2 3" xfId="2246"/>
    <cellStyle name="20% - Accent5 9 2 4" xfId="2247"/>
    <cellStyle name="20% - Accent5 9 2 5" xfId="2248"/>
    <cellStyle name="20% - Accent5 9 3" xfId="2249"/>
    <cellStyle name="20% - Accent5 9 3 2" xfId="2250"/>
    <cellStyle name="20% - Accent5 9 3 3" xfId="2251"/>
    <cellStyle name="20% - Accent5 9 3 4" xfId="2252"/>
    <cellStyle name="20% - Accent5 9 4" xfId="2253"/>
    <cellStyle name="20% - Accent5 9 4 2" xfId="2254"/>
    <cellStyle name="20% - Accent5 9 5" xfId="2255"/>
    <cellStyle name="20% - Accent5 9 6" xfId="2256"/>
    <cellStyle name="20% - Accent5 9 7" xfId="2257"/>
    <cellStyle name="20% - Accent5 9 8" xfId="2258"/>
    <cellStyle name="20% - Accent6 10" xfId="2259"/>
    <cellStyle name="20% - Accent6 10 2" xfId="2260"/>
    <cellStyle name="20% - Accent6 10 2 2" xfId="2261"/>
    <cellStyle name="20% - Accent6 10 2 2 2" xfId="2262"/>
    <cellStyle name="20% - Accent6 10 2 3" xfId="2263"/>
    <cellStyle name="20% - Accent6 10 2 4" xfId="2264"/>
    <cellStyle name="20% - Accent6 10 2 5" xfId="2265"/>
    <cellStyle name="20% - Accent6 10 3" xfId="2266"/>
    <cellStyle name="20% - Accent6 10 3 2" xfId="2267"/>
    <cellStyle name="20% - Accent6 10 3 3" xfId="2268"/>
    <cellStyle name="20% - Accent6 10 3 4" xfId="2269"/>
    <cellStyle name="20% - Accent6 10 4" xfId="2270"/>
    <cellStyle name="20% - Accent6 10 4 2" xfId="2271"/>
    <cellStyle name="20% - Accent6 10 5" xfId="2272"/>
    <cellStyle name="20% - Accent6 10 6" xfId="2273"/>
    <cellStyle name="20% - Accent6 10 7" xfId="2274"/>
    <cellStyle name="20% - Accent6 10 8" xfId="2275"/>
    <cellStyle name="20% - Accent6 11" xfId="2276"/>
    <cellStyle name="20% - Accent6 11 2" xfId="2277"/>
    <cellStyle name="20% - Accent6 11 2 2" xfId="2278"/>
    <cellStyle name="20% - Accent6 11 2 2 2" xfId="2279"/>
    <cellStyle name="20% - Accent6 11 2 3" xfId="2280"/>
    <cellStyle name="20% - Accent6 11 2 4" xfId="2281"/>
    <cellStyle name="20% - Accent6 11 2 5" xfId="2282"/>
    <cellStyle name="20% - Accent6 11 3" xfId="2283"/>
    <cellStyle name="20% - Accent6 11 3 2" xfId="2284"/>
    <cellStyle name="20% - Accent6 11 3 3" xfId="2285"/>
    <cellStyle name="20% - Accent6 11 3 4" xfId="2286"/>
    <cellStyle name="20% - Accent6 11 4" xfId="2287"/>
    <cellStyle name="20% - Accent6 11 4 2" xfId="2288"/>
    <cellStyle name="20% - Accent6 11 5" xfId="2289"/>
    <cellStyle name="20% - Accent6 11 6" xfId="2290"/>
    <cellStyle name="20% - Accent6 11 7" xfId="2291"/>
    <cellStyle name="20% - Accent6 11 8" xfId="2292"/>
    <cellStyle name="20% - Accent6 12" xfId="2293"/>
    <cellStyle name="20% - Accent6 12 2" xfId="2294"/>
    <cellStyle name="20% - Accent6 12 2 2" xfId="2295"/>
    <cellStyle name="20% - Accent6 12 2 2 2" xfId="2296"/>
    <cellStyle name="20% - Accent6 12 2 3" xfId="2297"/>
    <cellStyle name="20% - Accent6 12 2 4" xfId="2298"/>
    <cellStyle name="20% - Accent6 12 2 5" xfId="2299"/>
    <cellStyle name="20% - Accent6 12 3" xfId="2300"/>
    <cellStyle name="20% - Accent6 12 3 2" xfId="2301"/>
    <cellStyle name="20% - Accent6 12 3 3" xfId="2302"/>
    <cellStyle name="20% - Accent6 12 3 4" xfId="2303"/>
    <cellStyle name="20% - Accent6 12 4" xfId="2304"/>
    <cellStyle name="20% - Accent6 12 4 2" xfId="2305"/>
    <cellStyle name="20% - Accent6 12 5" xfId="2306"/>
    <cellStyle name="20% - Accent6 12 6" xfId="2307"/>
    <cellStyle name="20% - Accent6 12 7" xfId="2308"/>
    <cellStyle name="20% - Accent6 12 8" xfId="2309"/>
    <cellStyle name="20% - Accent6 13" xfId="2310"/>
    <cellStyle name="20% - Accent6 13 2" xfId="2311"/>
    <cellStyle name="20% - Accent6 13 2 2" xfId="2312"/>
    <cellStyle name="20% - Accent6 13 2 3" xfId="2313"/>
    <cellStyle name="20% - Accent6 13 2 4" xfId="2314"/>
    <cellStyle name="20% - Accent6 13 3" xfId="2315"/>
    <cellStyle name="20% - Accent6 13 3 2" xfId="2316"/>
    <cellStyle name="20% - Accent6 13 4" xfId="2317"/>
    <cellStyle name="20% - Accent6 13 5" xfId="2318"/>
    <cellStyle name="20% - Accent6 13 6" xfId="2319"/>
    <cellStyle name="20% - Accent6 14" xfId="2320"/>
    <cellStyle name="20% - Accent6 14 2" xfId="2321"/>
    <cellStyle name="20% - Accent6 14 2 2" xfId="2322"/>
    <cellStyle name="20% - Accent6 14 3" xfId="2323"/>
    <cellStyle name="20% - Accent6 14 4" xfId="2324"/>
    <cellStyle name="20% - Accent6 14 5" xfId="2325"/>
    <cellStyle name="20% - Accent6 15" xfId="2326"/>
    <cellStyle name="20% - Accent6 15 2" xfId="2327"/>
    <cellStyle name="20% - Accent6 15 2 2" xfId="2328"/>
    <cellStyle name="20% - Accent6 15 3" xfId="2329"/>
    <cellStyle name="20% - Accent6 15 4" xfId="2330"/>
    <cellStyle name="20% - Accent6 15 5" xfId="2331"/>
    <cellStyle name="20% - Accent6 16" xfId="2332"/>
    <cellStyle name="20% - Accent6 16 2" xfId="2333"/>
    <cellStyle name="20% - Accent6 17" xfId="2334"/>
    <cellStyle name="20% - Accent6 18" xfId="2335"/>
    <cellStyle name="20% - Accent6 19" xfId="2336"/>
    <cellStyle name="20% - Accent6 2" xfId="2337"/>
    <cellStyle name="20% - Accent6 2 10" xfId="2338"/>
    <cellStyle name="20% - Accent6 2 11" xfId="2339"/>
    <cellStyle name="20% - Accent6 2 2" xfId="2340"/>
    <cellStyle name="20% - Accent6 2 2 10" xfId="2341"/>
    <cellStyle name="20% - Accent6 2 2 2" xfId="2342"/>
    <cellStyle name="20% - Accent6 2 2 2 2" xfId="2343"/>
    <cellStyle name="20% - Accent6 2 2 2 2 2" xfId="2344"/>
    <cellStyle name="20% - Accent6 2 2 2 2 2 2" xfId="2345"/>
    <cellStyle name="20% - Accent6 2 2 2 2 2 3" xfId="2346"/>
    <cellStyle name="20% - Accent6 2 2 2 2 3" xfId="2347"/>
    <cellStyle name="20% - Accent6 2 2 2 2 4" xfId="2348"/>
    <cellStyle name="20% - Accent6 2 2 2 2 5" xfId="2349"/>
    <cellStyle name="20% - Accent6 2 2 2 2 6" xfId="2350"/>
    <cellStyle name="20% - Accent6 2 2 2 3" xfId="2351"/>
    <cellStyle name="20% - Accent6 2 2 2 3 2" xfId="2352"/>
    <cellStyle name="20% - Accent6 2 2 2 3 2 2" xfId="2353"/>
    <cellStyle name="20% - Accent6 2 2 2 3 3" xfId="2354"/>
    <cellStyle name="20% - Accent6 2 2 2 3 4" xfId="2355"/>
    <cellStyle name="20% - Accent6 2 2 2 3 5" xfId="2356"/>
    <cellStyle name="20% - Accent6 2 2 2 4" xfId="2357"/>
    <cellStyle name="20% - Accent6 2 2 2 4 2" xfId="2358"/>
    <cellStyle name="20% - Accent6 2 2 2 4 3" xfId="2359"/>
    <cellStyle name="20% - Accent6 2 2 2 4 4" xfId="2360"/>
    <cellStyle name="20% - Accent6 2 2 2 5" xfId="2361"/>
    <cellStyle name="20% - Accent6 2 2 2 5 2" xfId="2362"/>
    <cellStyle name="20% - Accent6 2 2 2 6" xfId="2363"/>
    <cellStyle name="20% - Accent6 2 2 2 7" xfId="2364"/>
    <cellStyle name="20% - Accent6 2 2 2 8" xfId="2365"/>
    <cellStyle name="20% - Accent6 2 2 2 9" xfId="2366"/>
    <cellStyle name="20% - Accent6 2 2 3" xfId="2367"/>
    <cellStyle name="20% - Accent6 2 2 3 2" xfId="2368"/>
    <cellStyle name="20% - Accent6 2 2 3 2 2" xfId="2369"/>
    <cellStyle name="20% - Accent6 2 2 3 2 3" xfId="2370"/>
    <cellStyle name="20% - Accent6 2 2 3 3" xfId="2371"/>
    <cellStyle name="20% - Accent6 2 2 3 4" xfId="2372"/>
    <cellStyle name="20% - Accent6 2 2 3 5" xfId="2373"/>
    <cellStyle name="20% - Accent6 2 2 3 6" xfId="2374"/>
    <cellStyle name="20% - Accent6 2 2 4" xfId="2375"/>
    <cellStyle name="20% - Accent6 2 2 4 2" xfId="2376"/>
    <cellStyle name="20% - Accent6 2 2 4 2 2" xfId="2377"/>
    <cellStyle name="20% - Accent6 2 2 4 3" xfId="2378"/>
    <cellStyle name="20% - Accent6 2 2 4 4" xfId="2379"/>
    <cellStyle name="20% - Accent6 2 2 4 5" xfId="2380"/>
    <cellStyle name="20% - Accent6 2 2 5" xfId="2381"/>
    <cellStyle name="20% - Accent6 2 2 5 2" xfId="2382"/>
    <cellStyle name="20% - Accent6 2 2 5 3" xfId="2383"/>
    <cellStyle name="20% - Accent6 2 2 5 4" xfId="2384"/>
    <cellStyle name="20% - Accent6 2 2 6" xfId="2385"/>
    <cellStyle name="20% - Accent6 2 2 6 2" xfId="2386"/>
    <cellStyle name="20% - Accent6 2 2 7" xfId="2387"/>
    <cellStyle name="20% - Accent6 2 2 8" xfId="2388"/>
    <cellStyle name="20% - Accent6 2 2 9" xfId="2389"/>
    <cellStyle name="20% - Accent6 2 3" xfId="2390"/>
    <cellStyle name="20% - Accent6 2 3 2" xfId="2391"/>
    <cellStyle name="20% - Accent6 2 3 2 2" xfId="2392"/>
    <cellStyle name="20% - Accent6 2 3 2 2 2" xfId="2393"/>
    <cellStyle name="20% - Accent6 2 3 2 2 3" xfId="2394"/>
    <cellStyle name="20% - Accent6 2 3 2 3" xfId="2395"/>
    <cellStyle name="20% - Accent6 2 3 2 4" xfId="2396"/>
    <cellStyle name="20% - Accent6 2 3 2 5" xfId="2397"/>
    <cellStyle name="20% - Accent6 2 3 2 6" xfId="2398"/>
    <cellStyle name="20% - Accent6 2 3 3" xfId="2399"/>
    <cellStyle name="20% - Accent6 2 3 3 2" xfId="2400"/>
    <cellStyle name="20% - Accent6 2 3 3 2 2" xfId="2401"/>
    <cellStyle name="20% - Accent6 2 3 3 3" xfId="2402"/>
    <cellStyle name="20% - Accent6 2 3 3 4" xfId="2403"/>
    <cellStyle name="20% - Accent6 2 3 3 5" xfId="2404"/>
    <cellStyle name="20% - Accent6 2 3 4" xfId="2405"/>
    <cellStyle name="20% - Accent6 2 3 4 2" xfId="2406"/>
    <cellStyle name="20% - Accent6 2 3 4 3" xfId="2407"/>
    <cellStyle name="20% - Accent6 2 3 4 4" xfId="2408"/>
    <cellStyle name="20% - Accent6 2 3 5" xfId="2409"/>
    <cellStyle name="20% - Accent6 2 3 5 2" xfId="2410"/>
    <cellStyle name="20% - Accent6 2 3 6" xfId="2411"/>
    <cellStyle name="20% - Accent6 2 3 7" xfId="2412"/>
    <cellStyle name="20% - Accent6 2 3 8" xfId="2413"/>
    <cellStyle name="20% - Accent6 2 3 9" xfId="2414"/>
    <cellStyle name="20% - Accent6 2 4" xfId="2415"/>
    <cellStyle name="20% - Accent6 2 4 2" xfId="2416"/>
    <cellStyle name="20% - Accent6 2 4 2 2" xfId="2417"/>
    <cellStyle name="20% - Accent6 2 4 2 3" xfId="2418"/>
    <cellStyle name="20% - Accent6 2 4 3" xfId="2419"/>
    <cellStyle name="20% - Accent6 2 4 4" xfId="2420"/>
    <cellStyle name="20% - Accent6 2 4 5" xfId="2421"/>
    <cellStyle name="20% - Accent6 2 4 6" xfId="2422"/>
    <cellStyle name="20% - Accent6 2 5" xfId="2423"/>
    <cellStyle name="20% - Accent6 2 5 2" xfId="2424"/>
    <cellStyle name="20% - Accent6 2 5 2 2" xfId="2425"/>
    <cellStyle name="20% - Accent6 2 5 3" xfId="2426"/>
    <cellStyle name="20% - Accent6 2 5 4" xfId="2427"/>
    <cellStyle name="20% - Accent6 2 5 5" xfId="2428"/>
    <cellStyle name="20% - Accent6 2 6" xfId="2429"/>
    <cellStyle name="20% - Accent6 2 6 2" xfId="2430"/>
    <cellStyle name="20% - Accent6 2 6 2 2" xfId="2431"/>
    <cellStyle name="20% - Accent6 2 6 3" xfId="2432"/>
    <cellStyle name="20% - Accent6 2 6 4" xfId="2433"/>
    <cellStyle name="20% - Accent6 2 6 5" xfId="2434"/>
    <cellStyle name="20% - Accent6 2 7" xfId="2435"/>
    <cellStyle name="20% - Accent6 2 7 2" xfId="2436"/>
    <cellStyle name="20% - Accent6 2 8" xfId="2437"/>
    <cellStyle name="20% - Accent6 2 9" xfId="2438"/>
    <cellStyle name="20% - Accent6 3" xfId="2439"/>
    <cellStyle name="20% - Accent6 3 10" xfId="2440"/>
    <cellStyle name="20% - Accent6 3 2" xfId="2441"/>
    <cellStyle name="20% - Accent6 3 2 2" xfId="2442"/>
    <cellStyle name="20% - Accent6 3 2 2 2" xfId="2443"/>
    <cellStyle name="20% - Accent6 3 2 2 2 2" xfId="2444"/>
    <cellStyle name="20% - Accent6 3 2 2 2 3" xfId="2445"/>
    <cellStyle name="20% - Accent6 3 2 2 3" xfId="2446"/>
    <cellStyle name="20% - Accent6 3 2 2 4" xfId="2447"/>
    <cellStyle name="20% - Accent6 3 2 2 5" xfId="2448"/>
    <cellStyle name="20% - Accent6 3 2 2 6" xfId="2449"/>
    <cellStyle name="20% - Accent6 3 2 3" xfId="2450"/>
    <cellStyle name="20% - Accent6 3 2 3 2" xfId="2451"/>
    <cellStyle name="20% - Accent6 3 2 3 2 2" xfId="2452"/>
    <cellStyle name="20% - Accent6 3 2 3 3" xfId="2453"/>
    <cellStyle name="20% - Accent6 3 2 3 4" xfId="2454"/>
    <cellStyle name="20% - Accent6 3 2 3 5" xfId="2455"/>
    <cellStyle name="20% - Accent6 3 2 4" xfId="2456"/>
    <cellStyle name="20% - Accent6 3 2 4 2" xfId="2457"/>
    <cellStyle name="20% - Accent6 3 2 4 3" xfId="2458"/>
    <cellStyle name="20% - Accent6 3 2 4 4" xfId="2459"/>
    <cellStyle name="20% - Accent6 3 2 5" xfId="2460"/>
    <cellStyle name="20% - Accent6 3 2 5 2" xfId="2461"/>
    <cellStyle name="20% - Accent6 3 2 6" xfId="2462"/>
    <cellStyle name="20% - Accent6 3 2 7" xfId="2463"/>
    <cellStyle name="20% - Accent6 3 2 8" xfId="2464"/>
    <cellStyle name="20% - Accent6 3 2 9" xfId="2465"/>
    <cellStyle name="20% - Accent6 3 3" xfId="2466"/>
    <cellStyle name="20% - Accent6 3 3 2" xfId="2467"/>
    <cellStyle name="20% - Accent6 3 3 2 2" xfId="2468"/>
    <cellStyle name="20% - Accent6 3 3 2 3" xfId="2469"/>
    <cellStyle name="20% - Accent6 3 3 3" xfId="2470"/>
    <cellStyle name="20% - Accent6 3 3 4" xfId="2471"/>
    <cellStyle name="20% - Accent6 3 3 5" xfId="2472"/>
    <cellStyle name="20% - Accent6 3 3 6" xfId="2473"/>
    <cellStyle name="20% - Accent6 3 4" xfId="2474"/>
    <cellStyle name="20% - Accent6 3 4 2" xfId="2475"/>
    <cellStyle name="20% - Accent6 3 4 2 2" xfId="2476"/>
    <cellStyle name="20% - Accent6 3 4 3" xfId="2477"/>
    <cellStyle name="20% - Accent6 3 4 4" xfId="2478"/>
    <cellStyle name="20% - Accent6 3 4 5" xfId="2479"/>
    <cellStyle name="20% - Accent6 3 5" xfId="2480"/>
    <cellStyle name="20% - Accent6 3 5 2" xfId="2481"/>
    <cellStyle name="20% - Accent6 3 5 2 2" xfId="2482"/>
    <cellStyle name="20% - Accent6 3 5 3" xfId="2483"/>
    <cellStyle name="20% - Accent6 3 5 4" xfId="2484"/>
    <cellStyle name="20% - Accent6 3 5 5" xfId="2485"/>
    <cellStyle name="20% - Accent6 3 6" xfId="2486"/>
    <cellStyle name="20% - Accent6 3 6 2" xfId="2487"/>
    <cellStyle name="20% - Accent6 3 7" xfId="2488"/>
    <cellStyle name="20% - Accent6 3 8" xfId="2489"/>
    <cellStyle name="20% - Accent6 3 9" xfId="2490"/>
    <cellStyle name="20% - Accent6 4" xfId="2491"/>
    <cellStyle name="20% - Accent6 4 10" xfId="2492"/>
    <cellStyle name="20% - Accent6 4 2" xfId="2493"/>
    <cellStyle name="20% - Accent6 4 2 2" xfId="2494"/>
    <cellStyle name="20% - Accent6 4 2 2 2" xfId="2495"/>
    <cellStyle name="20% - Accent6 4 2 2 2 2" xfId="2496"/>
    <cellStyle name="20% - Accent6 4 2 2 2 3" xfId="2497"/>
    <cellStyle name="20% - Accent6 4 2 2 3" xfId="2498"/>
    <cellStyle name="20% - Accent6 4 2 2 4" xfId="2499"/>
    <cellStyle name="20% - Accent6 4 2 2 5" xfId="2500"/>
    <cellStyle name="20% - Accent6 4 2 2 6" xfId="2501"/>
    <cellStyle name="20% - Accent6 4 2 3" xfId="2502"/>
    <cellStyle name="20% - Accent6 4 2 3 2" xfId="2503"/>
    <cellStyle name="20% - Accent6 4 2 3 2 2" xfId="2504"/>
    <cellStyle name="20% - Accent6 4 2 3 3" xfId="2505"/>
    <cellStyle name="20% - Accent6 4 2 3 4" xfId="2506"/>
    <cellStyle name="20% - Accent6 4 2 3 5" xfId="2507"/>
    <cellStyle name="20% - Accent6 4 2 4" xfId="2508"/>
    <cellStyle name="20% - Accent6 4 2 4 2" xfId="2509"/>
    <cellStyle name="20% - Accent6 4 2 4 3" xfId="2510"/>
    <cellStyle name="20% - Accent6 4 2 4 4" xfId="2511"/>
    <cellStyle name="20% - Accent6 4 2 5" xfId="2512"/>
    <cellStyle name="20% - Accent6 4 2 5 2" xfId="2513"/>
    <cellStyle name="20% - Accent6 4 2 6" xfId="2514"/>
    <cellStyle name="20% - Accent6 4 2 7" xfId="2515"/>
    <cellStyle name="20% - Accent6 4 2 8" xfId="2516"/>
    <cellStyle name="20% - Accent6 4 2 9" xfId="2517"/>
    <cellStyle name="20% - Accent6 4 3" xfId="2518"/>
    <cellStyle name="20% - Accent6 4 3 2" xfId="2519"/>
    <cellStyle name="20% - Accent6 4 3 2 2" xfId="2520"/>
    <cellStyle name="20% - Accent6 4 3 2 3" xfId="2521"/>
    <cellStyle name="20% - Accent6 4 3 3" xfId="2522"/>
    <cellStyle name="20% - Accent6 4 3 4" xfId="2523"/>
    <cellStyle name="20% - Accent6 4 3 5" xfId="2524"/>
    <cellStyle name="20% - Accent6 4 3 6" xfId="2525"/>
    <cellStyle name="20% - Accent6 4 4" xfId="2526"/>
    <cellStyle name="20% - Accent6 4 4 2" xfId="2527"/>
    <cellStyle name="20% - Accent6 4 4 2 2" xfId="2528"/>
    <cellStyle name="20% - Accent6 4 4 3" xfId="2529"/>
    <cellStyle name="20% - Accent6 4 4 4" xfId="2530"/>
    <cellStyle name="20% - Accent6 4 4 5" xfId="2531"/>
    <cellStyle name="20% - Accent6 4 5" xfId="2532"/>
    <cellStyle name="20% - Accent6 4 5 2" xfId="2533"/>
    <cellStyle name="20% - Accent6 4 5 2 2" xfId="2534"/>
    <cellStyle name="20% - Accent6 4 5 3" xfId="2535"/>
    <cellStyle name="20% - Accent6 4 5 4" xfId="2536"/>
    <cellStyle name="20% - Accent6 4 5 5" xfId="2537"/>
    <cellStyle name="20% - Accent6 4 6" xfId="2538"/>
    <cellStyle name="20% - Accent6 4 6 2" xfId="2539"/>
    <cellStyle name="20% - Accent6 4 7" xfId="2540"/>
    <cellStyle name="20% - Accent6 4 8" xfId="2541"/>
    <cellStyle name="20% - Accent6 4 9" xfId="2542"/>
    <cellStyle name="20% - Accent6 5" xfId="2543"/>
    <cellStyle name="20% - Accent6 5 10" xfId="2544"/>
    <cellStyle name="20% - Accent6 5 2" xfId="2545"/>
    <cellStyle name="20% - Accent6 5 2 2" xfId="2546"/>
    <cellStyle name="20% - Accent6 5 2 2 2" xfId="2547"/>
    <cellStyle name="20% - Accent6 5 2 2 2 2" xfId="2548"/>
    <cellStyle name="20% - Accent6 5 2 2 2 3" xfId="2549"/>
    <cellStyle name="20% - Accent6 5 2 2 3" xfId="2550"/>
    <cellStyle name="20% - Accent6 5 2 2 4" xfId="2551"/>
    <cellStyle name="20% - Accent6 5 2 2 5" xfId="2552"/>
    <cellStyle name="20% - Accent6 5 2 2 6" xfId="2553"/>
    <cellStyle name="20% - Accent6 5 2 3" xfId="2554"/>
    <cellStyle name="20% - Accent6 5 2 3 2" xfId="2555"/>
    <cellStyle name="20% - Accent6 5 2 3 2 2" xfId="2556"/>
    <cellStyle name="20% - Accent6 5 2 3 3" xfId="2557"/>
    <cellStyle name="20% - Accent6 5 2 3 4" xfId="2558"/>
    <cellStyle name="20% - Accent6 5 2 3 5" xfId="2559"/>
    <cellStyle name="20% - Accent6 5 2 4" xfId="2560"/>
    <cellStyle name="20% - Accent6 5 2 4 2" xfId="2561"/>
    <cellStyle name="20% - Accent6 5 2 4 3" xfId="2562"/>
    <cellStyle name="20% - Accent6 5 2 4 4" xfId="2563"/>
    <cellStyle name="20% - Accent6 5 2 5" xfId="2564"/>
    <cellStyle name="20% - Accent6 5 2 5 2" xfId="2565"/>
    <cellStyle name="20% - Accent6 5 2 6" xfId="2566"/>
    <cellStyle name="20% - Accent6 5 2 7" xfId="2567"/>
    <cellStyle name="20% - Accent6 5 2 8" xfId="2568"/>
    <cellStyle name="20% - Accent6 5 2 9" xfId="2569"/>
    <cellStyle name="20% - Accent6 5 3" xfId="2570"/>
    <cellStyle name="20% - Accent6 5 3 2" xfId="2571"/>
    <cellStyle name="20% - Accent6 5 3 2 2" xfId="2572"/>
    <cellStyle name="20% - Accent6 5 3 2 3" xfId="2573"/>
    <cellStyle name="20% - Accent6 5 3 3" xfId="2574"/>
    <cellStyle name="20% - Accent6 5 3 4" xfId="2575"/>
    <cellStyle name="20% - Accent6 5 3 5" xfId="2576"/>
    <cellStyle name="20% - Accent6 5 3 6" xfId="2577"/>
    <cellStyle name="20% - Accent6 5 4" xfId="2578"/>
    <cellStyle name="20% - Accent6 5 4 2" xfId="2579"/>
    <cellStyle name="20% - Accent6 5 4 2 2" xfId="2580"/>
    <cellStyle name="20% - Accent6 5 4 3" xfId="2581"/>
    <cellStyle name="20% - Accent6 5 4 4" xfId="2582"/>
    <cellStyle name="20% - Accent6 5 4 5" xfId="2583"/>
    <cellStyle name="20% - Accent6 5 5" xfId="2584"/>
    <cellStyle name="20% - Accent6 5 5 2" xfId="2585"/>
    <cellStyle name="20% - Accent6 5 5 3" xfId="2586"/>
    <cellStyle name="20% - Accent6 5 5 4" xfId="2587"/>
    <cellStyle name="20% - Accent6 5 6" xfId="2588"/>
    <cellStyle name="20% - Accent6 5 6 2" xfId="2589"/>
    <cellStyle name="20% - Accent6 5 7" xfId="2590"/>
    <cellStyle name="20% - Accent6 5 8" xfId="2591"/>
    <cellStyle name="20% - Accent6 5 9" xfId="2592"/>
    <cellStyle name="20% - Accent6 6" xfId="2593"/>
    <cellStyle name="20% - Accent6 6 10" xfId="2594"/>
    <cellStyle name="20% - Accent6 6 2" xfId="2595"/>
    <cellStyle name="20% - Accent6 6 2 2" xfId="2596"/>
    <cellStyle name="20% - Accent6 6 2 2 2" xfId="2597"/>
    <cellStyle name="20% - Accent6 6 2 2 2 2" xfId="2598"/>
    <cellStyle name="20% - Accent6 6 2 2 2 3" xfId="2599"/>
    <cellStyle name="20% - Accent6 6 2 2 3" xfId="2600"/>
    <cellStyle name="20% - Accent6 6 2 2 4" xfId="2601"/>
    <cellStyle name="20% - Accent6 6 2 2 5" xfId="2602"/>
    <cellStyle name="20% - Accent6 6 2 2 6" xfId="2603"/>
    <cellStyle name="20% - Accent6 6 2 3" xfId="2604"/>
    <cellStyle name="20% - Accent6 6 2 3 2" xfId="2605"/>
    <cellStyle name="20% - Accent6 6 2 3 2 2" xfId="2606"/>
    <cellStyle name="20% - Accent6 6 2 3 3" xfId="2607"/>
    <cellStyle name="20% - Accent6 6 2 3 4" xfId="2608"/>
    <cellStyle name="20% - Accent6 6 2 3 5" xfId="2609"/>
    <cellStyle name="20% - Accent6 6 2 4" xfId="2610"/>
    <cellStyle name="20% - Accent6 6 2 4 2" xfId="2611"/>
    <cellStyle name="20% - Accent6 6 2 4 3" xfId="2612"/>
    <cellStyle name="20% - Accent6 6 2 4 4" xfId="2613"/>
    <cellStyle name="20% - Accent6 6 2 5" xfId="2614"/>
    <cellStyle name="20% - Accent6 6 2 5 2" xfId="2615"/>
    <cellStyle name="20% - Accent6 6 2 6" xfId="2616"/>
    <cellStyle name="20% - Accent6 6 2 7" xfId="2617"/>
    <cellStyle name="20% - Accent6 6 2 8" xfId="2618"/>
    <cellStyle name="20% - Accent6 6 2 9" xfId="2619"/>
    <cellStyle name="20% - Accent6 6 3" xfId="2620"/>
    <cellStyle name="20% - Accent6 6 3 2" xfId="2621"/>
    <cellStyle name="20% - Accent6 6 3 2 2" xfId="2622"/>
    <cellStyle name="20% - Accent6 6 3 2 3" xfId="2623"/>
    <cellStyle name="20% - Accent6 6 3 3" xfId="2624"/>
    <cellStyle name="20% - Accent6 6 3 4" xfId="2625"/>
    <cellStyle name="20% - Accent6 6 3 5" xfId="2626"/>
    <cellStyle name="20% - Accent6 6 3 6" xfId="2627"/>
    <cellStyle name="20% - Accent6 6 4" xfId="2628"/>
    <cellStyle name="20% - Accent6 6 4 2" xfId="2629"/>
    <cellStyle name="20% - Accent6 6 4 2 2" xfId="2630"/>
    <cellStyle name="20% - Accent6 6 4 3" xfId="2631"/>
    <cellStyle name="20% - Accent6 6 4 4" xfId="2632"/>
    <cellStyle name="20% - Accent6 6 4 5" xfId="2633"/>
    <cellStyle name="20% - Accent6 6 5" xfId="2634"/>
    <cellStyle name="20% - Accent6 6 5 2" xfId="2635"/>
    <cellStyle name="20% - Accent6 6 5 3" xfId="2636"/>
    <cellStyle name="20% - Accent6 6 5 4" xfId="2637"/>
    <cellStyle name="20% - Accent6 6 6" xfId="2638"/>
    <cellStyle name="20% - Accent6 6 6 2" xfId="2639"/>
    <cellStyle name="20% - Accent6 6 7" xfId="2640"/>
    <cellStyle name="20% - Accent6 6 8" xfId="2641"/>
    <cellStyle name="20% - Accent6 6 9" xfId="2642"/>
    <cellStyle name="20% - Accent6 7" xfId="2643"/>
    <cellStyle name="20% - Accent6 7 2" xfId="2644"/>
    <cellStyle name="20% - Accent6 7 2 2" xfId="2645"/>
    <cellStyle name="20% - Accent6 7 2 2 2" xfId="2646"/>
    <cellStyle name="20% - Accent6 7 2 2 3" xfId="2647"/>
    <cellStyle name="20% - Accent6 7 2 3" xfId="2648"/>
    <cellStyle name="20% - Accent6 7 2 4" xfId="2649"/>
    <cellStyle name="20% - Accent6 7 2 5" xfId="2650"/>
    <cellStyle name="20% - Accent6 7 2 6" xfId="2651"/>
    <cellStyle name="20% - Accent6 7 3" xfId="2652"/>
    <cellStyle name="20% - Accent6 7 3 2" xfId="2653"/>
    <cellStyle name="20% - Accent6 7 3 2 2" xfId="2654"/>
    <cellStyle name="20% - Accent6 7 3 3" xfId="2655"/>
    <cellStyle name="20% - Accent6 7 3 4" xfId="2656"/>
    <cellStyle name="20% - Accent6 7 3 5" xfId="2657"/>
    <cellStyle name="20% - Accent6 7 4" xfId="2658"/>
    <cellStyle name="20% - Accent6 7 4 2" xfId="2659"/>
    <cellStyle name="20% - Accent6 7 4 3" xfId="2660"/>
    <cellStyle name="20% - Accent6 7 4 4" xfId="2661"/>
    <cellStyle name="20% - Accent6 7 5" xfId="2662"/>
    <cellStyle name="20% - Accent6 7 5 2" xfId="2663"/>
    <cellStyle name="20% - Accent6 7 6" xfId="2664"/>
    <cellStyle name="20% - Accent6 7 7" xfId="2665"/>
    <cellStyle name="20% - Accent6 7 8" xfId="2666"/>
    <cellStyle name="20% - Accent6 7 9" xfId="2667"/>
    <cellStyle name="20% - Accent6 8" xfId="2668"/>
    <cellStyle name="20% - Accent6 8 2" xfId="2669"/>
    <cellStyle name="20% - Accent6 8 2 2" xfId="2670"/>
    <cellStyle name="20% - Accent6 8 2 2 2" xfId="2671"/>
    <cellStyle name="20% - Accent6 8 2 2 3" xfId="2672"/>
    <cellStyle name="20% - Accent6 8 2 3" xfId="2673"/>
    <cellStyle name="20% - Accent6 8 2 4" xfId="2674"/>
    <cellStyle name="20% - Accent6 8 2 5" xfId="2675"/>
    <cellStyle name="20% - Accent6 8 2 6" xfId="2676"/>
    <cellStyle name="20% - Accent6 8 3" xfId="2677"/>
    <cellStyle name="20% - Accent6 8 3 2" xfId="2678"/>
    <cellStyle name="20% - Accent6 8 3 2 2" xfId="2679"/>
    <cellStyle name="20% - Accent6 8 3 3" xfId="2680"/>
    <cellStyle name="20% - Accent6 8 3 4" xfId="2681"/>
    <cellStyle name="20% - Accent6 8 3 5" xfId="2682"/>
    <cellStyle name="20% - Accent6 8 4" xfId="2683"/>
    <cellStyle name="20% - Accent6 8 4 2" xfId="2684"/>
    <cellStyle name="20% - Accent6 8 4 3" xfId="2685"/>
    <cellStyle name="20% - Accent6 8 4 4" xfId="2686"/>
    <cellStyle name="20% - Accent6 8 5" xfId="2687"/>
    <cellStyle name="20% - Accent6 8 5 2" xfId="2688"/>
    <cellStyle name="20% - Accent6 8 6" xfId="2689"/>
    <cellStyle name="20% - Accent6 8 7" xfId="2690"/>
    <cellStyle name="20% - Accent6 8 8" xfId="2691"/>
    <cellStyle name="20% - Accent6 8 9" xfId="2692"/>
    <cellStyle name="20% - Accent6 9" xfId="2693"/>
    <cellStyle name="20% - Accent6 9 2" xfId="2694"/>
    <cellStyle name="20% - Accent6 9 2 2" xfId="2695"/>
    <cellStyle name="20% - Accent6 9 2 2 2" xfId="2696"/>
    <cellStyle name="20% - Accent6 9 2 3" xfId="2697"/>
    <cellStyle name="20% - Accent6 9 2 4" xfId="2698"/>
    <cellStyle name="20% - Accent6 9 2 5" xfId="2699"/>
    <cellStyle name="20% - Accent6 9 3" xfId="2700"/>
    <cellStyle name="20% - Accent6 9 3 2" xfId="2701"/>
    <cellStyle name="20% - Accent6 9 3 3" xfId="2702"/>
    <cellStyle name="20% - Accent6 9 3 4" xfId="2703"/>
    <cellStyle name="20% - Accent6 9 4" xfId="2704"/>
    <cellStyle name="20% - Accent6 9 4 2" xfId="2705"/>
    <cellStyle name="20% - Accent6 9 5" xfId="2706"/>
    <cellStyle name="20% - Accent6 9 6" xfId="2707"/>
    <cellStyle name="20% - Accent6 9 7" xfId="2708"/>
    <cellStyle name="20% - Accent6 9 8" xfId="2709"/>
    <cellStyle name="40% - Accent1 10" xfId="2710"/>
    <cellStyle name="40% - Accent1 10 2" xfId="2711"/>
    <cellStyle name="40% - Accent1 10 2 2" xfId="2712"/>
    <cellStyle name="40% - Accent1 10 2 2 2" xfId="2713"/>
    <cellStyle name="40% - Accent1 10 2 3" xfId="2714"/>
    <cellStyle name="40% - Accent1 10 2 4" xfId="2715"/>
    <cellStyle name="40% - Accent1 10 2 5" xfId="2716"/>
    <cellStyle name="40% - Accent1 10 3" xfId="2717"/>
    <cellStyle name="40% - Accent1 10 3 2" xfId="2718"/>
    <cellStyle name="40% - Accent1 10 3 3" xfId="2719"/>
    <cellStyle name="40% - Accent1 10 3 4" xfId="2720"/>
    <cellStyle name="40% - Accent1 10 4" xfId="2721"/>
    <cellStyle name="40% - Accent1 10 4 2" xfId="2722"/>
    <cellStyle name="40% - Accent1 10 5" xfId="2723"/>
    <cellStyle name="40% - Accent1 10 6" xfId="2724"/>
    <cellStyle name="40% - Accent1 10 7" xfId="2725"/>
    <cellStyle name="40% - Accent1 10 8" xfId="2726"/>
    <cellStyle name="40% - Accent1 11" xfId="2727"/>
    <cellStyle name="40% - Accent1 11 2" xfId="2728"/>
    <cellStyle name="40% - Accent1 11 2 2" xfId="2729"/>
    <cellStyle name="40% - Accent1 11 2 2 2" xfId="2730"/>
    <cellStyle name="40% - Accent1 11 2 3" xfId="2731"/>
    <cellStyle name="40% - Accent1 11 2 4" xfId="2732"/>
    <cellStyle name="40% - Accent1 11 2 5" xfId="2733"/>
    <cellStyle name="40% - Accent1 11 3" xfId="2734"/>
    <cellStyle name="40% - Accent1 11 3 2" xfId="2735"/>
    <cellStyle name="40% - Accent1 11 3 3" xfId="2736"/>
    <cellStyle name="40% - Accent1 11 3 4" xfId="2737"/>
    <cellStyle name="40% - Accent1 11 4" xfId="2738"/>
    <cellStyle name="40% - Accent1 11 4 2" xfId="2739"/>
    <cellStyle name="40% - Accent1 11 5" xfId="2740"/>
    <cellStyle name="40% - Accent1 11 6" xfId="2741"/>
    <cellStyle name="40% - Accent1 11 7" xfId="2742"/>
    <cellStyle name="40% - Accent1 11 8" xfId="2743"/>
    <cellStyle name="40% - Accent1 12" xfId="2744"/>
    <cellStyle name="40% - Accent1 12 2" xfId="2745"/>
    <cellStyle name="40% - Accent1 12 2 2" xfId="2746"/>
    <cellStyle name="40% - Accent1 12 2 2 2" xfId="2747"/>
    <cellStyle name="40% - Accent1 12 2 3" xfId="2748"/>
    <cellStyle name="40% - Accent1 12 2 4" xfId="2749"/>
    <cellStyle name="40% - Accent1 12 2 5" xfId="2750"/>
    <cellStyle name="40% - Accent1 12 3" xfId="2751"/>
    <cellStyle name="40% - Accent1 12 3 2" xfId="2752"/>
    <cellStyle name="40% - Accent1 12 3 3" xfId="2753"/>
    <cellStyle name="40% - Accent1 12 3 4" xfId="2754"/>
    <cellStyle name="40% - Accent1 12 4" xfId="2755"/>
    <cellStyle name="40% - Accent1 12 4 2" xfId="2756"/>
    <cellStyle name="40% - Accent1 12 5" xfId="2757"/>
    <cellStyle name="40% - Accent1 12 6" xfId="2758"/>
    <cellStyle name="40% - Accent1 12 7" xfId="2759"/>
    <cellStyle name="40% - Accent1 12 8" xfId="2760"/>
    <cellStyle name="40% - Accent1 13" xfId="2761"/>
    <cellStyle name="40% - Accent1 13 2" xfId="2762"/>
    <cellStyle name="40% - Accent1 13 2 2" xfId="2763"/>
    <cellStyle name="40% - Accent1 13 2 3" xfId="2764"/>
    <cellStyle name="40% - Accent1 13 2 4" xfId="2765"/>
    <cellStyle name="40% - Accent1 13 3" xfId="2766"/>
    <cellStyle name="40% - Accent1 13 3 2" xfId="2767"/>
    <cellStyle name="40% - Accent1 13 4" xfId="2768"/>
    <cellStyle name="40% - Accent1 13 5" xfId="2769"/>
    <cellStyle name="40% - Accent1 13 6" xfId="2770"/>
    <cellStyle name="40% - Accent1 14" xfId="2771"/>
    <cellStyle name="40% - Accent1 14 2" xfId="2772"/>
    <cellStyle name="40% - Accent1 14 2 2" xfId="2773"/>
    <cellStyle name="40% - Accent1 14 3" xfId="2774"/>
    <cellStyle name="40% - Accent1 14 4" xfId="2775"/>
    <cellStyle name="40% - Accent1 14 5" xfId="2776"/>
    <cellStyle name="40% - Accent1 15" xfId="2777"/>
    <cellStyle name="40% - Accent1 15 2" xfId="2778"/>
    <cellStyle name="40% - Accent1 15 2 2" xfId="2779"/>
    <cellStyle name="40% - Accent1 15 3" xfId="2780"/>
    <cellStyle name="40% - Accent1 15 4" xfId="2781"/>
    <cellStyle name="40% - Accent1 15 5" xfId="2782"/>
    <cellStyle name="40% - Accent1 16" xfId="2783"/>
    <cellStyle name="40% - Accent1 16 2" xfId="2784"/>
    <cellStyle name="40% - Accent1 17" xfId="2785"/>
    <cellStyle name="40% - Accent1 18" xfId="2786"/>
    <cellStyle name="40% - Accent1 19" xfId="2787"/>
    <cellStyle name="40% - Accent1 2" xfId="2788"/>
    <cellStyle name="40% - Accent1 2 10" xfId="2789"/>
    <cellStyle name="40% - Accent1 2 11" xfId="2790"/>
    <cellStyle name="40% - Accent1 2 2" xfId="2791"/>
    <cellStyle name="40% - Accent1 2 2 10" xfId="2792"/>
    <cellStyle name="40% - Accent1 2 2 2" xfId="2793"/>
    <cellStyle name="40% - Accent1 2 2 2 2" xfId="2794"/>
    <cellStyle name="40% - Accent1 2 2 2 2 2" xfId="2795"/>
    <cellStyle name="40% - Accent1 2 2 2 2 2 2" xfId="2796"/>
    <cellStyle name="40% - Accent1 2 2 2 2 2 3" xfId="2797"/>
    <cellStyle name="40% - Accent1 2 2 2 2 3" xfId="2798"/>
    <cellStyle name="40% - Accent1 2 2 2 2 4" xfId="2799"/>
    <cellStyle name="40% - Accent1 2 2 2 2 5" xfId="2800"/>
    <cellStyle name="40% - Accent1 2 2 2 2 6" xfId="2801"/>
    <cellStyle name="40% - Accent1 2 2 2 3" xfId="2802"/>
    <cellStyle name="40% - Accent1 2 2 2 3 2" xfId="2803"/>
    <cellStyle name="40% - Accent1 2 2 2 3 2 2" xfId="2804"/>
    <cellStyle name="40% - Accent1 2 2 2 3 3" xfId="2805"/>
    <cellStyle name="40% - Accent1 2 2 2 3 4" xfId="2806"/>
    <cellStyle name="40% - Accent1 2 2 2 3 5" xfId="2807"/>
    <cellStyle name="40% - Accent1 2 2 2 4" xfId="2808"/>
    <cellStyle name="40% - Accent1 2 2 2 4 2" xfId="2809"/>
    <cellStyle name="40% - Accent1 2 2 2 4 3" xfId="2810"/>
    <cellStyle name="40% - Accent1 2 2 2 4 4" xfId="2811"/>
    <cellStyle name="40% - Accent1 2 2 2 5" xfId="2812"/>
    <cellStyle name="40% - Accent1 2 2 2 5 2" xfId="2813"/>
    <cellStyle name="40% - Accent1 2 2 2 6" xfId="2814"/>
    <cellStyle name="40% - Accent1 2 2 2 7" xfId="2815"/>
    <cellStyle name="40% - Accent1 2 2 2 8" xfId="2816"/>
    <cellStyle name="40% - Accent1 2 2 2 9" xfId="2817"/>
    <cellStyle name="40% - Accent1 2 2 3" xfId="2818"/>
    <cellStyle name="40% - Accent1 2 2 3 2" xfId="2819"/>
    <cellStyle name="40% - Accent1 2 2 3 2 2" xfId="2820"/>
    <cellStyle name="40% - Accent1 2 2 3 2 3" xfId="2821"/>
    <cellStyle name="40% - Accent1 2 2 3 3" xfId="2822"/>
    <cellStyle name="40% - Accent1 2 2 3 4" xfId="2823"/>
    <cellStyle name="40% - Accent1 2 2 3 5" xfId="2824"/>
    <cellStyle name="40% - Accent1 2 2 3 6" xfId="2825"/>
    <cellStyle name="40% - Accent1 2 2 4" xfId="2826"/>
    <cellStyle name="40% - Accent1 2 2 4 2" xfId="2827"/>
    <cellStyle name="40% - Accent1 2 2 4 2 2" xfId="2828"/>
    <cellStyle name="40% - Accent1 2 2 4 3" xfId="2829"/>
    <cellStyle name="40% - Accent1 2 2 4 4" xfId="2830"/>
    <cellStyle name="40% - Accent1 2 2 4 5" xfId="2831"/>
    <cellStyle name="40% - Accent1 2 2 5" xfId="2832"/>
    <cellStyle name="40% - Accent1 2 2 5 2" xfId="2833"/>
    <cellStyle name="40% - Accent1 2 2 5 3" xfId="2834"/>
    <cellStyle name="40% - Accent1 2 2 5 4" xfId="2835"/>
    <cellStyle name="40% - Accent1 2 2 6" xfId="2836"/>
    <cellStyle name="40% - Accent1 2 2 6 2" xfId="2837"/>
    <cellStyle name="40% - Accent1 2 2 7" xfId="2838"/>
    <cellStyle name="40% - Accent1 2 2 8" xfId="2839"/>
    <cellStyle name="40% - Accent1 2 2 9" xfId="2840"/>
    <cellStyle name="40% - Accent1 2 3" xfId="2841"/>
    <cellStyle name="40% - Accent1 2 3 2" xfId="2842"/>
    <cellStyle name="40% - Accent1 2 3 2 2" xfId="2843"/>
    <cellStyle name="40% - Accent1 2 3 2 2 2" xfId="2844"/>
    <cellStyle name="40% - Accent1 2 3 2 2 3" xfId="2845"/>
    <cellStyle name="40% - Accent1 2 3 2 3" xfId="2846"/>
    <cellStyle name="40% - Accent1 2 3 2 4" xfId="2847"/>
    <cellStyle name="40% - Accent1 2 3 2 5" xfId="2848"/>
    <cellStyle name="40% - Accent1 2 3 2 6" xfId="2849"/>
    <cellStyle name="40% - Accent1 2 3 3" xfId="2850"/>
    <cellStyle name="40% - Accent1 2 3 3 2" xfId="2851"/>
    <cellStyle name="40% - Accent1 2 3 3 2 2" xfId="2852"/>
    <cellStyle name="40% - Accent1 2 3 3 3" xfId="2853"/>
    <cellStyle name="40% - Accent1 2 3 3 4" xfId="2854"/>
    <cellStyle name="40% - Accent1 2 3 3 5" xfId="2855"/>
    <cellStyle name="40% - Accent1 2 3 4" xfId="2856"/>
    <cellStyle name="40% - Accent1 2 3 4 2" xfId="2857"/>
    <cellStyle name="40% - Accent1 2 3 4 3" xfId="2858"/>
    <cellStyle name="40% - Accent1 2 3 4 4" xfId="2859"/>
    <cellStyle name="40% - Accent1 2 3 5" xfId="2860"/>
    <cellStyle name="40% - Accent1 2 3 5 2" xfId="2861"/>
    <cellStyle name="40% - Accent1 2 3 6" xfId="2862"/>
    <cellStyle name="40% - Accent1 2 3 7" xfId="2863"/>
    <cellStyle name="40% - Accent1 2 3 8" xfId="2864"/>
    <cellStyle name="40% - Accent1 2 3 9" xfId="2865"/>
    <cellStyle name="40% - Accent1 2 4" xfId="2866"/>
    <cellStyle name="40% - Accent1 2 4 2" xfId="2867"/>
    <cellStyle name="40% - Accent1 2 4 2 2" xfId="2868"/>
    <cellStyle name="40% - Accent1 2 4 2 3" xfId="2869"/>
    <cellStyle name="40% - Accent1 2 4 3" xfId="2870"/>
    <cellStyle name="40% - Accent1 2 4 4" xfId="2871"/>
    <cellStyle name="40% - Accent1 2 4 5" xfId="2872"/>
    <cellStyle name="40% - Accent1 2 4 6" xfId="2873"/>
    <cellStyle name="40% - Accent1 2 5" xfId="2874"/>
    <cellStyle name="40% - Accent1 2 5 2" xfId="2875"/>
    <cellStyle name="40% - Accent1 2 5 2 2" xfId="2876"/>
    <cellStyle name="40% - Accent1 2 5 3" xfId="2877"/>
    <cellStyle name="40% - Accent1 2 5 4" xfId="2878"/>
    <cellStyle name="40% - Accent1 2 5 5" xfId="2879"/>
    <cellStyle name="40% - Accent1 2 6" xfId="2880"/>
    <cellStyle name="40% - Accent1 2 6 2" xfId="2881"/>
    <cellStyle name="40% - Accent1 2 6 2 2" xfId="2882"/>
    <cellStyle name="40% - Accent1 2 6 3" xfId="2883"/>
    <cellStyle name="40% - Accent1 2 6 4" xfId="2884"/>
    <cellStyle name="40% - Accent1 2 6 5" xfId="2885"/>
    <cellStyle name="40% - Accent1 2 7" xfId="2886"/>
    <cellStyle name="40% - Accent1 2 7 2" xfId="2887"/>
    <cellStyle name="40% - Accent1 2 8" xfId="2888"/>
    <cellStyle name="40% - Accent1 2 9" xfId="2889"/>
    <cellStyle name="40% - Accent1 3" xfId="2890"/>
    <cellStyle name="40% - Accent1 3 10" xfId="2891"/>
    <cellStyle name="40% - Accent1 3 2" xfId="2892"/>
    <cellStyle name="40% - Accent1 3 2 2" xfId="2893"/>
    <cellStyle name="40% - Accent1 3 2 2 2" xfId="2894"/>
    <cellStyle name="40% - Accent1 3 2 2 2 2" xfId="2895"/>
    <cellStyle name="40% - Accent1 3 2 2 2 3" xfId="2896"/>
    <cellStyle name="40% - Accent1 3 2 2 3" xfId="2897"/>
    <cellStyle name="40% - Accent1 3 2 2 4" xfId="2898"/>
    <cellStyle name="40% - Accent1 3 2 2 5" xfId="2899"/>
    <cellStyle name="40% - Accent1 3 2 2 6" xfId="2900"/>
    <cellStyle name="40% - Accent1 3 2 3" xfId="2901"/>
    <cellStyle name="40% - Accent1 3 2 3 2" xfId="2902"/>
    <cellStyle name="40% - Accent1 3 2 3 2 2" xfId="2903"/>
    <cellStyle name="40% - Accent1 3 2 3 3" xfId="2904"/>
    <cellStyle name="40% - Accent1 3 2 3 4" xfId="2905"/>
    <cellStyle name="40% - Accent1 3 2 3 5" xfId="2906"/>
    <cellStyle name="40% - Accent1 3 2 4" xfId="2907"/>
    <cellStyle name="40% - Accent1 3 2 4 2" xfId="2908"/>
    <cellStyle name="40% - Accent1 3 2 4 3" xfId="2909"/>
    <cellStyle name="40% - Accent1 3 2 4 4" xfId="2910"/>
    <cellStyle name="40% - Accent1 3 2 5" xfId="2911"/>
    <cellStyle name="40% - Accent1 3 2 5 2" xfId="2912"/>
    <cellStyle name="40% - Accent1 3 2 6" xfId="2913"/>
    <cellStyle name="40% - Accent1 3 2 7" xfId="2914"/>
    <cellStyle name="40% - Accent1 3 2 8" xfId="2915"/>
    <cellStyle name="40% - Accent1 3 2 9" xfId="2916"/>
    <cellStyle name="40% - Accent1 3 3" xfId="2917"/>
    <cellStyle name="40% - Accent1 3 3 2" xfId="2918"/>
    <cellStyle name="40% - Accent1 3 3 2 2" xfId="2919"/>
    <cellStyle name="40% - Accent1 3 3 2 3" xfId="2920"/>
    <cellStyle name="40% - Accent1 3 3 3" xfId="2921"/>
    <cellStyle name="40% - Accent1 3 3 4" xfId="2922"/>
    <cellStyle name="40% - Accent1 3 3 5" xfId="2923"/>
    <cellStyle name="40% - Accent1 3 3 6" xfId="2924"/>
    <cellStyle name="40% - Accent1 3 4" xfId="2925"/>
    <cellStyle name="40% - Accent1 3 4 2" xfId="2926"/>
    <cellStyle name="40% - Accent1 3 4 2 2" xfId="2927"/>
    <cellStyle name="40% - Accent1 3 4 3" xfId="2928"/>
    <cellStyle name="40% - Accent1 3 4 4" xfId="2929"/>
    <cellStyle name="40% - Accent1 3 4 5" xfId="2930"/>
    <cellStyle name="40% - Accent1 3 5" xfId="2931"/>
    <cellStyle name="40% - Accent1 3 5 2" xfId="2932"/>
    <cellStyle name="40% - Accent1 3 5 2 2" xfId="2933"/>
    <cellStyle name="40% - Accent1 3 5 3" xfId="2934"/>
    <cellStyle name="40% - Accent1 3 5 4" xfId="2935"/>
    <cellStyle name="40% - Accent1 3 5 5" xfId="2936"/>
    <cellStyle name="40% - Accent1 3 6" xfId="2937"/>
    <cellStyle name="40% - Accent1 3 6 2" xfId="2938"/>
    <cellStyle name="40% - Accent1 3 7" xfId="2939"/>
    <cellStyle name="40% - Accent1 3 8" xfId="2940"/>
    <cellStyle name="40% - Accent1 3 9" xfId="2941"/>
    <cellStyle name="40% - Accent1 4" xfId="2942"/>
    <cellStyle name="40% - Accent1 4 10" xfId="2943"/>
    <cellStyle name="40% - Accent1 4 2" xfId="2944"/>
    <cellStyle name="40% - Accent1 4 2 2" xfId="2945"/>
    <cellStyle name="40% - Accent1 4 2 2 2" xfId="2946"/>
    <cellStyle name="40% - Accent1 4 2 2 2 2" xfId="2947"/>
    <cellStyle name="40% - Accent1 4 2 2 2 3" xfId="2948"/>
    <cellStyle name="40% - Accent1 4 2 2 3" xfId="2949"/>
    <cellStyle name="40% - Accent1 4 2 2 4" xfId="2950"/>
    <cellStyle name="40% - Accent1 4 2 2 5" xfId="2951"/>
    <cellStyle name="40% - Accent1 4 2 2 6" xfId="2952"/>
    <cellStyle name="40% - Accent1 4 2 3" xfId="2953"/>
    <cellStyle name="40% - Accent1 4 2 3 2" xfId="2954"/>
    <cellStyle name="40% - Accent1 4 2 3 2 2" xfId="2955"/>
    <cellStyle name="40% - Accent1 4 2 3 3" xfId="2956"/>
    <cellStyle name="40% - Accent1 4 2 3 4" xfId="2957"/>
    <cellStyle name="40% - Accent1 4 2 3 5" xfId="2958"/>
    <cellStyle name="40% - Accent1 4 2 4" xfId="2959"/>
    <cellStyle name="40% - Accent1 4 2 4 2" xfId="2960"/>
    <cellStyle name="40% - Accent1 4 2 4 3" xfId="2961"/>
    <cellStyle name="40% - Accent1 4 2 4 4" xfId="2962"/>
    <cellStyle name="40% - Accent1 4 2 5" xfId="2963"/>
    <cellStyle name="40% - Accent1 4 2 5 2" xfId="2964"/>
    <cellStyle name="40% - Accent1 4 2 6" xfId="2965"/>
    <cellStyle name="40% - Accent1 4 2 7" xfId="2966"/>
    <cellStyle name="40% - Accent1 4 2 8" xfId="2967"/>
    <cellStyle name="40% - Accent1 4 2 9" xfId="2968"/>
    <cellStyle name="40% - Accent1 4 3" xfId="2969"/>
    <cellStyle name="40% - Accent1 4 3 2" xfId="2970"/>
    <cellStyle name="40% - Accent1 4 3 2 2" xfId="2971"/>
    <cellStyle name="40% - Accent1 4 3 2 3" xfId="2972"/>
    <cellStyle name="40% - Accent1 4 3 3" xfId="2973"/>
    <cellStyle name="40% - Accent1 4 3 4" xfId="2974"/>
    <cellStyle name="40% - Accent1 4 3 5" xfId="2975"/>
    <cellStyle name="40% - Accent1 4 3 6" xfId="2976"/>
    <cellStyle name="40% - Accent1 4 4" xfId="2977"/>
    <cellStyle name="40% - Accent1 4 4 2" xfId="2978"/>
    <cellStyle name="40% - Accent1 4 4 2 2" xfId="2979"/>
    <cellStyle name="40% - Accent1 4 4 3" xfId="2980"/>
    <cellStyle name="40% - Accent1 4 4 4" xfId="2981"/>
    <cellStyle name="40% - Accent1 4 4 5" xfId="2982"/>
    <cellStyle name="40% - Accent1 4 5" xfId="2983"/>
    <cellStyle name="40% - Accent1 4 5 2" xfId="2984"/>
    <cellStyle name="40% - Accent1 4 5 2 2" xfId="2985"/>
    <cellStyle name="40% - Accent1 4 5 3" xfId="2986"/>
    <cellStyle name="40% - Accent1 4 5 4" xfId="2987"/>
    <cellStyle name="40% - Accent1 4 5 5" xfId="2988"/>
    <cellStyle name="40% - Accent1 4 6" xfId="2989"/>
    <cellStyle name="40% - Accent1 4 6 2" xfId="2990"/>
    <cellStyle name="40% - Accent1 4 7" xfId="2991"/>
    <cellStyle name="40% - Accent1 4 8" xfId="2992"/>
    <cellStyle name="40% - Accent1 4 9" xfId="2993"/>
    <cellStyle name="40% - Accent1 5" xfId="2994"/>
    <cellStyle name="40% - Accent1 5 10" xfId="2995"/>
    <cellStyle name="40% - Accent1 5 2" xfId="2996"/>
    <cellStyle name="40% - Accent1 5 2 2" xfId="2997"/>
    <cellStyle name="40% - Accent1 5 2 2 2" xfId="2998"/>
    <cellStyle name="40% - Accent1 5 2 2 2 2" xfId="2999"/>
    <cellStyle name="40% - Accent1 5 2 2 2 3" xfId="3000"/>
    <cellStyle name="40% - Accent1 5 2 2 3" xfId="3001"/>
    <cellStyle name="40% - Accent1 5 2 2 4" xfId="3002"/>
    <cellStyle name="40% - Accent1 5 2 2 5" xfId="3003"/>
    <cellStyle name="40% - Accent1 5 2 2 6" xfId="3004"/>
    <cellStyle name="40% - Accent1 5 2 3" xfId="3005"/>
    <cellStyle name="40% - Accent1 5 2 3 2" xfId="3006"/>
    <cellStyle name="40% - Accent1 5 2 3 2 2" xfId="3007"/>
    <cellStyle name="40% - Accent1 5 2 3 3" xfId="3008"/>
    <cellStyle name="40% - Accent1 5 2 3 4" xfId="3009"/>
    <cellStyle name="40% - Accent1 5 2 3 5" xfId="3010"/>
    <cellStyle name="40% - Accent1 5 2 4" xfId="3011"/>
    <cellStyle name="40% - Accent1 5 2 4 2" xfId="3012"/>
    <cellStyle name="40% - Accent1 5 2 4 3" xfId="3013"/>
    <cellStyle name="40% - Accent1 5 2 4 4" xfId="3014"/>
    <cellStyle name="40% - Accent1 5 2 5" xfId="3015"/>
    <cellStyle name="40% - Accent1 5 2 5 2" xfId="3016"/>
    <cellStyle name="40% - Accent1 5 2 6" xfId="3017"/>
    <cellStyle name="40% - Accent1 5 2 7" xfId="3018"/>
    <cellStyle name="40% - Accent1 5 2 8" xfId="3019"/>
    <cellStyle name="40% - Accent1 5 2 9" xfId="3020"/>
    <cellStyle name="40% - Accent1 5 3" xfId="3021"/>
    <cellStyle name="40% - Accent1 5 3 2" xfId="3022"/>
    <cellStyle name="40% - Accent1 5 3 2 2" xfId="3023"/>
    <cellStyle name="40% - Accent1 5 3 2 3" xfId="3024"/>
    <cellStyle name="40% - Accent1 5 3 3" xfId="3025"/>
    <cellStyle name="40% - Accent1 5 3 4" xfId="3026"/>
    <cellStyle name="40% - Accent1 5 3 5" xfId="3027"/>
    <cellStyle name="40% - Accent1 5 3 6" xfId="3028"/>
    <cellStyle name="40% - Accent1 5 4" xfId="3029"/>
    <cellStyle name="40% - Accent1 5 4 2" xfId="3030"/>
    <cellStyle name="40% - Accent1 5 4 2 2" xfId="3031"/>
    <cellStyle name="40% - Accent1 5 4 3" xfId="3032"/>
    <cellStyle name="40% - Accent1 5 4 4" xfId="3033"/>
    <cellStyle name="40% - Accent1 5 4 5" xfId="3034"/>
    <cellStyle name="40% - Accent1 5 5" xfId="3035"/>
    <cellStyle name="40% - Accent1 5 5 2" xfId="3036"/>
    <cellStyle name="40% - Accent1 5 5 3" xfId="3037"/>
    <cellStyle name="40% - Accent1 5 5 4" xfId="3038"/>
    <cellStyle name="40% - Accent1 5 6" xfId="3039"/>
    <cellStyle name="40% - Accent1 5 6 2" xfId="3040"/>
    <cellStyle name="40% - Accent1 5 7" xfId="3041"/>
    <cellStyle name="40% - Accent1 5 8" xfId="3042"/>
    <cellStyle name="40% - Accent1 5 9" xfId="3043"/>
    <cellStyle name="40% - Accent1 6" xfId="3044"/>
    <cellStyle name="40% - Accent1 6 10" xfId="3045"/>
    <cellStyle name="40% - Accent1 6 2" xfId="3046"/>
    <cellStyle name="40% - Accent1 6 2 2" xfId="3047"/>
    <cellStyle name="40% - Accent1 6 2 2 2" xfId="3048"/>
    <cellStyle name="40% - Accent1 6 2 2 2 2" xfId="3049"/>
    <cellStyle name="40% - Accent1 6 2 2 2 3" xfId="3050"/>
    <cellStyle name="40% - Accent1 6 2 2 3" xfId="3051"/>
    <cellStyle name="40% - Accent1 6 2 2 4" xfId="3052"/>
    <cellStyle name="40% - Accent1 6 2 2 5" xfId="3053"/>
    <cellStyle name="40% - Accent1 6 2 2 6" xfId="3054"/>
    <cellStyle name="40% - Accent1 6 2 3" xfId="3055"/>
    <cellStyle name="40% - Accent1 6 2 3 2" xfId="3056"/>
    <cellStyle name="40% - Accent1 6 2 3 2 2" xfId="3057"/>
    <cellStyle name="40% - Accent1 6 2 3 3" xfId="3058"/>
    <cellStyle name="40% - Accent1 6 2 3 4" xfId="3059"/>
    <cellStyle name="40% - Accent1 6 2 3 5" xfId="3060"/>
    <cellStyle name="40% - Accent1 6 2 4" xfId="3061"/>
    <cellStyle name="40% - Accent1 6 2 4 2" xfId="3062"/>
    <cellStyle name="40% - Accent1 6 2 4 3" xfId="3063"/>
    <cellStyle name="40% - Accent1 6 2 4 4" xfId="3064"/>
    <cellStyle name="40% - Accent1 6 2 5" xfId="3065"/>
    <cellStyle name="40% - Accent1 6 2 5 2" xfId="3066"/>
    <cellStyle name="40% - Accent1 6 2 6" xfId="3067"/>
    <cellStyle name="40% - Accent1 6 2 7" xfId="3068"/>
    <cellStyle name="40% - Accent1 6 2 8" xfId="3069"/>
    <cellStyle name="40% - Accent1 6 2 9" xfId="3070"/>
    <cellStyle name="40% - Accent1 6 3" xfId="3071"/>
    <cellStyle name="40% - Accent1 6 3 2" xfId="3072"/>
    <cellStyle name="40% - Accent1 6 3 2 2" xfId="3073"/>
    <cellStyle name="40% - Accent1 6 3 2 3" xfId="3074"/>
    <cellStyle name="40% - Accent1 6 3 3" xfId="3075"/>
    <cellStyle name="40% - Accent1 6 3 4" xfId="3076"/>
    <cellStyle name="40% - Accent1 6 3 5" xfId="3077"/>
    <cellStyle name="40% - Accent1 6 3 6" xfId="3078"/>
    <cellStyle name="40% - Accent1 6 4" xfId="3079"/>
    <cellStyle name="40% - Accent1 6 4 2" xfId="3080"/>
    <cellStyle name="40% - Accent1 6 4 2 2" xfId="3081"/>
    <cellStyle name="40% - Accent1 6 4 3" xfId="3082"/>
    <cellStyle name="40% - Accent1 6 4 4" xfId="3083"/>
    <cellStyle name="40% - Accent1 6 4 5" xfId="3084"/>
    <cellStyle name="40% - Accent1 6 5" xfId="3085"/>
    <cellStyle name="40% - Accent1 6 5 2" xfId="3086"/>
    <cellStyle name="40% - Accent1 6 5 3" xfId="3087"/>
    <cellStyle name="40% - Accent1 6 5 4" xfId="3088"/>
    <cellStyle name="40% - Accent1 6 6" xfId="3089"/>
    <cellStyle name="40% - Accent1 6 6 2" xfId="3090"/>
    <cellStyle name="40% - Accent1 6 7" xfId="3091"/>
    <cellStyle name="40% - Accent1 6 8" xfId="3092"/>
    <cellStyle name="40% - Accent1 6 9" xfId="3093"/>
    <cellStyle name="40% - Accent1 7" xfId="3094"/>
    <cellStyle name="40% - Accent1 7 2" xfId="3095"/>
    <cellStyle name="40% - Accent1 7 2 2" xfId="3096"/>
    <cellStyle name="40% - Accent1 7 2 2 2" xfId="3097"/>
    <cellStyle name="40% - Accent1 7 2 2 3" xfId="3098"/>
    <cellStyle name="40% - Accent1 7 2 3" xfId="3099"/>
    <cellStyle name="40% - Accent1 7 2 4" xfId="3100"/>
    <cellStyle name="40% - Accent1 7 2 5" xfId="3101"/>
    <cellStyle name="40% - Accent1 7 2 6" xfId="3102"/>
    <cellStyle name="40% - Accent1 7 3" xfId="3103"/>
    <cellStyle name="40% - Accent1 7 3 2" xfId="3104"/>
    <cellStyle name="40% - Accent1 7 3 2 2" xfId="3105"/>
    <cellStyle name="40% - Accent1 7 3 3" xfId="3106"/>
    <cellStyle name="40% - Accent1 7 3 4" xfId="3107"/>
    <cellStyle name="40% - Accent1 7 3 5" xfId="3108"/>
    <cellStyle name="40% - Accent1 7 4" xfId="3109"/>
    <cellStyle name="40% - Accent1 7 4 2" xfId="3110"/>
    <cellStyle name="40% - Accent1 7 4 3" xfId="3111"/>
    <cellStyle name="40% - Accent1 7 4 4" xfId="3112"/>
    <cellStyle name="40% - Accent1 7 5" xfId="3113"/>
    <cellStyle name="40% - Accent1 7 5 2" xfId="3114"/>
    <cellStyle name="40% - Accent1 7 6" xfId="3115"/>
    <cellStyle name="40% - Accent1 7 7" xfId="3116"/>
    <cellStyle name="40% - Accent1 7 8" xfId="3117"/>
    <cellStyle name="40% - Accent1 7 9" xfId="3118"/>
    <cellStyle name="40% - Accent1 8" xfId="3119"/>
    <cellStyle name="40% - Accent1 8 2" xfId="3120"/>
    <cellStyle name="40% - Accent1 8 2 2" xfId="3121"/>
    <cellStyle name="40% - Accent1 8 2 2 2" xfId="3122"/>
    <cellStyle name="40% - Accent1 8 2 2 3" xfId="3123"/>
    <cellStyle name="40% - Accent1 8 2 3" xfId="3124"/>
    <cellStyle name="40% - Accent1 8 2 4" xfId="3125"/>
    <cellStyle name="40% - Accent1 8 2 5" xfId="3126"/>
    <cellStyle name="40% - Accent1 8 2 6" xfId="3127"/>
    <cellStyle name="40% - Accent1 8 3" xfId="3128"/>
    <cellStyle name="40% - Accent1 8 3 2" xfId="3129"/>
    <cellStyle name="40% - Accent1 8 3 2 2" xfId="3130"/>
    <cellStyle name="40% - Accent1 8 3 3" xfId="3131"/>
    <cellStyle name="40% - Accent1 8 3 4" xfId="3132"/>
    <cellStyle name="40% - Accent1 8 3 5" xfId="3133"/>
    <cellStyle name="40% - Accent1 8 4" xfId="3134"/>
    <cellStyle name="40% - Accent1 8 4 2" xfId="3135"/>
    <cellStyle name="40% - Accent1 8 4 3" xfId="3136"/>
    <cellStyle name="40% - Accent1 8 4 4" xfId="3137"/>
    <cellStyle name="40% - Accent1 8 5" xfId="3138"/>
    <cellStyle name="40% - Accent1 8 5 2" xfId="3139"/>
    <cellStyle name="40% - Accent1 8 6" xfId="3140"/>
    <cellStyle name="40% - Accent1 8 7" xfId="3141"/>
    <cellStyle name="40% - Accent1 8 8" xfId="3142"/>
    <cellStyle name="40% - Accent1 8 9" xfId="3143"/>
    <cellStyle name="40% - Accent1 9" xfId="3144"/>
    <cellStyle name="40% - Accent1 9 2" xfId="3145"/>
    <cellStyle name="40% - Accent1 9 2 2" xfId="3146"/>
    <cellStyle name="40% - Accent1 9 2 2 2" xfId="3147"/>
    <cellStyle name="40% - Accent1 9 2 3" xfId="3148"/>
    <cellStyle name="40% - Accent1 9 2 4" xfId="3149"/>
    <cellStyle name="40% - Accent1 9 2 5" xfId="3150"/>
    <cellStyle name="40% - Accent1 9 3" xfId="3151"/>
    <cellStyle name="40% - Accent1 9 3 2" xfId="3152"/>
    <cellStyle name="40% - Accent1 9 3 3" xfId="3153"/>
    <cellStyle name="40% - Accent1 9 3 4" xfId="3154"/>
    <cellStyle name="40% - Accent1 9 4" xfId="3155"/>
    <cellStyle name="40% - Accent1 9 4 2" xfId="3156"/>
    <cellStyle name="40% - Accent1 9 5" xfId="3157"/>
    <cellStyle name="40% - Accent1 9 6" xfId="3158"/>
    <cellStyle name="40% - Accent1 9 7" xfId="3159"/>
    <cellStyle name="40% - Accent1 9 8" xfId="3160"/>
    <cellStyle name="40% - Accent2 10" xfId="3161"/>
    <cellStyle name="40% - Accent2 10 2" xfId="3162"/>
    <cellStyle name="40% - Accent2 10 2 2" xfId="3163"/>
    <cellStyle name="40% - Accent2 10 2 2 2" xfId="3164"/>
    <cellStyle name="40% - Accent2 10 2 3" xfId="3165"/>
    <cellStyle name="40% - Accent2 10 2 4" xfId="3166"/>
    <cellStyle name="40% - Accent2 10 2 5" xfId="3167"/>
    <cellStyle name="40% - Accent2 10 3" xfId="3168"/>
    <cellStyle name="40% - Accent2 10 3 2" xfId="3169"/>
    <cellStyle name="40% - Accent2 10 3 3" xfId="3170"/>
    <cellStyle name="40% - Accent2 10 3 4" xfId="3171"/>
    <cellStyle name="40% - Accent2 10 4" xfId="3172"/>
    <cellStyle name="40% - Accent2 10 4 2" xfId="3173"/>
    <cellStyle name="40% - Accent2 10 5" xfId="3174"/>
    <cellStyle name="40% - Accent2 10 6" xfId="3175"/>
    <cellStyle name="40% - Accent2 10 7" xfId="3176"/>
    <cellStyle name="40% - Accent2 10 8" xfId="3177"/>
    <cellStyle name="40% - Accent2 11" xfId="3178"/>
    <cellStyle name="40% - Accent2 11 2" xfId="3179"/>
    <cellStyle name="40% - Accent2 11 2 2" xfId="3180"/>
    <cellStyle name="40% - Accent2 11 2 2 2" xfId="3181"/>
    <cellStyle name="40% - Accent2 11 2 3" xfId="3182"/>
    <cellStyle name="40% - Accent2 11 2 4" xfId="3183"/>
    <cellStyle name="40% - Accent2 11 2 5" xfId="3184"/>
    <cellStyle name="40% - Accent2 11 3" xfId="3185"/>
    <cellStyle name="40% - Accent2 11 3 2" xfId="3186"/>
    <cellStyle name="40% - Accent2 11 3 3" xfId="3187"/>
    <cellStyle name="40% - Accent2 11 3 4" xfId="3188"/>
    <cellStyle name="40% - Accent2 11 4" xfId="3189"/>
    <cellStyle name="40% - Accent2 11 4 2" xfId="3190"/>
    <cellStyle name="40% - Accent2 11 5" xfId="3191"/>
    <cellStyle name="40% - Accent2 11 6" xfId="3192"/>
    <cellStyle name="40% - Accent2 11 7" xfId="3193"/>
    <cellStyle name="40% - Accent2 11 8" xfId="3194"/>
    <cellStyle name="40% - Accent2 12" xfId="3195"/>
    <cellStyle name="40% - Accent2 12 2" xfId="3196"/>
    <cellStyle name="40% - Accent2 12 2 2" xfId="3197"/>
    <cellStyle name="40% - Accent2 12 2 2 2" xfId="3198"/>
    <cellStyle name="40% - Accent2 12 2 3" xfId="3199"/>
    <cellStyle name="40% - Accent2 12 2 4" xfId="3200"/>
    <cellStyle name="40% - Accent2 12 2 5" xfId="3201"/>
    <cellStyle name="40% - Accent2 12 3" xfId="3202"/>
    <cellStyle name="40% - Accent2 12 3 2" xfId="3203"/>
    <cellStyle name="40% - Accent2 12 3 3" xfId="3204"/>
    <cellStyle name="40% - Accent2 12 3 4" xfId="3205"/>
    <cellStyle name="40% - Accent2 12 4" xfId="3206"/>
    <cellStyle name="40% - Accent2 12 4 2" xfId="3207"/>
    <cellStyle name="40% - Accent2 12 5" xfId="3208"/>
    <cellStyle name="40% - Accent2 12 6" xfId="3209"/>
    <cellStyle name="40% - Accent2 12 7" xfId="3210"/>
    <cellStyle name="40% - Accent2 12 8" xfId="3211"/>
    <cellStyle name="40% - Accent2 13" xfId="3212"/>
    <cellStyle name="40% - Accent2 13 2" xfId="3213"/>
    <cellStyle name="40% - Accent2 13 2 2" xfId="3214"/>
    <cellStyle name="40% - Accent2 13 2 3" xfId="3215"/>
    <cellStyle name="40% - Accent2 13 2 4" xfId="3216"/>
    <cellStyle name="40% - Accent2 13 3" xfId="3217"/>
    <cellStyle name="40% - Accent2 13 3 2" xfId="3218"/>
    <cellStyle name="40% - Accent2 13 4" xfId="3219"/>
    <cellStyle name="40% - Accent2 13 5" xfId="3220"/>
    <cellStyle name="40% - Accent2 13 6" xfId="3221"/>
    <cellStyle name="40% - Accent2 14" xfId="3222"/>
    <cellStyle name="40% - Accent2 14 2" xfId="3223"/>
    <cellStyle name="40% - Accent2 14 2 2" xfId="3224"/>
    <cellStyle name="40% - Accent2 14 3" xfId="3225"/>
    <cellStyle name="40% - Accent2 14 4" xfId="3226"/>
    <cellStyle name="40% - Accent2 14 5" xfId="3227"/>
    <cellStyle name="40% - Accent2 15" xfId="3228"/>
    <cellStyle name="40% - Accent2 15 2" xfId="3229"/>
    <cellStyle name="40% - Accent2 15 2 2" xfId="3230"/>
    <cellStyle name="40% - Accent2 15 3" xfId="3231"/>
    <cellStyle name="40% - Accent2 15 4" xfId="3232"/>
    <cellStyle name="40% - Accent2 15 5" xfId="3233"/>
    <cellStyle name="40% - Accent2 16" xfId="3234"/>
    <cellStyle name="40% - Accent2 16 2" xfId="3235"/>
    <cellStyle name="40% - Accent2 17" xfId="3236"/>
    <cellStyle name="40% - Accent2 18" xfId="3237"/>
    <cellStyle name="40% - Accent2 19" xfId="3238"/>
    <cellStyle name="40% - Accent2 2" xfId="3239"/>
    <cellStyle name="40% - Accent2 2 10" xfId="3240"/>
    <cellStyle name="40% - Accent2 2 11" xfId="3241"/>
    <cellStyle name="40% - Accent2 2 2" xfId="3242"/>
    <cellStyle name="40% - Accent2 2 2 10" xfId="3243"/>
    <cellStyle name="40% - Accent2 2 2 2" xfId="3244"/>
    <cellStyle name="40% - Accent2 2 2 2 2" xfId="3245"/>
    <cellStyle name="40% - Accent2 2 2 2 2 2" xfId="3246"/>
    <cellStyle name="40% - Accent2 2 2 2 2 2 2" xfId="3247"/>
    <cellStyle name="40% - Accent2 2 2 2 2 2 3" xfId="3248"/>
    <cellStyle name="40% - Accent2 2 2 2 2 3" xfId="3249"/>
    <cellStyle name="40% - Accent2 2 2 2 2 4" xfId="3250"/>
    <cellStyle name="40% - Accent2 2 2 2 2 5" xfId="3251"/>
    <cellStyle name="40% - Accent2 2 2 2 2 6" xfId="3252"/>
    <cellStyle name="40% - Accent2 2 2 2 3" xfId="3253"/>
    <cellStyle name="40% - Accent2 2 2 2 3 2" xfId="3254"/>
    <cellStyle name="40% - Accent2 2 2 2 3 2 2" xfId="3255"/>
    <cellStyle name="40% - Accent2 2 2 2 3 3" xfId="3256"/>
    <cellStyle name="40% - Accent2 2 2 2 3 4" xfId="3257"/>
    <cellStyle name="40% - Accent2 2 2 2 3 5" xfId="3258"/>
    <cellStyle name="40% - Accent2 2 2 2 4" xfId="3259"/>
    <cellStyle name="40% - Accent2 2 2 2 4 2" xfId="3260"/>
    <cellStyle name="40% - Accent2 2 2 2 4 3" xfId="3261"/>
    <cellStyle name="40% - Accent2 2 2 2 4 4" xfId="3262"/>
    <cellStyle name="40% - Accent2 2 2 2 5" xfId="3263"/>
    <cellStyle name="40% - Accent2 2 2 2 5 2" xfId="3264"/>
    <cellStyle name="40% - Accent2 2 2 2 6" xfId="3265"/>
    <cellStyle name="40% - Accent2 2 2 2 7" xfId="3266"/>
    <cellStyle name="40% - Accent2 2 2 2 8" xfId="3267"/>
    <cellStyle name="40% - Accent2 2 2 2 9" xfId="3268"/>
    <cellStyle name="40% - Accent2 2 2 3" xfId="3269"/>
    <cellStyle name="40% - Accent2 2 2 3 2" xfId="3270"/>
    <cellStyle name="40% - Accent2 2 2 3 2 2" xfId="3271"/>
    <cellStyle name="40% - Accent2 2 2 3 2 3" xfId="3272"/>
    <cellStyle name="40% - Accent2 2 2 3 3" xfId="3273"/>
    <cellStyle name="40% - Accent2 2 2 3 4" xfId="3274"/>
    <cellStyle name="40% - Accent2 2 2 3 5" xfId="3275"/>
    <cellStyle name="40% - Accent2 2 2 3 6" xfId="3276"/>
    <cellStyle name="40% - Accent2 2 2 4" xfId="3277"/>
    <cellStyle name="40% - Accent2 2 2 4 2" xfId="3278"/>
    <cellStyle name="40% - Accent2 2 2 4 2 2" xfId="3279"/>
    <cellStyle name="40% - Accent2 2 2 4 3" xfId="3280"/>
    <cellStyle name="40% - Accent2 2 2 4 4" xfId="3281"/>
    <cellStyle name="40% - Accent2 2 2 4 5" xfId="3282"/>
    <cellStyle name="40% - Accent2 2 2 5" xfId="3283"/>
    <cellStyle name="40% - Accent2 2 2 5 2" xfId="3284"/>
    <cellStyle name="40% - Accent2 2 2 5 3" xfId="3285"/>
    <cellStyle name="40% - Accent2 2 2 5 4" xfId="3286"/>
    <cellStyle name="40% - Accent2 2 2 6" xfId="3287"/>
    <cellStyle name="40% - Accent2 2 2 6 2" xfId="3288"/>
    <cellStyle name="40% - Accent2 2 2 7" xfId="3289"/>
    <cellStyle name="40% - Accent2 2 2 8" xfId="3290"/>
    <cellStyle name="40% - Accent2 2 2 9" xfId="3291"/>
    <cellStyle name="40% - Accent2 2 3" xfId="3292"/>
    <cellStyle name="40% - Accent2 2 3 2" xfId="3293"/>
    <cellStyle name="40% - Accent2 2 3 2 2" xfId="3294"/>
    <cellStyle name="40% - Accent2 2 3 2 2 2" xfId="3295"/>
    <cellStyle name="40% - Accent2 2 3 2 2 3" xfId="3296"/>
    <cellStyle name="40% - Accent2 2 3 2 3" xfId="3297"/>
    <cellStyle name="40% - Accent2 2 3 2 4" xfId="3298"/>
    <cellStyle name="40% - Accent2 2 3 2 5" xfId="3299"/>
    <cellStyle name="40% - Accent2 2 3 2 6" xfId="3300"/>
    <cellStyle name="40% - Accent2 2 3 3" xfId="3301"/>
    <cellStyle name="40% - Accent2 2 3 3 2" xfId="3302"/>
    <cellStyle name="40% - Accent2 2 3 3 2 2" xfId="3303"/>
    <cellStyle name="40% - Accent2 2 3 3 3" xfId="3304"/>
    <cellStyle name="40% - Accent2 2 3 3 4" xfId="3305"/>
    <cellStyle name="40% - Accent2 2 3 3 5" xfId="3306"/>
    <cellStyle name="40% - Accent2 2 3 4" xfId="3307"/>
    <cellStyle name="40% - Accent2 2 3 4 2" xfId="3308"/>
    <cellStyle name="40% - Accent2 2 3 4 3" xfId="3309"/>
    <cellStyle name="40% - Accent2 2 3 4 4" xfId="3310"/>
    <cellStyle name="40% - Accent2 2 3 5" xfId="3311"/>
    <cellStyle name="40% - Accent2 2 3 5 2" xfId="3312"/>
    <cellStyle name="40% - Accent2 2 3 6" xfId="3313"/>
    <cellStyle name="40% - Accent2 2 3 7" xfId="3314"/>
    <cellStyle name="40% - Accent2 2 3 8" xfId="3315"/>
    <cellStyle name="40% - Accent2 2 3 9" xfId="3316"/>
    <cellStyle name="40% - Accent2 2 4" xfId="3317"/>
    <cellStyle name="40% - Accent2 2 4 2" xfId="3318"/>
    <cellStyle name="40% - Accent2 2 4 2 2" xfId="3319"/>
    <cellStyle name="40% - Accent2 2 4 2 3" xfId="3320"/>
    <cellStyle name="40% - Accent2 2 4 3" xfId="3321"/>
    <cellStyle name="40% - Accent2 2 4 4" xfId="3322"/>
    <cellStyle name="40% - Accent2 2 4 5" xfId="3323"/>
    <cellStyle name="40% - Accent2 2 4 6" xfId="3324"/>
    <cellStyle name="40% - Accent2 2 5" xfId="3325"/>
    <cellStyle name="40% - Accent2 2 5 2" xfId="3326"/>
    <cellStyle name="40% - Accent2 2 5 2 2" xfId="3327"/>
    <cellStyle name="40% - Accent2 2 5 3" xfId="3328"/>
    <cellStyle name="40% - Accent2 2 5 4" xfId="3329"/>
    <cellStyle name="40% - Accent2 2 5 5" xfId="3330"/>
    <cellStyle name="40% - Accent2 2 6" xfId="3331"/>
    <cellStyle name="40% - Accent2 2 6 2" xfId="3332"/>
    <cellStyle name="40% - Accent2 2 6 2 2" xfId="3333"/>
    <cellStyle name="40% - Accent2 2 6 3" xfId="3334"/>
    <cellStyle name="40% - Accent2 2 6 4" xfId="3335"/>
    <cellStyle name="40% - Accent2 2 6 5" xfId="3336"/>
    <cellStyle name="40% - Accent2 2 7" xfId="3337"/>
    <cellStyle name="40% - Accent2 2 7 2" xfId="3338"/>
    <cellStyle name="40% - Accent2 2 8" xfId="3339"/>
    <cellStyle name="40% - Accent2 2 9" xfId="3340"/>
    <cellStyle name="40% - Accent2 3" xfId="3341"/>
    <cellStyle name="40% - Accent2 3 10" xfId="3342"/>
    <cellStyle name="40% - Accent2 3 2" xfId="3343"/>
    <cellStyle name="40% - Accent2 3 2 2" xfId="3344"/>
    <cellStyle name="40% - Accent2 3 2 2 2" xfId="3345"/>
    <cellStyle name="40% - Accent2 3 2 2 2 2" xfId="3346"/>
    <cellStyle name="40% - Accent2 3 2 2 2 3" xfId="3347"/>
    <cellStyle name="40% - Accent2 3 2 2 3" xfId="3348"/>
    <cellStyle name="40% - Accent2 3 2 2 4" xfId="3349"/>
    <cellStyle name="40% - Accent2 3 2 2 5" xfId="3350"/>
    <cellStyle name="40% - Accent2 3 2 2 6" xfId="3351"/>
    <cellStyle name="40% - Accent2 3 2 3" xfId="3352"/>
    <cellStyle name="40% - Accent2 3 2 3 2" xfId="3353"/>
    <cellStyle name="40% - Accent2 3 2 3 2 2" xfId="3354"/>
    <cellStyle name="40% - Accent2 3 2 3 3" xfId="3355"/>
    <cellStyle name="40% - Accent2 3 2 3 4" xfId="3356"/>
    <cellStyle name="40% - Accent2 3 2 3 5" xfId="3357"/>
    <cellStyle name="40% - Accent2 3 2 4" xfId="3358"/>
    <cellStyle name="40% - Accent2 3 2 4 2" xfId="3359"/>
    <cellStyle name="40% - Accent2 3 2 4 3" xfId="3360"/>
    <cellStyle name="40% - Accent2 3 2 4 4" xfId="3361"/>
    <cellStyle name="40% - Accent2 3 2 5" xfId="3362"/>
    <cellStyle name="40% - Accent2 3 2 5 2" xfId="3363"/>
    <cellStyle name="40% - Accent2 3 2 6" xfId="3364"/>
    <cellStyle name="40% - Accent2 3 2 7" xfId="3365"/>
    <cellStyle name="40% - Accent2 3 2 8" xfId="3366"/>
    <cellStyle name="40% - Accent2 3 2 9" xfId="3367"/>
    <cellStyle name="40% - Accent2 3 3" xfId="3368"/>
    <cellStyle name="40% - Accent2 3 3 2" xfId="3369"/>
    <cellStyle name="40% - Accent2 3 3 2 2" xfId="3370"/>
    <cellStyle name="40% - Accent2 3 3 2 3" xfId="3371"/>
    <cellStyle name="40% - Accent2 3 3 3" xfId="3372"/>
    <cellStyle name="40% - Accent2 3 3 4" xfId="3373"/>
    <cellStyle name="40% - Accent2 3 3 5" xfId="3374"/>
    <cellStyle name="40% - Accent2 3 3 6" xfId="3375"/>
    <cellStyle name="40% - Accent2 3 4" xfId="3376"/>
    <cellStyle name="40% - Accent2 3 4 2" xfId="3377"/>
    <cellStyle name="40% - Accent2 3 4 2 2" xfId="3378"/>
    <cellStyle name="40% - Accent2 3 4 3" xfId="3379"/>
    <cellStyle name="40% - Accent2 3 4 4" xfId="3380"/>
    <cellStyle name="40% - Accent2 3 4 5" xfId="3381"/>
    <cellStyle name="40% - Accent2 3 5" xfId="3382"/>
    <cellStyle name="40% - Accent2 3 5 2" xfId="3383"/>
    <cellStyle name="40% - Accent2 3 5 2 2" xfId="3384"/>
    <cellStyle name="40% - Accent2 3 5 3" xfId="3385"/>
    <cellStyle name="40% - Accent2 3 5 4" xfId="3386"/>
    <cellStyle name="40% - Accent2 3 5 5" xfId="3387"/>
    <cellStyle name="40% - Accent2 3 6" xfId="3388"/>
    <cellStyle name="40% - Accent2 3 6 2" xfId="3389"/>
    <cellStyle name="40% - Accent2 3 7" xfId="3390"/>
    <cellStyle name="40% - Accent2 3 8" xfId="3391"/>
    <cellStyle name="40% - Accent2 3 9" xfId="3392"/>
    <cellStyle name="40% - Accent2 4" xfId="3393"/>
    <cellStyle name="40% - Accent2 4 10" xfId="3394"/>
    <cellStyle name="40% - Accent2 4 2" xfId="3395"/>
    <cellStyle name="40% - Accent2 4 2 2" xfId="3396"/>
    <cellStyle name="40% - Accent2 4 2 2 2" xfId="3397"/>
    <cellStyle name="40% - Accent2 4 2 2 2 2" xfId="3398"/>
    <cellStyle name="40% - Accent2 4 2 2 2 3" xfId="3399"/>
    <cellStyle name="40% - Accent2 4 2 2 3" xfId="3400"/>
    <cellStyle name="40% - Accent2 4 2 2 4" xfId="3401"/>
    <cellStyle name="40% - Accent2 4 2 2 5" xfId="3402"/>
    <cellStyle name="40% - Accent2 4 2 2 6" xfId="3403"/>
    <cellStyle name="40% - Accent2 4 2 3" xfId="3404"/>
    <cellStyle name="40% - Accent2 4 2 3 2" xfId="3405"/>
    <cellStyle name="40% - Accent2 4 2 3 2 2" xfId="3406"/>
    <cellStyle name="40% - Accent2 4 2 3 3" xfId="3407"/>
    <cellStyle name="40% - Accent2 4 2 3 4" xfId="3408"/>
    <cellStyle name="40% - Accent2 4 2 3 5" xfId="3409"/>
    <cellStyle name="40% - Accent2 4 2 4" xfId="3410"/>
    <cellStyle name="40% - Accent2 4 2 4 2" xfId="3411"/>
    <cellStyle name="40% - Accent2 4 2 4 3" xfId="3412"/>
    <cellStyle name="40% - Accent2 4 2 4 4" xfId="3413"/>
    <cellStyle name="40% - Accent2 4 2 5" xfId="3414"/>
    <cellStyle name="40% - Accent2 4 2 5 2" xfId="3415"/>
    <cellStyle name="40% - Accent2 4 2 6" xfId="3416"/>
    <cellStyle name="40% - Accent2 4 2 7" xfId="3417"/>
    <cellStyle name="40% - Accent2 4 2 8" xfId="3418"/>
    <cellStyle name="40% - Accent2 4 2 9" xfId="3419"/>
    <cellStyle name="40% - Accent2 4 3" xfId="3420"/>
    <cellStyle name="40% - Accent2 4 3 2" xfId="3421"/>
    <cellStyle name="40% - Accent2 4 3 2 2" xfId="3422"/>
    <cellStyle name="40% - Accent2 4 3 2 3" xfId="3423"/>
    <cellStyle name="40% - Accent2 4 3 3" xfId="3424"/>
    <cellStyle name="40% - Accent2 4 3 4" xfId="3425"/>
    <cellStyle name="40% - Accent2 4 3 5" xfId="3426"/>
    <cellStyle name="40% - Accent2 4 3 6" xfId="3427"/>
    <cellStyle name="40% - Accent2 4 4" xfId="3428"/>
    <cellStyle name="40% - Accent2 4 4 2" xfId="3429"/>
    <cellStyle name="40% - Accent2 4 4 2 2" xfId="3430"/>
    <cellStyle name="40% - Accent2 4 4 3" xfId="3431"/>
    <cellStyle name="40% - Accent2 4 4 4" xfId="3432"/>
    <cellStyle name="40% - Accent2 4 4 5" xfId="3433"/>
    <cellStyle name="40% - Accent2 4 5" xfId="3434"/>
    <cellStyle name="40% - Accent2 4 5 2" xfId="3435"/>
    <cellStyle name="40% - Accent2 4 5 2 2" xfId="3436"/>
    <cellStyle name="40% - Accent2 4 5 3" xfId="3437"/>
    <cellStyle name="40% - Accent2 4 5 4" xfId="3438"/>
    <cellStyle name="40% - Accent2 4 5 5" xfId="3439"/>
    <cellStyle name="40% - Accent2 4 6" xfId="3440"/>
    <cellStyle name="40% - Accent2 4 6 2" xfId="3441"/>
    <cellStyle name="40% - Accent2 4 7" xfId="3442"/>
    <cellStyle name="40% - Accent2 4 8" xfId="3443"/>
    <cellStyle name="40% - Accent2 4 9" xfId="3444"/>
    <cellStyle name="40% - Accent2 5" xfId="3445"/>
    <cellStyle name="40% - Accent2 5 10" xfId="3446"/>
    <cellStyle name="40% - Accent2 5 2" xfId="3447"/>
    <cellStyle name="40% - Accent2 5 2 2" xfId="3448"/>
    <cellStyle name="40% - Accent2 5 2 2 2" xfId="3449"/>
    <cellStyle name="40% - Accent2 5 2 2 2 2" xfId="3450"/>
    <cellStyle name="40% - Accent2 5 2 2 2 3" xfId="3451"/>
    <cellStyle name="40% - Accent2 5 2 2 3" xfId="3452"/>
    <cellStyle name="40% - Accent2 5 2 2 4" xfId="3453"/>
    <cellStyle name="40% - Accent2 5 2 2 5" xfId="3454"/>
    <cellStyle name="40% - Accent2 5 2 2 6" xfId="3455"/>
    <cellStyle name="40% - Accent2 5 2 3" xfId="3456"/>
    <cellStyle name="40% - Accent2 5 2 3 2" xfId="3457"/>
    <cellStyle name="40% - Accent2 5 2 3 2 2" xfId="3458"/>
    <cellStyle name="40% - Accent2 5 2 3 3" xfId="3459"/>
    <cellStyle name="40% - Accent2 5 2 3 4" xfId="3460"/>
    <cellStyle name="40% - Accent2 5 2 3 5" xfId="3461"/>
    <cellStyle name="40% - Accent2 5 2 4" xfId="3462"/>
    <cellStyle name="40% - Accent2 5 2 4 2" xfId="3463"/>
    <cellStyle name="40% - Accent2 5 2 4 3" xfId="3464"/>
    <cellStyle name="40% - Accent2 5 2 4 4" xfId="3465"/>
    <cellStyle name="40% - Accent2 5 2 5" xfId="3466"/>
    <cellStyle name="40% - Accent2 5 2 5 2" xfId="3467"/>
    <cellStyle name="40% - Accent2 5 2 6" xfId="3468"/>
    <cellStyle name="40% - Accent2 5 2 7" xfId="3469"/>
    <cellStyle name="40% - Accent2 5 2 8" xfId="3470"/>
    <cellStyle name="40% - Accent2 5 2 9" xfId="3471"/>
    <cellStyle name="40% - Accent2 5 3" xfId="3472"/>
    <cellStyle name="40% - Accent2 5 3 2" xfId="3473"/>
    <cellStyle name="40% - Accent2 5 3 2 2" xfId="3474"/>
    <cellStyle name="40% - Accent2 5 3 2 3" xfId="3475"/>
    <cellStyle name="40% - Accent2 5 3 3" xfId="3476"/>
    <cellStyle name="40% - Accent2 5 3 4" xfId="3477"/>
    <cellStyle name="40% - Accent2 5 3 5" xfId="3478"/>
    <cellStyle name="40% - Accent2 5 3 6" xfId="3479"/>
    <cellStyle name="40% - Accent2 5 4" xfId="3480"/>
    <cellStyle name="40% - Accent2 5 4 2" xfId="3481"/>
    <cellStyle name="40% - Accent2 5 4 2 2" xfId="3482"/>
    <cellStyle name="40% - Accent2 5 4 3" xfId="3483"/>
    <cellStyle name="40% - Accent2 5 4 4" xfId="3484"/>
    <cellStyle name="40% - Accent2 5 4 5" xfId="3485"/>
    <cellStyle name="40% - Accent2 5 5" xfId="3486"/>
    <cellStyle name="40% - Accent2 5 5 2" xfId="3487"/>
    <cellStyle name="40% - Accent2 5 5 3" xfId="3488"/>
    <cellStyle name="40% - Accent2 5 5 4" xfId="3489"/>
    <cellStyle name="40% - Accent2 5 6" xfId="3490"/>
    <cellStyle name="40% - Accent2 5 6 2" xfId="3491"/>
    <cellStyle name="40% - Accent2 5 7" xfId="3492"/>
    <cellStyle name="40% - Accent2 5 8" xfId="3493"/>
    <cellStyle name="40% - Accent2 5 9" xfId="3494"/>
    <cellStyle name="40% - Accent2 6" xfId="3495"/>
    <cellStyle name="40% - Accent2 6 10" xfId="3496"/>
    <cellStyle name="40% - Accent2 6 2" xfId="3497"/>
    <cellStyle name="40% - Accent2 6 2 2" xfId="3498"/>
    <cellStyle name="40% - Accent2 6 2 2 2" xfId="3499"/>
    <cellStyle name="40% - Accent2 6 2 2 2 2" xfId="3500"/>
    <cellStyle name="40% - Accent2 6 2 2 2 3" xfId="3501"/>
    <cellStyle name="40% - Accent2 6 2 2 3" xfId="3502"/>
    <cellStyle name="40% - Accent2 6 2 2 4" xfId="3503"/>
    <cellStyle name="40% - Accent2 6 2 2 5" xfId="3504"/>
    <cellStyle name="40% - Accent2 6 2 2 6" xfId="3505"/>
    <cellStyle name="40% - Accent2 6 2 3" xfId="3506"/>
    <cellStyle name="40% - Accent2 6 2 3 2" xfId="3507"/>
    <cellStyle name="40% - Accent2 6 2 3 2 2" xfId="3508"/>
    <cellStyle name="40% - Accent2 6 2 3 3" xfId="3509"/>
    <cellStyle name="40% - Accent2 6 2 3 4" xfId="3510"/>
    <cellStyle name="40% - Accent2 6 2 3 5" xfId="3511"/>
    <cellStyle name="40% - Accent2 6 2 4" xfId="3512"/>
    <cellStyle name="40% - Accent2 6 2 4 2" xfId="3513"/>
    <cellStyle name="40% - Accent2 6 2 4 3" xfId="3514"/>
    <cellStyle name="40% - Accent2 6 2 4 4" xfId="3515"/>
    <cellStyle name="40% - Accent2 6 2 5" xfId="3516"/>
    <cellStyle name="40% - Accent2 6 2 5 2" xfId="3517"/>
    <cellStyle name="40% - Accent2 6 2 6" xfId="3518"/>
    <cellStyle name="40% - Accent2 6 2 7" xfId="3519"/>
    <cellStyle name="40% - Accent2 6 2 8" xfId="3520"/>
    <cellStyle name="40% - Accent2 6 2 9" xfId="3521"/>
    <cellStyle name="40% - Accent2 6 3" xfId="3522"/>
    <cellStyle name="40% - Accent2 6 3 2" xfId="3523"/>
    <cellStyle name="40% - Accent2 6 3 2 2" xfId="3524"/>
    <cellStyle name="40% - Accent2 6 3 2 3" xfId="3525"/>
    <cellStyle name="40% - Accent2 6 3 3" xfId="3526"/>
    <cellStyle name="40% - Accent2 6 3 4" xfId="3527"/>
    <cellStyle name="40% - Accent2 6 3 5" xfId="3528"/>
    <cellStyle name="40% - Accent2 6 3 6" xfId="3529"/>
    <cellStyle name="40% - Accent2 6 4" xfId="3530"/>
    <cellStyle name="40% - Accent2 6 4 2" xfId="3531"/>
    <cellStyle name="40% - Accent2 6 4 2 2" xfId="3532"/>
    <cellStyle name="40% - Accent2 6 4 3" xfId="3533"/>
    <cellStyle name="40% - Accent2 6 4 4" xfId="3534"/>
    <cellStyle name="40% - Accent2 6 4 5" xfId="3535"/>
    <cellStyle name="40% - Accent2 6 5" xfId="3536"/>
    <cellStyle name="40% - Accent2 6 5 2" xfId="3537"/>
    <cellStyle name="40% - Accent2 6 5 3" xfId="3538"/>
    <cellStyle name="40% - Accent2 6 5 4" xfId="3539"/>
    <cellStyle name="40% - Accent2 6 6" xfId="3540"/>
    <cellStyle name="40% - Accent2 6 6 2" xfId="3541"/>
    <cellStyle name="40% - Accent2 6 7" xfId="3542"/>
    <cellStyle name="40% - Accent2 6 8" xfId="3543"/>
    <cellStyle name="40% - Accent2 6 9" xfId="3544"/>
    <cellStyle name="40% - Accent2 7" xfId="3545"/>
    <cellStyle name="40% - Accent2 7 2" xfId="3546"/>
    <cellStyle name="40% - Accent2 7 2 2" xfId="3547"/>
    <cellStyle name="40% - Accent2 7 2 2 2" xfId="3548"/>
    <cellStyle name="40% - Accent2 7 2 2 3" xfId="3549"/>
    <cellStyle name="40% - Accent2 7 2 3" xfId="3550"/>
    <cellStyle name="40% - Accent2 7 2 4" xfId="3551"/>
    <cellStyle name="40% - Accent2 7 2 5" xfId="3552"/>
    <cellStyle name="40% - Accent2 7 2 6" xfId="3553"/>
    <cellStyle name="40% - Accent2 7 3" xfId="3554"/>
    <cellStyle name="40% - Accent2 7 3 2" xfId="3555"/>
    <cellStyle name="40% - Accent2 7 3 2 2" xfId="3556"/>
    <cellStyle name="40% - Accent2 7 3 3" xfId="3557"/>
    <cellStyle name="40% - Accent2 7 3 4" xfId="3558"/>
    <cellStyle name="40% - Accent2 7 3 5" xfId="3559"/>
    <cellStyle name="40% - Accent2 7 4" xfId="3560"/>
    <cellStyle name="40% - Accent2 7 4 2" xfId="3561"/>
    <cellStyle name="40% - Accent2 7 4 3" xfId="3562"/>
    <cellStyle name="40% - Accent2 7 4 4" xfId="3563"/>
    <cellStyle name="40% - Accent2 7 5" xfId="3564"/>
    <cellStyle name="40% - Accent2 7 5 2" xfId="3565"/>
    <cellStyle name="40% - Accent2 7 6" xfId="3566"/>
    <cellStyle name="40% - Accent2 7 7" xfId="3567"/>
    <cellStyle name="40% - Accent2 7 8" xfId="3568"/>
    <cellStyle name="40% - Accent2 7 9" xfId="3569"/>
    <cellStyle name="40% - Accent2 8" xfId="3570"/>
    <cellStyle name="40% - Accent2 8 2" xfId="3571"/>
    <cellStyle name="40% - Accent2 8 2 2" xfId="3572"/>
    <cellStyle name="40% - Accent2 8 2 2 2" xfId="3573"/>
    <cellStyle name="40% - Accent2 8 2 2 3" xfId="3574"/>
    <cellStyle name="40% - Accent2 8 2 3" xfId="3575"/>
    <cellStyle name="40% - Accent2 8 2 4" xfId="3576"/>
    <cellStyle name="40% - Accent2 8 2 5" xfId="3577"/>
    <cellStyle name="40% - Accent2 8 2 6" xfId="3578"/>
    <cellStyle name="40% - Accent2 8 3" xfId="3579"/>
    <cellStyle name="40% - Accent2 8 3 2" xfId="3580"/>
    <cellStyle name="40% - Accent2 8 3 2 2" xfId="3581"/>
    <cellStyle name="40% - Accent2 8 3 3" xfId="3582"/>
    <cellStyle name="40% - Accent2 8 3 4" xfId="3583"/>
    <cellStyle name="40% - Accent2 8 3 5" xfId="3584"/>
    <cellStyle name="40% - Accent2 8 4" xfId="3585"/>
    <cellStyle name="40% - Accent2 8 4 2" xfId="3586"/>
    <cellStyle name="40% - Accent2 8 4 3" xfId="3587"/>
    <cellStyle name="40% - Accent2 8 4 4" xfId="3588"/>
    <cellStyle name="40% - Accent2 8 5" xfId="3589"/>
    <cellStyle name="40% - Accent2 8 5 2" xfId="3590"/>
    <cellStyle name="40% - Accent2 8 6" xfId="3591"/>
    <cellStyle name="40% - Accent2 8 7" xfId="3592"/>
    <cellStyle name="40% - Accent2 8 8" xfId="3593"/>
    <cellStyle name="40% - Accent2 8 9" xfId="3594"/>
    <cellStyle name="40% - Accent2 9" xfId="3595"/>
    <cellStyle name="40% - Accent2 9 2" xfId="3596"/>
    <cellStyle name="40% - Accent2 9 2 2" xfId="3597"/>
    <cellStyle name="40% - Accent2 9 2 2 2" xfId="3598"/>
    <cellStyle name="40% - Accent2 9 2 3" xfId="3599"/>
    <cellStyle name="40% - Accent2 9 2 4" xfId="3600"/>
    <cellStyle name="40% - Accent2 9 2 5" xfId="3601"/>
    <cellStyle name="40% - Accent2 9 3" xfId="3602"/>
    <cellStyle name="40% - Accent2 9 3 2" xfId="3603"/>
    <cellStyle name="40% - Accent2 9 3 3" xfId="3604"/>
    <cellStyle name="40% - Accent2 9 3 4" xfId="3605"/>
    <cellStyle name="40% - Accent2 9 4" xfId="3606"/>
    <cellStyle name="40% - Accent2 9 4 2" xfId="3607"/>
    <cellStyle name="40% - Accent2 9 5" xfId="3608"/>
    <cellStyle name="40% - Accent2 9 6" xfId="3609"/>
    <cellStyle name="40% - Accent2 9 7" xfId="3610"/>
    <cellStyle name="40% - Accent2 9 8" xfId="3611"/>
    <cellStyle name="40% - Accent3 10" xfId="3612"/>
    <cellStyle name="40% - Accent3 10 2" xfId="3613"/>
    <cellStyle name="40% - Accent3 10 2 2" xfId="3614"/>
    <cellStyle name="40% - Accent3 10 2 2 2" xfId="3615"/>
    <cellStyle name="40% - Accent3 10 2 3" xfId="3616"/>
    <cellStyle name="40% - Accent3 10 2 4" xfId="3617"/>
    <cellStyle name="40% - Accent3 10 2 5" xfId="3618"/>
    <cellStyle name="40% - Accent3 10 3" xfId="3619"/>
    <cellStyle name="40% - Accent3 10 3 2" xfId="3620"/>
    <cellStyle name="40% - Accent3 10 3 3" xfId="3621"/>
    <cellStyle name="40% - Accent3 10 3 4" xfId="3622"/>
    <cellStyle name="40% - Accent3 10 4" xfId="3623"/>
    <cellStyle name="40% - Accent3 10 4 2" xfId="3624"/>
    <cellStyle name="40% - Accent3 10 5" xfId="3625"/>
    <cellStyle name="40% - Accent3 10 6" xfId="3626"/>
    <cellStyle name="40% - Accent3 10 7" xfId="3627"/>
    <cellStyle name="40% - Accent3 10 8" xfId="3628"/>
    <cellStyle name="40% - Accent3 11" xfId="3629"/>
    <cellStyle name="40% - Accent3 11 2" xfId="3630"/>
    <cellStyle name="40% - Accent3 11 2 2" xfId="3631"/>
    <cellStyle name="40% - Accent3 11 2 2 2" xfId="3632"/>
    <cellStyle name="40% - Accent3 11 2 3" xfId="3633"/>
    <cellStyle name="40% - Accent3 11 2 4" xfId="3634"/>
    <cellStyle name="40% - Accent3 11 2 5" xfId="3635"/>
    <cellStyle name="40% - Accent3 11 3" xfId="3636"/>
    <cellStyle name="40% - Accent3 11 3 2" xfId="3637"/>
    <cellStyle name="40% - Accent3 11 3 3" xfId="3638"/>
    <cellStyle name="40% - Accent3 11 3 4" xfId="3639"/>
    <cellStyle name="40% - Accent3 11 4" xfId="3640"/>
    <cellStyle name="40% - Accent3 11 4 2" xfId="3641"/>
    <cellStyle name="40% - Accent3 11 5" xfId="3642"/>
    <cellStyle name="40% - Accent3 11 6" xfId="3643"/>
    <cellStyle name="40% - Accent3 11 7" xfId="3644"/>
    <cellStyle name="40% - Accent3 11 8" xfId="3645"/>
    <cellStyle name="40% - Accent3 12" xfId="3646"/>
    <cellStyle name="40% - Accent3 12 2" xfId="3647"/>
    <cellStyle name="40% - Accent3 12 2 2" xfId="3648"/>
    <cellStyle name="40% - Accent3 12 2 2 2" xfId="3649"/>
    <cellStyle name="40% - Accent3 12 2 3" xfId="3650"/>
    <cellStyle name="40% - Accent3 12 2 4" xfId="3651"/>
    <cellStyle name="40% - Accent3 12 2 5" xfId="3652"/>
    <cellStyle name="40% - Accent3 12 3" xfId="3653"/>
    <cellStyle name="40% - Accent3 12 3 2" xfId="3654"/>
    <cellStyle name="40% - Accent3 12 3 3" xfId="3655"/>
    <cellStyle name="40% - Accent3 12 3 4" xfId="3656"/>
    <cellStyle name="40% - Accent3 12 4" xfId="3657"/>
    <cellStyle name="40% - Accent3 12 4 2" xfId="3658"/>
    <cellStyle name="40% - Accent3 12 5" xfId="3659"/>
    <cellStyle name="40% - Accent3 12 6" xfId="3660"/>
    <cellStyle name="40% - Accent3 12 7" xfId="3661"/>
    <cellStyle name="40% - Accent3 12 8" xfId="3662"/>
    <cellStyle name="40% - Accent3 13" xfId="3663"/>
    <cellStyle name="40% - Accent3 13 2" xfId="3664"/>
    <cellStyle name="40% - Accent3 13 2 2" xfId="3665"/>
    <cellStyle name="40% - Accent3 13 2 3" xfId="3666"/>
    <cellStyle name="40% - Accent3 13 2 4" xfId="3667"/>
    <cellStyle name="40% - Accent3 13 3" xfId="3668"/>
    <cellStyle name="40% - Accent3 13 3 2" xfId="3669"/>
    <cellStyle name="40% - Accent3 13 4" xfId="3670"/>
    <cellStyle name="40% - Accent3 13 5" xfId="3671"/>
    <cellStyle name="40% - Accent3 13 6" xfId="3672"/>
    <cellStyle name="40% - Accent3 14" xfId="3673"/>
    <cellStyle name="40% - Accent3 14 2" xfId="3674"/>
    <cellStyle name="40% - Accent3 14 2 2" xfId="3675"/>
    <cellStyle name="40% - Accent3 14 3" xfId="3676"/>
    <cellStyle name="40% - Accent3 14 4" xfId="3677"/>
    <cellStyle name="40% - Accent3 14 5" xfId="3678"/>
    <cellStyle name="40% - Accent3 15" xfId="3679"/>
    <cellStyle name="40% - Accent3 15 2" xfId="3680"/>
    <cellStyle name="40% - Accent3 15 2 2" xfId="3681"/>
    <cellStyle name="40% - Accent3 15 3" xfId="3682"/>
    <cellStyle name="40% - Accent3 15 4" xfId="3683"/>
    <cellStyle name="40% - Accent3 15 5" xfId="3684"/>
    <cellStyle name="40% - Accent3 16" xfId="3685"/>
    <cellStyle name="40% - Accent3 16 2" xfId="3686"/>
    <cellStyle name="40% - Accent3 17" xfId="3687"/>
    <cellStyle name="40% - Accent3 18" xfId="3688"/>
    <cellStyle name="40% - Accent3 19" xfId="3689"/>
    <cellStyle name="40% - Accent3 2" xfId="3690"/>
    <cellStyle name="40% - Accent3 2 10" xfId="3691"/>
    <cellStyle name="40% - Accent3 2 11" xfId="3692"/>
    <cellStyle name="40% - Accent3 2 2" xfId="3693"/>
    <cellStyle name="40% - Accent3 2 2 10" xfId="3694"/>
    <cellStyle name="40% - Accent3 2 2 2" xfId="3695"/>
    <cellStyle name="40% - Accent3 2 2 2 2" xfId="3696"/>
    <cellStyle name="40% - Accent3 2 2 2 2 2" xfId="3697"/>
    <cellStyle name="40% - Accent3 2 2 2 2 2 2" xfId="3698"/>
    <cellStyle name="40% - Accent3 2 2 2 2 2 3" xfId="3699"/>
    <cellStyle name="40% - Accent3 2 2 2 2 3" xfId="3700"/>
    <cellStyle name="40% - Accent3 2 2 2 2 4" xfId="3701"/>
    <cellStyle name="40% - Accent3 2 2 2 2 5" xfId="3702"/>
    <cellStyle name="40% - Accent3 2 2 2 2 6" xfId="3703"/>
    <cellStyle name="40% - Accent3 2 2 2 3" xfId="3704"/>
    <cellStyle name="40% - Accent3 2 2 2 3 2" xfId="3705"/>
    <cellStyle name="40% - Accent3 2 2 2 3 2 2" xfId="3706"/>
    <cellStyle name="40% - Accent3 2 2 2 3 3" xfId="3707"/>
    <cellStyle name="40% - Accent3 2 2 2 3 4" xfId="3708"/>
    <cellStyle name="40% - Accent3 2 2 2 3 5" xfId="3709"/>
    <cellStyle name="40% - Accent3 2 2 2 4" xfId="3710"/>
    <cellStyle name="40% - Accent3 2 2 2 4 2" xfId="3711"/>
    <cellStyle name="40% - Accent3 2 2 2 4 3" xfId="3712"/>
    <cellStyle name="40% - Accent3 2 2 2 4 4" xfId="3713"/>
    <cellStyle name="40% - Accent3 2 2 2 5" xfId="3714"/>
    <cellStyle name="40% - Accent3 2 2 2 5 2" xfId="3715"/>
    <cellStyle name="40% - Accent3 2 2 2 6" xfId="3716"/>
    <cellStyle name="40% - Accent3 2 2 2 7" xfId="3717"/>
    <cellStyle name="40% - Accent3 2 2 2 8" xfId="3718"/>
    <cellStyle name="40% - Accent3 2 2 2 9" xfId="3719"/>
    <cellStyle name="40% - Accent3 2 2 3" xfId="3720"/>
    <cellStyle name="40% - Accent3 2 2 3 2" xfId="3721"/>
    <cellStyle name="40% - Accent3 2 2 3 2 2" xfId="3722"/>
    <cellStyle name="40% - Accent3 2 2 3 2 3" xfId="3723"/>
    <cellStyle name="40% - Accent3 2 2 3 3" xfId="3724"/>
    <cellStyle name="40% - Accent3 2 2 3 4" xfId="3725"/>
    <cellStyle name="40% - Accent3 2 2 3 5" xfId="3726"/>
    <cellStyle name="40% - Accent3 2 2 3 6" xfId="3727"/>
    <cellStyle name="40% - Accent3 2 2 4" xfId="3728"/>
    <cellStyle name="40% - Accent3 2 2 4 2" xfId="3729"/>
    <cellStyle name="40% - Accent3 2 2 4 2 2" xfId="3730"/>
    <cellStyle name="40% - Accent3 2 2 4 3" xfId="3731"/>
    <cellStyle name="40% - Accent3 2 2 4 4" xfId="3732"/>
    <cellStyle name="40% - Accent3 2 2 4 5" xfId="3733"/>
    <cellStyle name="40% - Accent3 2 2 5" xfId="3734"/>
    <cellStyle name="40% - Accent3 2 2 5 2" xfId="3735"/>
    <cellStyle name="40% - Accent3 2 2 5 3" xfId="3736"/>
    <cellStyle name="40% - Accent3 2 2 5 4" xfId="3737"/>
    <cellStyle name="40% - Accent3 2 2 6" xfId="3738"/>
    <cellStyle name="40% - Accent3 2 2 6 2" xfId="3739"/>
    <cellStyle name="40% - Accent3 2 2 7" xfId="3740"/>
    <cellStyle name="40% - Accent3 2 2 8" xfId="3741"/>
    <cellStyle name="40% - Accent3 2 2 9" xfId="3742"/>
    <cellStyle name="40% - Accent3 2 3" xfId="3743"/>
    <cellStyle name="40% - Accent3 2 3 2" xfId="3744"/>
    <cellStyle name="40% - Accent3 2 3 2 2" xfId="3745"/>
    <cellStyle name="40% - Accent3 2 3 2 2 2" xfId="3746"/>
    <cellStyle name="40% - Accent3 2 3 2 2 3" xfId="3747"/>
    <cellStyle name="40% - Accent3 2 3 2 3" xfId="3748"/>
    <cellStyle name="40% - Accent3 2 3 2 4" xfId="3749"/>
    <cellStyle name="40% - Accent3 2 3 2 5" xfId="3750"/>
    <cellStyle name="40% - Accent3 2 3 2 6" xfId="3751"/>
    <cellStyle name="40% - Accent3 2 3 3" xfId="3752"/>
    <cellStyle name="40% - Accent3 2 3 3 2" xfId="3753"/>
    <cellStyle name="40% - Accent3 2 3 3 2 2" xfId="3754"/>
    <cellStyle name="40% - Accent3 2 3 3 3" xfId="3755"/>
    <cellStyle name="40% - Accent3 2 3 3 4" xfId="3756"/>
    <cellStyle name="40% - Accent3 2 3 3 5" xfId="3757"/>
    <cellStyle name="40% - Accent3 2 3 4" xfId="3758"/>
    <cellStyle name="40% - Accent3 2 3 4 2" xfId="3759"/>
    <cellStyle name="40% - Accent3 2 3 4 3" xfId="3760"/>
    <cellStyle name="40% - Accent3 2 3 4 4" xfId="3761"/>
    <cellStyle name="40% - Accent3 2 3 5" xfId="3762"/>
    <cellStyle name="40% - Accent3 2 3 5 2" xfId="3763"/>
    <cellStyle name="40% - Accent3 2 3 6" xfId="3764"/>
    <cellStyle name="40% - Accent3 2 3 7" xfId="3765"/>
    <cellStyle name="40% - Accent3 2 3 8" xfId="3766"/>
    <cellStyle name="40% - Accent3 2 3 9" xfId="3767"/>
    <cellStyle name="40% - Accent3 2 4" xfId="3768"/>
    <cellStyle name="40% - Accent3 2 4 2" xfId="3769"/>
    <cellStyle name="40% - Accent3 2 4 2 2" xfId="3770"/>
    <cellStyle name="40% - Accent3 2 4 2 3" xfId="3771"/>
    <cellStyle name="40% - Accent3 2 4 3" xfId="3772"/>
    <cellStyle name="40% - Accent3 2 4 4" xfId="3773"/>
    <cellStyle name="40% - Accent3 2 4 5" xfId="3774"/>
    <cellStyle name="40% - Accent3 2 4 6" xfId="3775"/>
    <cellStyle name="40% - Accent3 2 5" xfId="3776"/>
    <cellStyle name="40% - Accent3 2 5 2" xfId="3777"/>
    <cellStyle name="40% - Accent3 2 5 2 2" xfId="3778"/>
    <cellStyle name="40% - Accent3 2 5 3" xfId="3779"/>
    <cellStyle name="40% - Accent3 2 5 4" xfId="3780"/>
    <cellStyle name="40% - Accent3 2 5 5" xfId="3781"/>
    <cellStyle name="40% - Accent3 2 6" xfId="3782"/>
    <cellStyle name="40% - Accent3 2 6 2" xfId="3783"/>
    <cellStyle name="40% - Accent3 2 6 2 2" xfId="3784"/>
    <cellStyle name="40% - Accent3 2 6 3" xfId="3785"/>
    <cellStyle name="40% - Accent3 2 6 4" xfId="3786"/>
    <cellStyle name="40% - Accent3 2 6 5" xfId="3787"/>
    <cellStyle name="40% - Accent3 2 7" xfId="3788"/>
    <cellStyle name="40% - Accent3 2 7 2" xfId="3789"/>
    <cellStyle name="40% - Accent3 2 8" xfId="3790"/>
    <cellStyle name="40% - Accent3 2 9" xfId="3791"/>
    <cellStyle name="40% - Accent3 3" xfId="3792"/>
    <cellStyle name="40% - Accent3 3 10" xfId="3793"/>
    <cellStyle name="40% - Accent3 3 2" xfId="3794"/>
    <cellStyle name="40% - Accent3 3 2 2" xfId="3795"/>
    <cellStyle name="40% - Accent3 3 2 2 2" xfId="3796"/>
    <cellStyle name="40% - Accent3 3 2 2 2 2" xfId="3797"/>
    <cellStyle name="40% - Accent3 3 2 2 2 3" xfId="3798"/>
    <cellStyle name="40% - Accent3 3 2 2 3" xfId="3799"/>
    <cellStyle name="40% - Accent3 3 2 2 4" xfId="3800"/>
    <cellStyle name="40% - Accent3 3 2 2 5" xfId="3801"/>
    <cellStyle name="40% - Accent3 3 2 2 6" xfId="3802"/>
    <cellStyle name="40% - Accent3 3 2 3" xfId="3803"/>
    <cellStyle name="40% - Accent3 3 2 3 2" xfId="3804"/>
    <cellStyle name="40% - Accent3 3 2 3 2 2" xfId="3805"/>
    <cellStyle name="40% - Accent3 3 2 3 3" xfId="3806"/>
    <cellStyle name="40% - Accent3 3 2 3 4" xfId="3807"/>
    <cellStyle name="40% - Accent3 3 2 3 5" xfId="3808"/>
    <cellStyle name="40% - Accent3 3 2 4" xfId="3809"/>
    <cellStyle name="40% - Accent3 3 2 4 2" xfId="3810"/>
    <cellStyle name="40% - Accent3 3 2 4 3" xfId="3811"/>
    <cellStyle name="40% - Accent3 3 2 4 4" xfId="3812"/>
    <cellStyle name="40% - Accent3 3 2 5" xfId="3813"/>
    <cellStyle name="40% - Accent3 3 2 5 2" xfId="3814"/>
    <cellStyle name="40% - Accent3 3 2 6" xfId="3815"/>
    <cellStyle name="40% - Accent3 3 2 7" xfId="3816"/>
    <cellStyle name="40% - Accent3 3 2 8" xfId="3817"/>
    <cellStyle name="40% - Accent3 3 2 9" xfId="3818"/>
    <cellStyle name="40% - Accent3 3 3" xfId="3819"/>
    <cellStyle name="40% - Accent3 3 3 2" xfId="3820"/>
    <cellStyle name="40% - Accent3 3 3 2 2" xfId="3821"/>
    <cellStyle name="40% - Accent3 3 3 2 3" xfId="3822"/>
    <cellStyle name="40% - Accent3 3 3 3" xfId="3823"/>
    <cellStyle name="40% - Accent3 3 3 4" xfId="3824"/>
    <cellStyle name="40% - Accent3 3 3 5" xfId="3825"/>
    <cellStyle name="40% - Accent3 3 3 6" xfId="3826"/>
    <cellStyle name="40% - Accent3 3 4" xfId="3827"/>
    <cellStyle name="40% - Accent3 3 4 2" xfId="3828"/>
    <cellStyle name="40% - Accent3 3 4 2 2" xfId="3829"/>
    <cellStyle name="40% - Accent3 3 4 3" xfId="3830"/>
    <cellStyle name="40% - Accent3 3 4 4" xfId="3831"/>
    <cellStyle name="40% - Accent3 3 4 5" xfId="3832"/>
    <cellStyle name="40% - Accent3 3 5" xfId="3833"/>
    <cellStyle name="40% - Accent3 3 5 2" xfId="3834"/>
    <cellStyle name="40% - Accent3 3 5 2 2" xfId="3835"/>
    <cellStyle name="40% - Accent3 3 5 3" xfId="3836"/>
    <cellStyle name="40% - Accent3 3 5 4" xfId="3837"/>
    <cellStyle name="40% - Accent3 3 5 5" xfId="3838"/>
    <cellStyle name="40% - Accent3 3 6" xfId="3839"/>
    <cellStyle name="40% - Accent3 3 6 2" xfId="3840"/>
    <cellStyle name="40% - Accent3 3 7" xfId="3841"/>
    <cellStyle name="40% - Accent3 3 8" xfId="3842"/>
    <cellStyle name="40% - Accent3 3 9" xfId="3843"/>
    <cellStyle name="40% - Accent3 4" xfId="3844"/>
    <cellStyle name="40% - Accent3 4 10" xfId="3845"/>
    <cellStyle name="40% - Accent3 4 2" xfId="3846"/>
    <cellStyle name="40% - Accent3 4 2 2" xfId="3847"/>
    <cellStyle name="40% - Accent3 4 2 2 2" xfId="3848"/>
    <cellStyle name="40% - Accent3 4 2 2 2 2" xfId="3849"/>
    <cellStyle name="40% - Accent3 4 2 2 2 3" xfId="3850"/>
    <cellStyle name="40% - Accent3 4 2 2 3" xfId="3851"/>
    <cellStyle name="40% - Accent3 4 2 2 4" xfId="3852"/>
    <cellStyle name="40% - Accent3 4 2 2 5" xfId="3853"/>
    <cellStyle name="40% - Accent3 4 2 2 6" xfId="3854"/>
    <cellStyle name="40% - Accent3 4 2 3" xfId="3855"/>
    <cellStyle name="40% - Accent3 4 2 3 2" xfId="3856"/>
    <cellStyle name="40% - Accent3 4 2 3 2 2" xfId="3857"/>
    <cellStyle name="40% - Accent3 4 2 3 3" xfId="3858"/>
    <cellStyle name="40% - Accent3 4 2 3 4" xfId="3859"/>
    <cellStyle name="40% - Accent3 4 2 3 5" xfId="3860"/>
    <cellStyle name="40% - Accent3 4 2 4" xfId="3861"/>
    <cellStyle name="40% - Accent3 4 2 4 2" xfId="3862"/>
    <cellStyle name="40% - Accent3 4 2 4 3" xfId="3863"/>
    <cellStyle name="40% - Accent3 4 2 4 4" xfId="3864"/>
    <cellStyle name="40% - Accent3 4 2 5" xfId="3865"/>
    <cellStyle name="40% - Accent3 4 2 5 2" xfId="3866"/>
    <cellStyle name="40% - Accent3 4 2 6" xfId="3867"/>
    <cellStyle name="40% - Accent3 4 2 7" xfId="3868"/>
    <cellStyle name="40% - Accent3 4 2 8" xfId="3869"/>
    <cellStyle name="40% - Accent3 4 2 9" xfId="3870"/>
    <cellStyle name="40% - Accent3 4 3" xfId="3871"/>
    <cellStyle name="40% - Accent3 4 3 2" xfId="3872"/>
    <cellStyle name="40% - Accent3 4 3 2 2" xfId="3873"/>
    <cellStyle name="40% - Accent3 4 3 2 3" xfId="3874"/>
    <cellStyle name="40% - Accent3 4 3 3" xfId="3875"/>
    <cellStyle name="40% - Accent3 4 3 4" xfId="3876"/>
    <cellStyle name="40% - Accent3 4 3 5" xfId="3877"/>
    <cellStyle name="40% - Accent3 4 3 6" xfId="3878"/>
    <cellStyle name="40% - Accent3 4 4" xfId="3879"/>
    <cellStyle name="40% - Accent3 4 4 2" xfId="3880"/>
    <cellStyle name="40% - Accent3 4 4 2 2" xfId="3881"/>
    <cellStyle name="40% - Accent3 4 4 3" xfId="3882"/>
    <cellStyle name="40% - Accent3 4 4 4" xfId="3883"/>
    <cellStyle name="40% - Accent3 4 4 5" xfId="3884"/>
    <cellStyle name="40% - Accent3 4 5" xfId="3885"/>
    <cellStyle name="40% - Accent3 4 5 2" xfId="3886"/>
    <cellStyle name="40% - Accent3 4 5 2 2" xfId="3887"/>
    <cellStyle name="40% - Accent3 4 5 3" xfId="3888"/>
    <cellStyle name="40% - Accent3 4 5 4" xfId="3889"/>
    <cellStyle name="40% - Accent3 4 5 5" xfId="3890"/>
    <cellStyle name="40% - Accent3 4 6" xfId="3891"/>
    <cellStyle name="40% - Accent3 4 6 2" xfId="3892"/>
    <cellStyle name="40% - Accent3 4 7" xfId="3893"/>
    <cellStyle name="40% - Accent3 4 8" xfId="3894"/>
    <cellStyle name="40% - Accent3 4 9" xfId="3895"/>
    <cellStyle name="40% - Accent3 5" xfId="3896"/>
    <cellStyle name="40% - Accent3 5 10" xfId="3897"/>
    <cellStyle name="40% - Accent3 5 2" xfId="3898"/>
    <cellStyle name="40% - Accent3 5 2 2" xfId="3899"/>
    <cellStyle name="40% - Accent3 5 2 2 2" xfId="3900"/>
    <cellStyle name="40% - Accent3 5 2 2 2 2" xfId="3901"/>
    <cellStyle name="40% - Accent3 5 2 2 2 3" xfId="3902"/>
    <cellStyle name="40% - Accent3 5 2 2 3" xfId="3903"/>
    <cellStyle name="40% - Accent3 5 2 2 4" xfId="3904"/>
    <cellStyle name="40% - Accent3 5 2 2 5" xfId="3905"/>
    <cellStyle name="40% - Accent3 5 2 2 6" xfId="3906"/>
    <cellStyle name="40% - Accent3 5 2 3" xfId="3907"/>
    <cellStyle name="40% - Accent3 5 2 3 2" xfId="3908"/>
    <cellStyle name="40% - Accent3 5 2 3 2 2" xfId="3909"/>
    <cellStyle name="40% - Accent3 5 2 3 3" xfId="3910"/>
    <cellStyle name="40% - Accent3 5 2 3 4" xfId="3911"/>
    <cellStyle name="40% - Accent3 5 2 3 5" xfId="3912"/>
    <cellStyle name="40% - Accent3 5 2 4" xfId="3913"/>
    <cellStyle name="40% - Accent3 5 2 4 2" xfId="3914"/>
    <cellStyle name="40% - Accent3 5 2 4 3" xfId="3915"/>
    <cellStyle name="40% - Accent3 5 2 4 4" xfId="3916"/>
    <cellStyle name="40% - Accent3 5 2 5" xfId="3917"/>
    <cellStyle name="40% - Accent3 5 2 5 2" xfId="3918"/>
    <cellStyle name="40% - Accent3 5 2 6" xfId="3919"/>
    <cellStyle name="40% - Accent3 5 2 7" xfId="3920"/>
    <cellStyle name="40% - Accent3 5 2 8" xfId="3921"/>
    <cellStyle name="40% - Accent3 5 2 9" xfId="3922"/>
    <cellStyle name="40% - Accent3 5 3" xfId="3923"/>
    <cellStyle name="40% - Accent3 5 3 2" xfId="3924"/>
    <cellStyle name="40% - Accent3 5 3 2 2" xfId="3925"/>
    <cellStyle name="40% - Accent3 5 3 2 3" xfId="3926"/>
    <cellStyle name="40% - Accent3 5 3 3" xfId="3927"/>
    <cellStyle name="40% - Accent3 5 3 4" xfId="3928"/>
    <cellStyle name="40% - Accent3 5 3 5" xfId="3929"/>
    <cellStyle name="40% - Accent3 5 3 6" xfId="3930"/>
    <cellStyle name="40% - Accent3 5 4" xfId="3931"/>
    <cellStyle name="40% - Accent3 5 4 2" xfId="3932"/>
    <cellStyle name="40% - Accent3 5 4 2 2" xfId="3933"/>
    <cellStyle name="40% - Accent3 5 4 3" xfId="3934"/>
    <cellStyle name="40% - Accent3 5 4 4" xfId="3935"/>
    <cellStyle name="40% - Accent3 5 4 5" xfId="3936"/>
    <cellStyle name="40% - Accent3 5 5" xfId="3937"/>
    <cellStyle name="40% - Accent3 5 5 2" xfId="3938"/>
    <cellStyle name="40% - Accent3 5 5 3" xfId="3939"/>
    <cellStyle name="40% - Accent3 5 5 4" xfId="3940"/>
    <cellStyle name="40% - Accent3 5 6" xfId="3941"/>
    <cellStyle name="40% - Accent3 5 6 2" xfId="3942"/>
    <cellStyle name="40% - Accent3 5 7" xfId="3943"/>
    <cellStyle name="40% - Accent3 5 8" xfId="3944"/>
    <cellStyle name="40% - Accent3 5 9" xfId="3945"/>
    <cellStyle name="40% - Accent3 6" xfId="3946"/>
    <cellStyle name="40% - Accent3 6 10" xfId="3947"/>
    <cellStyle name="40% - Accent3 6 2" xfId="3948"/>
    <cellStyle name="40% - Accent3 6 2 2" xfId="3949"/>
    <cellStyle name="40% - Accent3 6 2 2 2" xfId="3950"/>
    <cellStyle name="40% - Accent3 6 2 2 2 2" xfId="3951"/>
    <cellStyle name="40% - Accent3 6 2 2 2 3" xfId="3952"/>
    <cellStyle name="40% - Accent3 6 2 2 3" xfId="3953"/>
    <cellStyle name="40% - Accent3 6 2 2 4" xfId="3954"/>
    <cellStyle name="40% - Accent3 6 2 2 5" xfId="3955"/>
    <cellStyle name="40% - Accent3 6 2 2 6" xfId="3956"/>
    <cellStyle name="40% - Accent3 6 2 3" xfId="3957"/>
    <cellStyle name="40% - Accent3 6 2 3 2" xfId="3958"/>
    <cellStyle name="40% - Accent3 6 2 3 2 2" xfId="3959"/>
    <cellStyle name="40% - Accent3 6 2 3 3" xfId="3960"/>
    <cellStyle name="40% - Accent3 6 2 3 4" xfId="3961"/>
    <cellStyle name="40% - Accent3 6 2 3 5" xfId="3962"/>
    <cellStyle name="40% - Accent3 6 2 4" xfId="3963"/>
    <cellStyle name="40% - Accent3 6 2 4 2" xfId="3964"/>
    <cellStyle name="40% - Accent3 6 2 4 3" xfId="3965"/>
    <cellStyle name="40% - Accent3 6 2 4 4" xfId="3966"/>
    <cellStyle name="40% - Accent3 6 2 5" xfId="3967"/>
    <cellStyle name="40% - Accent3 6 2 5 2" xfId="3968"/>
    <cellStyle name="40% - Accent3 6 2 6" xfId="3969"/>
    <cellStyle name="40% - Accent3 6 2 7" xfId="3970"/>
    <cellStyle name="40% - Accent3 6 2 8" xfId="3971"/>
    <cellStyle name="40% - Accent3 6 2 9" xfId="3972"/>
    <cellStyle name="40% - Accent3 6 3" xfId="3973"/>
    <cellStyle name="40% - Accent3 6 3 2" xfId="3974"/>
    <cellStyle name="40% - Accent3 6 3 2 2" xfId="3975"/>
    <cellStyle name="40% - Accent3 6 3 2 3" xfId="3976"/>
    <cellStyle name="40% - Accent3 6 3 3" xfId="3977"/>
    <cellStyle name="40% - Accent3 6 3 4" xfId="3978"/>
    <cellStyle name="40% - Accent3 6 3 5" xfId="3979"/>
    <cellStyle name="40% - Accent3 6 3 6" xfId="3980"/>
    <cellStyle name="40% - Accent3 6 4" xfId="3981"/>
    <cellStyle name="40% - Accent3 6 4 2" xfId="3982"/>
    <cellStyle name="40% - Accent3 6 4 2 2" xfId="3983"/>
    <cellStyle name="40% - Accent3 6 4 3" xfId="3984"/>
    <cellStyle name="40% - Accent3 6 4 4" xfId="3985"/>
    <cellStyle name="40% - Accent3 6 4 5" xfId="3986"/>
    <cellStyle name="40% - Accent3 6 5" xfId="3987"/>
    <cellStyle name="40% - Accent3 6 5 2" xfId="3988"/>
    <cellStyle name="40% - Accent3 6 5 3" xfId="3989"/>
    <cellStyle name="40% - Accent3 6 5 4" xfId="3990"/>
    <cellStyle name="40% - Accent3 6 6" xfId="3991"/>
    <cellStyle name="40% - Accent3 6 6 2" xfId="3992"/>
    <cellStyle name="40% - Accent3 6 7" xfId="3993"/>
    <cellStyle name="40% - Accent3 6 8" xfId="3994"/>
    <cellStyle name="40% - Accent3 6 9" xfId="3995"/>
    <cellStyle name="40% - Accent3 7" xfId="3996"/>
    <cellStyle name="40% - Accent3 7 2" xfId="3997"/>
    <cellStyle name="40% - Accent3 7 2 2" xfId="3998"/>
    <cellStyle name="40% - Accent3 7 2 2 2" xfId="3999"/>
    <cellStyle name="40% - Accent3 7 2 2 3" xfId="4000"/>
    <cellStyle name="40% - Accent3 7 2 3" xfId="4001"/>
    <cellStyle name="40% - Accent3 7 2 4" xfId="4002"/>
    <cellStyle name="40% - Accent3 7 2 5" xfId="4003"/>
    <cellStyle name="40% - Accent3 7 2 6" xfId="4004"/>
    <cellStyle name="40% - Accent3 7 3" xfId="4005"/>
    <cellStyle name="40% - Accent3 7 3 2" xfId="4006"/>
    <cellStyle name="40% - Accent3 7 3 2 2" xfId="4007"/>
    <cellStyle name="40% - Accent3 7 3 3" xfId="4008"/>
    <cellStyle name="40% - Accent3 7 3 4" xfId="4009"/>
    <cellStyle name="40% - Accent3 7 3 5" xfId="4010"/>
    <cellStyle name="40% - Accent3 7 4" xfId="4011"/>
    <cellStyle name="40% - Accent3 7 4 2" xfId="4012"/>
    <cellStyle name="40% - Accent3 7 4 3" xfId="4013"/>
    <cellStyle name="40% - Accent3 7 4 4" xfId="4014"/>
    <cellStyle name="40% - Accent3 7 5" xfId="4015"/>
    <cellStyle name="40% - Accent3 7 5 2" xfId="4016"/>
    <cellStyle name="40% - Accent3 7 6" xfId="4017"/>
    <cellStyle name="40% - Accent3 7 7" xfId="4018"/>
    <cellStyle name="40% - Accent3 7 8" xfId="4019"/>
    <cellStyle name="40% - Accent3 7 9" xfId="4020"/>
    <cellStyle name="40% - Accent3 8" xfId="4021"/>
    <cellStyle name="40% - Accent3 8 2" xfId="4022"/>
    <cellStyle name="40% - Accent3 8 2 2" xfId="4023"/>
    <cellStyle name="40% - Accent3 8 2 2 2" xfId="4024"/>
    <cellStyle name="40% - Accent3 8 2 2 3" xfId="4025"/>
    <cellStyle name="40% - Accent3 8 2 3" xfId="4026"/>
    <cellStyle name="40% - Accent3 8 2 4" xfId="4027"/>
    <cellStyle name="40% - Accent3 8 2 5" xfId="4028"/>
    <cellStyle name="40% - Accent3 8 2 6" xfId="4029"/>
    <cellStyle name="40% - Accent3 8 3" xfId="4030"/>
    <cellStyle name="40% - Accent3 8 3 2" xfId="4031"/>
    <cellStyle name="40% - Accent3 8 3 2 2" xfId="4032"/>
    <cellStyle name="40% - Accent3 8 3 3" xfId="4033"/>
    <cellStyle name="40% - Accent3 8 3 4" xfId="4034"/>
    <cellStyle name="40% - Accent3 8 3 5" xfId="4035"/>
    <cellStyle name="40% - Accent3 8 4" xfId="4036"/>
    <cellStyle name="40% - Accent3 8 4 2" xfId="4037"/>
    <cellStyle name="40% - Accent3 8 4 3" xfId="4038"/>
    <cellStyle name="40% - Accent3 8 4 4" xfId="4039"/>
    <cellStyle name="40% - Accent3 8 5" xfId="4040"/>
    <cellStyle name="40% - Accent3 8 5 2" xfId="4041"/>
    <cellStyle name="40% - Accent3 8 6" xfId="4042"/>
    <cellStyle name="40% - Accent3 8 7" xfId="4043"/>
    <cellStyle name="40% - Accent3 8 8" xfId="4044"/>
    <cellStyle name="40% - Accent3 8 9" xfId="4045"/>
    <cellStyle name="40% - Accent3 9" xfId="4046"/>
    <cellStyle name="40% - Accent3 9 2" xfId="4047"/>
    <cellStyle name="40% - Accent3 9 2 2" xfId="4048"/>
    <cellStyle name="40% - Accent3 9 2 2 2" xfId="4049"/>
    <cellStyle name="40% - Accent3 9 2 3" xfId="4050"/>
    <cellStyle name="40% - Accent3 9 2 4" xfId="4051"/>
    <cellStyle name="40% - Accent3 9 2 5" xfId="4052"/>
    <cellStyle name="40% - Accent3 9 3" xfId="4053"/>
    <cellStyle name="40% - Accent3 9 3 2" xfId="4054"/>
    <cellStyle name="40% - Accent3 9 3 3" xfId="4055"/>
    <cellStyle name="40% - Accent3 9 3 4" xfId="4056"/>
    <cellStyle name="40% - Accent3 9 4" xfId="4057"/>
    <cellStyle name="40% - Accent3 9 4 2" xfId="4058"/>
    <cellStyle name="40% - Accent3 9 5" xfId="4059"/>
    <cellStyle name="40% - Accent3 9 6" xfId="4060"/>
    <cellStyle name="40% - Accent3 9 7" xfId="4061"/>
    <cellStyle name="40% - Accent3 9 8" xfId="4062"/>
    <cellStyle name="40% - Accent4 10" xfId="4063"/>
    <cellStyle name="40% - Accent4 10 2" xfId="4064"/>
    <cellStyle name="40% - Accent4 10 2 2" xfId="4065"/>
    <cellStyle name="40% - Accent4 10 2 2 2" xfId="4066"/>
    <cellStyle name="40% - Accent4 10 2 3" xfId="4067"/>
    <cellStyle name="40% - Accent4 10 2 4" xfId="4068"/>
    <cellStyle name="40% - Accent4 10 2 5" xfId="4069"/>
    <cellStyle name="40% - Accent4 10 3" xfId="4070"/>
    <cellStyle name="40% - Accent4 10 3 2" xfId="4071"/>
    <cellStyle name="40% - Accent4 10 3 3" xfId="4072"/>
    <cellStyle name="40% - Accent4 10 3 4" xfId="4073"/>
    <cellStyle name="40% - Accent4 10 4" xfId="4074"/>
    <cellStyle name="40% - Accent4 10 4 2" xfId="4075"/>
    <cellStyle name="40% - Accent4 10 5" xfId="4076"/>
    <cellStyle name="40% - Accent4 10 6" xfId="4077"/>
    <cellStyle name="40% - Accent4 10 7" xfId="4078"/>
    <cellStyle name="40% - Accent4 10 8" xfId="4079"/>
    <cellStyle name="40% - Accent4 11" xfId="4080"/>
    <cellStyle name="40% - Accent4 11 2" xfId="4081"/>
    <cellStyle name="40% - Accent4 11 2 2" xfId="4082"/>
    <cellStyle name="40% - Accent4 11 2 2 2" xfId="4083"/>
    <cellStyle name="40% - Accent4 11 2 3" xfId="4084"/>
    <cellStyle name="40% - Accent4 11 2 4" xfId="4085"/>
    <cellStyle name="40% - Accent4 11 2 5" xfId="4086"/>
    <cellStyle name="40% - Accent4 11 3" xfId="4087"/>
    <cellStyle name="40% - Accent4 11 3 2" xfId="4088"/>
    <cellStyle name="40% - Accent4 11 3 3" xfId="4089"/>
    <cellStyle name="40% - Accent4 11 3 4" xfId="4090"/>
    <cellStyle name="40% - Accent4 11 4" xfId="4091"/>
    <cellStyle name="40% - Accent4 11 4 2" xfId="4092"/>
    <cellStyle name="40% - Accent4 11 5" xfId="4093"/>
    <cellStyle name="40% - Accent4 11 6" xfId="4094"/>
    <cellStyle name="40% - Accent4 11 7" xfId="4095"/>
    <cellStyle name="40% - Accent4 11 8" xfId="4096"/>
    <cellStyle name="40% - Accent4 12" xfId="4097"/>
    <cellStyle name="40% - Accent4 12 2" xfId="4098"/>
    <cellStyle name="40% - Accent4 12 2 2" xfId="4099"/>
    <cellStyle name="40% - Accent4 12 2 2 2" xfId="4100"/>
    <cellStyle name="40% - Accent4 12 2 3" xfId="4101"/>
    <cellStyle name="40% - Accent4 12 2 4" xfId="4102"/>
    <cellStyle name="40% - Accent4 12 2 5" xfId="4103"/>
    <cellStyle name="40% - Accent4 12 3" xfId="4104"/>
    <cellStyle name="40% - Accent4 12 3 2" xfId="4105"/>
    <cellStyle name="40% - Accent4 12 3 3" xfId="4106"/>
    <cellStyle name="40% - Accent4 12 3 4" xfId="4107"/>
    <cellStyle name="40% - Accent4 12 4" xfId="4108"/>
    <cellStyle name="40% - Accent4 12 4 2" xfId="4109"/>
    <cellStyle name="40% - Accent4 12 5" xfId="4110"/>
    <cellStyle name="40% - Accent4 12 6" xfId="4111"/>
    <cellStyle name="40% - Accent4 12 7" xfId="4112"/>
    <cellStyle name="40% - Accent4 12 8" xfId="4113"/>
    <cellStyle name="40% - Accent4 13" xfId="4114"/>
    <cellStyle name="40% - Accent4 13 2" xfId="4115"/>
    <cellStyle name="40% - Accent4 13 2 2" xfId="4116"/>
    <cellStyle name="40% - Accent4 13 2 3" xfId="4117"/>
    <cellStyle name="40% - Accent4 13 2 4" xfId="4118"/>
    <cellStyle name="40% - Accent4 13 3" xfId="4119"/>
    <cellStyle name="40% - Accent4 13 3 2" xfId="4120"/>
    <cellStyle name="40% - Accent4 13 4" xfId="4121"/>
    <cellStyle name="40% - Accent4 13 5" xfId="4122"/>
    <cellStyle name="40% - Accent4 13 6" xfId="4123"/>
    <cellStyle name="40% - Accent4 14" xfId="4124"/>
    <cellStyle name="40% - Accent4 14 2" xfId="4125"/>
    <cellStyle name="40% - Accent4 14 2 2" xfId="4126"/>
    <cellStyle name="40% - Accent4 14 3" xfId="4127"/>
    <cellStyle name="40% - Accent4 14 4" xfId="4128"/>
    <cellStyle name="40% - Accent4 14 5" xfId="4129"/>
    <cellStyle name="40% - Accent4 15" xfId="4130"/>
    <cellStyle name="40% - Accent4 15 2" xfId="4131"/>
    <cellStyle name="40% - Accent4 15 2 2" xfId="4132"/>
    <cellStyle name="40% - Accent4 15 3" xfId="4133"/>
    <cellStyle name="40% - Accent4 15 4" xfId="4134"/>
    <cellStyle name="40% - Accent4 15 5" xfId="4135"/>
    <cellStyle name="40% - Accent4 16" xfId="4136"/>
    <cellStyle name="40% - Accent4 16 2" xfId="4137"/>
    <cellStyle name="40% - Accent4 17" xfId="4138"/>
    <cellStyle name="40% - Accent4 18" xfId="4139"/>
    <cellStyle name="40% - Accent4 19" xfId="4140"/>
    <cellStyle name="40% - Accent4 2" xfId="4141"/>
    <cellStyle name="40% - Accent4 2 10" xfId="4142"/>
    <cellStyle name="40% - Accent4 2 11" xfId="4143"/>
    <cellStyle name="40% - Accent4 2 2" xfId="4144"/>
    <cellStyle name="40% - Accent4 2 2 10" xfId="4145"/>
    <cellStyle name="40% - Accent4 2 2 2" xfId="4146"/>
    <cellStyle name="40% - Accent4 2 2 2 2" xfId="4147"/>
    <cellStyle name="40% - Accent4 2 2 2 2 2" xfId="4148"/>
    <cellStyle name="40% - Accent4 2 2 2 2 2 2" xfId="4149"/>
    <cellStyle name="40% - Accent4 2 2 2 2 2 3" xfId="4150"/>
    <cellStyle name="40% - Accent4 2 2 2 2 3" xfId="4151"/>
    <cellStyle name="40% - Accent4 2 2 2 2 4" xfId="4152"/>
    <cellStyle name="40% - Accent4 2 2 2 2 5" xfId="4153"/>
    <cellStyle name="40% - Accent4 2 2 2 2 6" xfId="4154"/>
    <cellStyle name="40% - Accent4 2 2 2 3" xfId="4155"/>
    <cellStyle name="40% - Accent4 2 2 2 3 2" xfId="4156"/>
    <cellStyle name="40% - Accent4 2 2 2 3 2 2" xfId="4157"/>
    <cellStyle name="40% - Accent4 2 2 2 3 3" xfId="4158"/>
    <cellStyle name="40% - Accent4 2 2 2 3 4" xfId="4159"/>
    <cellStyle name="40% - Accent4 2 2 2 3 5" xfId="4160"/>
    <cellStyle name="40% - Accent4 2 2 2 4" xfId="4161"/>
    <cellStyle name="40% - Accent4 2 2 2 4 2" xfId="4162"/>
    <cellStyle name="40% - Accent4 2 2 2 4 3" xfId="4163"/>
    <cellStyle name="40% - Accent4 2 2 2 4 4" xfId="4164"/>
    <cellStyle name="40% - Accent4 2 2 2 5" xfId="4165"/>
    <cellStyle name="40% - Accent4 2 2 2 5 2" xfId="4166"/>
    <cellStyle name="40% - Accent4 2 2 2 6" xfId="4167"/>
    <cellStyle name="40% - Accent4 2 2 2 7" xfId="4168"/>
    <cellStyle name="40% - Accent4 2 2 2 8" xfId="4169"/>
    <cellStyle name="40% - Accent4 2 2 2 9" xfId="4170"/>
    <cellStyle name="40% - Accent4 2 2 3" xfId="4171"/>
    <cellStyle name="40% - Accent4 2 2 3 2" xfId="4172"/>
    <cellStyle name="40% - Accent4 2 2 3 2 2" xfId="4173"/>
    <cellStyle name="40% - Accent4 2 2 3 2 3" xfId="4174"/>
    <cellStyle name="40% - Accent4 2 2 3 3" xfId="4175"/>
    <cellStyle name="40% - Accent4 2 2 3 4" xfId="4176"/>
    <cellStyle name="40% - Accent4 2 2 3 5" xfId="4177"/>
    <cellStyle name="40% - Accent4 2 2 3 6" xfId="4178"/>
    <cellStyle name="40% - Accent4 2 2 4" xfId="4179"/>
    <cellStyle name="40% - Accent4 2 2 4 2" xfId="4180"/>
    <cellStyle name="40% - Accent4 2 2 4 2 2" xfId="4181"/>
    <cellStyle name="40% - Accent4 2 2 4 3" xfId="4182"/>
    <cellStyle name="40% - Accent4 2 2 4 4" xfId="4183"/>
    <cellStyle name="40% - Accent4 2 2 4 5" xfId="4184"/>
    <cellStyle name="40% - Accent4 2 2 5" xfId="4185"/>
    <cellStyle name="40% - Accent4 2 2 5 2" xfId="4186"/>
    <cellStyle name="40% - Accent4 2 2 5 3" xfId="4187"/>
    <cellStyle name="40% - Accent4 2 2 5 4" xfId="4188"/>
    <cellStyle name="40% - Accent4 2 2 6" xfId="4189"/>
    <cellStyle name="40% - Accent4 2 2 6 2" xfId="4190"/>
    <cellStyle name="40% - Accent4 2 2 7" xfId="4191"/>
    <cellStyle name="40% - Accent4 2 2 8" xfId="4192"/>
    <cellStyle name="40% - Accent4 2 2 9" xfId="4193"/>
    <cellStyle name="40% - Accent4 2 3" xfId="4194"/>
    <cellStyle name="40% - Accent4 2 3 2" xfId="4195"/>
    <cellStyle name="40% - Accent4 2 3 2 2" xfId="4196"/>
    <cellStyle name="40% - Accent4 2 3 2 2 2" xfId="4197"/>
    <cellStyle name="40% - Accent4 2 3 2 2 3" xfId="4198"/>
    <cellStyle name="40% - Accent4 2 3 2 3" xfId="4199"/>
    <cellStyle name="40% - Accent4 2 3 2 4" xfId="4200"/>
    <cellStyle name="40% - Accent4 2 3 2 5" xfId="4201"/>
    <cellStyle name="40% - Accent4 2 3 2 6" xfId="4202"/>
    <cellStyle name="40% - Accent4 2 3 3" xfId="4203"/>
    <cellStyle name="40% - Accent4 2 3 3 2" xfId="4204"/>
    <cellStyle name="40% - Accent4 2 3 3 2 2" xfId="4205"/>
    <cellStyle name="40% - Accent4 2 3 3 3" xfId="4206"/>
    <cellStyle name="40% - Accent4 2 3 3 4" xfId="4207"/>
    <cellStyle name="40% - Accent4 2 3 3 5" xfId="4208"/>
    <cellStyle name="40% - Accent4 2 3 4" xfId="4209"/>
    <cellStyle name="40% - Accent4 2 3 4 2" xfId="4210"/>
    <cellStyle name="40% - Accent4 2 3 4 3" xfId="4211"/>
    <cellStyle name="40% - Accent4 2 3 4 4" xfId="4212"/>
    <cellStyle name="40% - Accent4 2 3 5" xfId="4213"/>
    <cellStyle name="40% - Accent4 2 3 5 2" xfId="4214"/>
    <cellStyle name="40% - Accent4 2 3 6" xfId="4215"/>
    <cellStyle name="40% - Accent4 2 3 7" xfId="4216"/>
    <cellStyle name="40% - Accent4 2 3 8" xfId="4217"/>
    <cellStyle name="40% - Accent4 2 3 9" xfId="4218"/>
    <cellStyle name="40% - Accent4 2 4" xfId="4219"/>
    <cellStyle name="40% - Accent4 2 4 2" xfId="4220"/>
    <cellStyle name="40% - Accent4 2 4 2 2" xfId="4221"/>
    <cellStyle name="40% - Accent4 2 4 2 3" xfId="4222"/>
    <cellStyle name="40% - Accent4 2 4 3" xfId="4223"/>
    <cellStyle name="40% - Accent4 2 4 4" xfId="4224"/>
    <cellStyle name="40% - Accent4 2 4 5" xfId="4225"/>
    <cellStyle name="40% - Accent4 2 4 6" xfId="4226"/>
    <cellStyle name="40% - Accent4 2 5" xfId="4227"/>
    <cellStyle name="40% - Accent4 2 5 2" xfId="4228"/>
    <cellStyle name="40% - Accent4 2 5 2 2" xfId="4229"/>
    <cellStyle name="40% - Accent4 2 5 3" xfId="4230"/>
    <cellStyle name="40% - Accent4 2 5 4" xfId="4231"/>
    <cellStyle name="40% - Accent4 2 5 5" xfId="4232"/>
    <cellStyle name="40% - Accent4 2 6" xfId="4233"/>
    <cellStyle name="40% - Accent4 2 6 2" xfId="4234"/>
    <cellStyle name="40% - Accent4 2 6 2 2" xfId="4235"/>
    <cellStyle name="40% - Accent4 2 6 3" xfId="4236"/>
    <cellStyle name="40% - Accent4 2 6 4" xfId="4237"/>
    <cellStyle name="40% - Accent4 2 6 5" xfId="4238"/>
    <cellStyle name="40% - Accent4 2 7" xfId="4239"/>
    <cellStyle name="40% - Accent4 2 7 2" xfId="4240"/>
    <cellStyle name="40% - Accent4 2 8" xfId="4241"/>
    <cellStyle name="40% - Accent4 2 9" xfId="4242"/>
    <cellStyle name="40% - Accent4 3" xfId="4243"/>
    <cellStyle name="40% - Accent4 3 10" xfId="4244"/>
    <cellStyle name="40% - Accent4 3 2" xfId="4245"/>
    <cellStyle name="40% - Accent4 3 2 2" xfId="4246"/>
    <cellStyle name="40% - Accent4 3 2 2 2" xfId="4247"/>
    <cellStyle name="40% - Accent4 3 2 2 2 2" xfId="4248"/>
    <cellStyle name="40% - Accent4 3 2 2 2 3" xfId="4249"/>
    <cellStyle name="40% - Accent4 3 2 2 3" xfId="4250"/>
    <cellStyle name="40% - Accent4 3 2 2 4" xfId="4251"/>
    <cellStyle name="40% - Accent4 3 2 2 5" xfId="4252"/>
    <cellStyle name="40% - Accent4 3 2 2 6" xfId="4253"/>
    <cellStyle name="40% - Accent4 3 2 3" xfId="4254"/>
    <cellStyle name="40% - Accent4 3 2 3 2" xfId="4255"/>
    <cellStyle name="40% - Accent4 3 2 3 2 2" xfId="4256"/>
    <cellStyle name="40% - Accent4 3 2 3 3" xfId="4257"/>
    <cellStyle name="40% - Accent4 3 2 3 4" xfId="4258"/>
    <cellStyle name="40% - Accent4 3 2 3 5" xfId="4259"/>
    <cellStyle name="40% - Accent4 3 2 4" xfId="4260"/>
    <cellStyle name="40% - Accent4 3 2 4 2" xfId="4261"/>
    <cellStyle name="40% - Accent4 3 2 4 3" xfId="4262"/>
    <cellStyle name="40% - Accent4 3 2 4 4" xfId="4263"/>
    <cellStyle name="40% - Accent4 3 2 5" xfId="4264"/>
    <cellStyle name="40% - Accent4 3 2 5 2" xfId="4265"/>
    <cellStyle name="40% - Accent4 3 2 6" xfId="4266"/>
    <cellStyle name="40% - Accent4 3 2 7" xfId="4267"/>
    <cellStyle name="40% - Accent4 3 2 8" xfId="4268"/>
    <cellStyle name="40% - Accent4 3 2 9" xfId="4269"/>
    <cellStyle name="40% - Accent4 3 3" xfId="4270"/>
    <cellStyle name="40% - Accent4 3 3 2" xfId="4271"/>
    <cellStyle name="40% - Accent4 3 3 2 2" xfId="4272"/>
    <cellStyle name="40% - Accent4 3 3 2 3" xfId="4273"/>
    <cellStyle name="40% - Accent4 3 3 3" xfId="4274"/>
    <cellStyle name="40% - Accent4 3 3 4" xfId="4275"/>
    <cellStyle name="40% - Accent4 3 3 5" xfId="4276"/>
    <cellStyle name="40% - Accent4 3 3 6" xfId="4277"/>
    <cellStyle name="40% - Accent4 3 4" xfId="4278"/>
    <cellStyle name="40% - Accent4 3 4 2" xfId="4279"/>
    <cellStyle name="40% - Accent4 3 4 2 2" xfId="4280"/>
    <cellStyle name="40% - Accent4 3 4 3" xfId="4281"/>
    <cellStyle name="40% - Accent4 3 4 4" xfId="4282"/>
    <cellStyle name="40% - Accent4 3 4 5" xfId="4283"/>
    <cellStyle name="40% - Accent4 3 5" xfId="4284"/>
    <cellStyle name="40% - Accent4 3 5 2" xfId="4285"/>
    <cellStyle name="40% - Accent4 3 5 2 2" xfId="4286"/>
    <cellStyle name="40% - Accent4 3 5 3" xfId="4287"/>
    <cellStyle name="40% - Accent4 3 5 4" xfId="4288"/>
    <cellStyle name="40% - Accent4 3 5 5" xfId="4289"/>
    <cellStyle name="40% - Accent4 3 6" xfId="4290"/>
    <cellStyle name="40% - Accent4 3 6 2" xfId="4291"/>
    <cellStyle name="40% - Accent4 3 7" xfId="4292"/>
    <cellStyle name="40% - Accent4 3 8" xfId="4293"/>
    <cellStyle name="40% - Accent4 3 9" xfId="4294"/>
    <cellStyle name="40% - Accent4 4" xfId="4295"/>
    <cellStyle name="40% - Accent4 4 10" xfId="4296"/>
    <cellStyle name="40% - Accent4 4 2" xfId="4297"/>
    <cellStyle name="40% - Accent4 4 2 2" xfId="4298"/>
    <cellStyle name="40% - Accent4 4 2 2 2" xfId="4299"/>
    <cellStyle name="40% - Accent4 4 2 2 2 2" xfId="4300"/>
    <cellStyle name="40% - Accent4 4 2 2 2 3" xfId="4301"/>
    <cellStyle name="40% - Accent4 4 2 2 3" xfId="4302"/>
    <cellStyle name="40% - Accent4 4 2 2 4" xfId="4303"/>
    <cellStyle name="40% - Accent4 4 2 2 5" xfId="4304"/>
    <cellStyle name="40% - Accent4 4 2 2 6" xfId="4305"/>
    <cellStyle name="40% - Accent4 4 2 3" xfId="4306"/>
    <cellStyle name="40% - Accent4 4 2 3 2" xfId="4307"/>
    <cellStyle name="40% - Accent4 4 2 3 2 2" xfId="4308"/>
    <cellStyle name="40% - Accent4 4 2 3 3" xfId="4309"/>
    <cellStyle name="40% - Accent4 4 2 3 4" xfId="4310"/>
    <cellStyle name="40% - Accent4 4 2 3 5" xfId="4311"/>
    <cellStyle name="40% - Accent4 4 2 4" xfId="4312"/>
    <cellStyle name="40% - Accent4 4 2 4 2" xfId="4313"/>
    <cellStyle name="40% - Accent4 4 2 4 3" xfId="4314"/>
    <cellStyle name="40% - Accent4 4 2 4 4" xfId="4315"/>
    <cellStyle name="40% - Accent4 4 2 5" xfId="4316"/>
    <cellStyle name="40% - Accent4 4 2 5 2" xfId="4317"/>
    <cellStyle name="40% - Accent4 4 2 6" xfId="4318"/>
    <cellStyle name="40% - Accent4 4 2 7" xfId="4319"/>
    <cellStyle name="40% - Accent4 4 2 8" xfId="4320"/>
    <cellStyle name="40% - Accent4 4 2 9" xfId="4321"/>
    <cellStyle name="40% - Accent4 4 3" xfId="4322"/>
    <cellStyle name="40% - Accent4 4 3 2" xfId="4323"/>
    <cellStyle name="40% - Accent4 4 3 2 2" xfId="4324"/>
    <cellStyle name="40% - Accent4 4 3 2 3" xfId="4325"/>
    <cellStyle name="40% - Accent4 4 3 3" xfId="4326"/>
    <cellStyle name="40% - Accent4 4 3 4" xfId="4327"/>
    <cellStyle name="40% - Accent4 4 3 5" xfId="4328"/>
    <cellStyle name="40% - Accent4 4 3 6" xfId="4329"/>
    <cellStyle name="40% - Accent4 4 4" xfId="4330"/>
    <cellStyle name="40% - Accent4 4 4 2" xfId="4331"/>
    <cellStyle name="40% - Accent4 4 4 2 2" xfId="4332"/>
    <cellStyle name="40% - Accent4 4 4 3" xfId="4333"/>
    <cellStyle name="40% - Accent4 4 4 4" xfId="4334"/>
    <cellStyle name="40% - Accent4 4 4 5" xfId="4335"/>
    <cellStyle name="40% - Accent4 4 5" xfId="4336"/>
    <cellStyle name="40% - Accent4 4 5 2" xfId="4337"/>
    <cellStyle name="40% - Accent4 4 5 2 2" xfId="4338"/>
    <cellStyle name="40% - Accent4 4 5 3" xfId="4339"/>
    <cellStyle name="40% - Accent4 4 5 4" xfId="4340"/>
    <cellStyle name="40% - Accent4 4 5 5" xfId="4341"/>
    <cellStyle name="40% - Accent4 4 6" xfId="4342"/>
    <cellStyle name="40% - Accent4 4 6 2" xfId="4343"/>
    <cellStyle name="40% - Accent4 4 7" xfId="4344"/>
    <cellStyle name="40% - Accent4 4 8" xfId="4345"/>
    <cellStyle name="40% - Accent4 4 9" xfId="4346"/>
    <cellStyle name="40% - Accent4 5" xfId="4347"/>
    <cellStyle name="40% - Accent4 5 10" xfId="4348"/>
    <cellStyle name="40% - Accent4 5 2" xfId="4349"/>
    <cellStyle name="40% - Accent4 5 2 2" xfId="4350"/>
    <cellStyle name="40% - Accent4 5 2 2 2" xfId="4351"/>
    <cellStyle name="40% - Accent4 5 2 2 2 2" xfId="4352"/>
    <cellStyle name="40% - Accent4 5 2 2 2 3" xfId="4353"/>
    <cellStyle name="40% - Accent4 5 2 2 3" xfId="4354"/>
    <cellStyle name="40% - Accent4 5 2 2 4" xfId="4355"/>
    <cellStyle name="40% - Accent4 5 2 2 5" xfId="4356"/>
    <cellStyle name="40% - Accent4 5 2 2 6" xfId="4357"/>
    <cellStyle name="40% - Accent4 5 2 3" xfId="4358"/>
    <cellStyle name="40% - Accent4 5 2 3 2" xfId="4359"/>
    <cellStyle name="40% - Accent4 5 2 3 2 2" xfId="4360"/>
    <cellStyle name="40% - Accent4 5 2 3 3" xfId="4361"/>
    <cellStyle name="40% - Accent4 5 2 3 4" xfId="4362"/>
    <cellStyle name="40% - Accent4 5 2 3 5" xfId="4363"/>
    <cellStyle name="40% - Accent4 5 2 4" xfId="4364"/>
    <cellStyle name="40% - Accent4 5 2 4 2" xfId="4365"/>
    <cellStyle name="40% - Accent4 5 2 4 3" xfId="4366"/>
    <cellStyle name="40% - Accent4 5 2 4 4" xfId="4367"/>
    <cellStyle name="40% - Accent4 5 2 5" xfId="4368"/>
    <cellStyle name="40% - Accent4 5 2 5 2" xfId="4369"/>
    <cellStyle name="40% - Accent4 5 2 6" xfId="4370"/>
    <cellStyle name="40% - Accent4 5 2 7" xfId="4371"/>
    <cellStyle name="40% - Accent4 5 2 8" xfId="4372"/>
    <cellStyle name="40% - Accent4 5 2 9" xfId="4373"/>
    <cellStyle name="40% - Accent4 5 3" xfId="4374"/>
    <cellStyle name="40% - Accent4 5 3 2" xfId="4375"/>
    <cellStyle name="40% - Accent4 5 3 2 2" xfId="4376"/>
    <cellStyle name="40% - Accent4 5 3 2 3" xfId="4377"/>
    <cellStyle name="40% - Accent4 5 3 3" xfId="4378"/>
    <cellStyle name="40% - Accent4 5 3 4" xfId="4379"/>
    <cellStyle name="40% - Accent4 5 3 5" xfId="4380"/>
    <cellStyle name="40% - Accent4 5 3 6" xfId="4381"/>
    <cellStyle name="40% - Accent4 5 4" xfId="4382"/>
    <cellStyle name="40% - Accent4 5 4 2" xfId="4383"/>
    <cellStyle name="40% - Accent4 5 4 2 2" xfId="4384"/>
    <cellStyle name="40% - Accent4 5 4 3" xfId="4385"/>
    <cellStyle name="40% - Accent4 5 4 4" xfId="4386"/>
    <cellStyle name="40% - Accent4 5 4 5" xfId="4387"/>
    <cellStyle name="40% - Accent4 5 5" xfId="4388"/>
    <cellStyle name="40% - Accent4 5 5 2" xfId="4389"/>
    <cellStyle name="40% - Accent4 5 5 3" xfId="4390"/>
    <cellStyle name="40% - Accent4 5 5 4" xfId="4391"/>
    <cellStyle name="40% - Accent4 5 6" xfId="4392"/>
    <cellStyle name="40% - Accent4 5 6 2" xfId="4393"/>
    <cellStyle name="40% - Accent4 5 7" xfId="4394"/>
    <cellStyle name="40% - Accent4 5 8" xfId="4395"/>
    <cellStyle name="40% - Accent4 5 9" xfId="4396"/>
    <cellStyle name="40% - Accent4 6" xfId="4397"/>
    <cellStyle name="40% - Accent4 6 10" xfId="4398"/>
    <cellStyle name="40% - Accent4 6 2" xfId="4399"/>
    <cellStyle name="40% - Accent4 6 2 2" xfId="4400"/>
    <cellStyle name="40% - Accent4 6 2 2 2" xfId="4401"/>
    <cellStyle name="40% - Accent4 6 2 2 2 2" xfId="4402"/>
    <cellStyle name="40% - Accent4 6 2 2 2 3" xfId="4403"/>
    <cellStyle name="40% - Accent4 6 2 2 3" xfId="4404"/>
    <cellStyle name="40% - Accent4 6 2 2 4" xfId="4405"/>
    <cellStyle name="40% - Accent4 6 2 2 5" xfId="4406"/>
    <cellStyle name="40% - Accent4 6 2 2 6" xfId="4407"/>
    <cellStyle name="40% - Accent4 6 2 3" xfId="4408"/>
    <cellStyle name="40% - Accent4 6 2 3 2" xfId="4409"/>
    <cellStyle name="40% - Accent4 6 2 3 2 2" xfId="4410"/>
    <cellStyle name="40% - Accent4 6 2 3 3" xfId="4411"/>
    <cellStyle name="40% - Accent4 6 2 3 4" xfId="4412"/>
    <cellStyle name="40% - Accent4 6 2 3 5" xfId="4413"/>
    <cellStyle name="40% - Accent4 6 2 4" xfId="4414"/>
    <cellStyle name="40% - Accent4 6 2 4 2" xfId="4415"/>
    <cellStyle name="40% - Accent4 6 2 4 3" xfId="4416"/>
    <cellStyle name="40% - Accent4 6 2 4 4" xfId="4417"/>
    <cellStyle name="40% - Accent4 6 2 5" xfId="4418"/>
    <cellStyle name="40% - Accent4 6 2 5 2" xfId="4419"/>
    <cellStyle name="40% - Accent4 6 2 6" xfId="4420"/>
    <cellStyle name="40% - Accent4 6 2 7" xfId="4421"/>
    <cellStyle name="40% - Accent4 6 2 8" xfId="4422"/>
    <cellStyle name="40% - Accent4 6 2 9" xfId="4423"/>
    <cellStyle name="40% - Accent4 6 3" xfId="4424"/>
    <cellStyle name="40% - Accent4 6 3 2" xfId="4425"/>
    <cellStyle name="40% - Accent4 6 3 2 2" xfId="4426"/>
    <cellStyle name="40% - Accent4 6 3 2 3" xfId="4427"/>
    <cellStyle name="40% - Accent4 6 3 3" xfId="4428"/>
    <cellStyle name="40% - Accent4 6 3 4" xfId="4429"/>
    <cellStyle name="40% - Accent4 6 3 5" xfId="4430"/>
    <cellStyle name="40% - Accent4 6 3 6" xfId="4431"/>
    <cellStyle name="40% - Accent4 6 4" xfId="4432"/>
    <cellStyle name="40% - Accent4 6 4 2" xfId="4433"/>
    <cellStyle name="40% - Accent4 6 4 2 2" xfId="4434"/>
    <cellStyle name="40% - Accent4 6 4 3" xfId="4435"/>
    <cellStyle name="40% - Accent4 6 4 4" xfId="4436"/>
    <cellStyle name="40% - Accent4 6 4 5" xfId="4437"/>
    <cellStyle name="40% - Accent4 6 5" xfId="4438"/>
    <cellStyle name="40% - Accent4 6 5 2" xfId="4439"/>
    <cellStyle name="40% - Accent4 6 5 3" xfId="4440"/>
    <cellStyle name="40% - Accent4 6 5 4" xfId="4441"/>
    <cellStyle name="40% - Accent4 6 6" xfId="4442"/>
    <cellStyle name="40% - Accent4 6 6 2" xfId="4443"/>
    <cellStyle name="40% - Accent4 6 7" xfId="4444"/>
    <cellStyle name="40% - Accent4 6 8" xfId="4445"/>
    <cellStyle name="40% - Accent4 6 9" xfId="4446"/>
    <cellStyle name="40% - Accent4 7" xfId="4447"/>
    <cellStyle name="40% - Accent4 7 2" xfId="4448"/>
    <cellStyle name="40% - Accent4 7 2 2" xfId="4449"/>
    <cellStyle name="40% - Accent4 7 2 2 2" xfId="4450"/>
    <cellStyle name="40% - Accent4 7 2 2 3" xfId="4451"/>
    <cellStyle name="40% - Accent4 7 2 3" xfId="4452"/>
    <cellStyle name="40% - Accent4 7 2 4" xfId="4453"/>
    <cellStyle name="40% - Accent4 7 2 5" xfId="4454"/>
    <cellStyle name="40% - Accent4 7 2 6" xfId="4455"/>
    <cellStyle name="40% - Accent4 7 3" xfId="4456"/>
    <cellStyle name="40% - Accent4 7 3 2" xfId="4457"/>
    <cellStyle name="40% - Accent4 7 3 2 2" xfId="4458"/>
    <cellStyle name="40% - Accent4 7 3 3" xfId="4459"/>
    <cellStyle name="40% - Accent4 7 3 4" xfId="4460"/>
    <cellStyle name="40% - Accent4 7 3 5" xfId="4461"/>
    <cellStyle name="40% - Accent4 7 4" xfId="4462"/>
    <cellStyle name="40% - Accent4 7 4 2" xfId="4463"/>
    <cellStyle name="40% - Accent4 7 4 3" xfId="4464"/>
    <cellStyle name="40% - Accent4 7 4 4" xfId="4465"/>
    <cellStyle name="40% - Accent4 7 5" xfId="4466"/>
    <cellStyle name="40% - Accent4 7 5 2" xfId="4467"/>
    <cellStyle name="40% - Accent4 7 6" xfId="4468"/>
    <cellStyle name="40% - Accent4 7 7" xfId="4469"/>
    <cellStyle name="40% - Accent4 7 8" xfId="4470"/>
    <cellStyle name="40% - Accent4 7 9" xfId="4471"/>
    <cellStyle name="40% - Accent4 8" xfId="4472"/>
    <cellStyle name="40% - Accent4 8 2" xfId="4473"/>
    <cellStyle name="40% - Accent4 8 2 2" xfId="4474"/>
    <cellStyle name="40% - Accent4 8 2 2 2" xfId="4475"/>
    <cellStyle name="40% - Accent4 8 2 2 3" xfId="4476"/>
    <cellStyle name="40% - Accent4 8 2 3" xfId="4477"/>
    <cellStyle name="40% - Accent4 8 2 4" xfId="4478"/>
    <cellStyle name="40% - Accent4 8 2 5" xfId="4479"/>
    <cellStyle name="40% - Accent4 8 2 6" xfId="4480"/>
    <cellStyle name="40% - Accent4 8 3" xfId="4481"/>
    <cellStyle name="40% - Accent4 8 3 2" xfId="4482"/>
    <cellStyle name="40% - Accent4 8 3 2 2" xfId="4483"/>
    <cellStyle name="40% - Accent4 8 3 3" xfId="4484"/>
    <cellStyle name="40% - Accent4 8 3 4" xfId="4485"/>
    <cellStyle name="40% - Accent4 8 3 5" xfId="4486"/>
    <cellStyle name="40% - Accent4 8 4" xfId="4487"/>
    <cellStyle name="40% - Accent4 8 4 2" xfId="4488"/>
    <cellStyle name="40% - Accent4 8 4 3" xfId="4489"/>
    <cellStyle name="40% - Accent4 8 4 4" xfId="4490"/>
    <cellStyle name="40% - Accent4 8 5" xfId="4491"/>
    <cellStyle name="40% - Accent4 8 5 2" xfId="4492"/>
    <cellStyle name="40% - Accent4 8 6" xfId="4493"/>
    <cellStyle name="40% - Accent4 8 7" xfId="4494"/>
    <cellStyle name="40% - Accent4 8 8" xfId="4495"/>
    <cellStyle name="40% - Accent4 8 9" xfId="4496"/>
    <cellStyle name="40% - Accent4 9" xfId="4497"/>
    <cellStyle name="40% - Accent4 9 2" xfId="4498"/>
    <cellStyle name="40% - Accent4 9 2 2" xfId="4499"/>
    <cellStyle name="40% - Accent4 9 2 2 2" xfId="4500"/>
    <cellStyle name="40% - Accent4 9 2 3" xfId="4501"/>
    <cellStyle name="40% - Accent4 9 2 4" xfId="4502"/>
    <cellStyle name="40% - Accent4 9 2 5" xfId="4503"/>
    <cellStyle name="40% - Accent4 9 3" xfId="4504"/>
    <cellStyle name="40% - Accent4 9 3 2" xfId="4505"/>
    <cellStyle name="40% - Accent4 9 3 3" xfId="4506"/>
    <cellStyle name="40% - Accent4 9 3 4" xfId="4507"/>
    <cellStyle name="40% - Accent4 9 4" xfId="4508"/>
    <cellStyle name="40% - Accent4 9 4 2" xfId="4509"/>
    <cellStyle name="40% - Accent4 9 5" xfId="4510"/>
    <cellStyle name="40% - Accent4 9 6" xfId="4511"/>
    <cellStyle name="40% - Accent4 9 7" xfId="4512"/>
    <cellStyle name="40% - Accent4 9 8" xfId="4513"/>
    <cellStyle name="40% - Accent5 10" xfId="4514"/>
    <cellStyle name="40% - Accent5 10 2" xfId="4515"/>
    <cellStyle name="40% - Accent5 10 2 2" xfId="4516"/>
    <cellStyle name="40% - Accent5 10 2 2 2" xfId="4517"/>
    <cellStyle name="40% - Accent5 10 2 3" xfId="4518"/>
    <cellStyle name="40% - Accent5 10 2 4" xfId="4519"/>
    <cellStyle name="40% - Accent5 10 2 5" xfId="4520"/>
    <cellStyle name="40% - Accent5 10 3" xfId="4521"/>
    <cellStyle name="40% - Accent5 10 3 2" xfId="4522"/>
    <cellStyle name="40% - Accent5 10 3 3" xfId="4523"/>
    <cellStyle name="40% - Accent5 10 3 4" xfId="4524"/>
    <cellStyle name="40% - Accent5 10 4" xfId="4525"/>
    <cellStyle name="40% - Accent5 10 4 2" xfId="4526"/>
    <cellStyle name="40% - Accent5 10 5" xfId="4527"/>
    <cellStyle name="40% - Accent5 10 6" xfId="4528"/>
    <cellStyle name="40% - Accent5 10 7" xfId="4529"/>
    <cellStyle name="40% - Accent5 10 8" xfId="4530"/>
    <cellStyle name="40% - Accent5 11" xfId="4531"/>
    <cellStyle name="40% - Accent5 11 2" xfId="4532"/>
    <cellStyle name="40% - Accent5 11 2 2" xfId="4533"/>
    <cellStyle name="40% - Accent5 11 2 2 2" xfId="4534"/>
    <cellStyle name="40% - Accent5 11 2 3" xfId="4535"/>
    <cellStyle name="40% - Accent5 11 2 4" xfId="4536"/>
    <cellStyle name="40% - Accent5 11 2 5" xfId="4537"/>
    <cellStyle name="40% - Accent5 11 3" xfId="4538"/>
    <cellStyle name="40% - Accent5 11 3 2" xfId="4539"/>
    <cellStyle name="40% - Accent5 11 3 3" xfId="4540"/>
    <cellStyle name="40% - Accent5 11 3 4" xfId="4541"/>
    <cellStyle name="40% - Accent5 11 4" xfId="4542"/>
    <cellStyle name="40% - Accent5 11 4 2" xfId="4543"/>
    <cellStyle name="40% - Accent5 11 5" xfId="4544"/>
    <cellStyle name="40% - Accent5 11 6" xfId="4545"/>
    <cellStyle name="40% - Accent5 11 7" xfId="4546"/>
    <cellStyle name="40% - Accent5 11 8" xfId="4547"/>
    <cellStyle name="40% - Accent5 12" xfId="4548"/>
    <cellStyle name="40% - Accent5 12 2" xfId="4549"/>
    <cellStyle name="40% - Accent5 12 2 2" xfId="4550"/>
    <cellStyle name="40% - Accent5 12 2 2 2" xfId="4551"/>
    <cellStyle name="40% - Accent5 12 2 3" xfId="4552"/>
    <cellStyle name="40% - Accent5 12 2 4" xfId="4553"/>
    <cellStyle name="40% - Accent5 12 2 5" xfId="4554"/>
    <cellStyle name="40% - Accent5 12 3" xfId="4555"/>
    <cellStyle name="40% - Accent5 12 3 2" xfId="4556"/>
    <cellStyle name="40% - Accent5 12 3 3" xfId="4557"/>
    <cellStyle name="40% - Accent5 12 3 4" xfId="4558"/>
    <cellStyle name="40% - Accent5 12 4" xfId="4559"/>
    <cellStyle name="40% - Accent5 12 4 2" xfId="4560"/>
    <cellStyle name="40% - Accent5 12 5" xfId="4561"/>
    <cellStyle name="40% - Accent5 12 6" xfId="4562"/>
    <cellStyle name="40% - Accent5 12 7" xfId="4563"/>
    <cellStyle name="40% - Accent5 12 8" xfId="4564"/>
    <cellStyle name="40% - Accent5 13" xfId="4565"/>
    <cellStyle name="40% - Accent5 13 2" xfId="4566"/>
    <cellStyle name="40% - Accent5 13 2 2" xfId="4567"/>
    <cellStyle name="40% - Accent5 13 2 3" xfId="4568"/>
    <cellStyle name="40% - Accent5 13 2 4" xfId="4569"/>
    <cellStyle name="40% - Accent5 13 3" xfId="4570"/>
    <cellStyle name="40% - Accent5 13 3 2" xfId="4571"/>
    <cellStyle name="40% - Accent5 13 4" xfId="4572"/>
    <cellStyle name="40% - Accent5 13 5" xfId="4573"/>
    <cellStyle name="40% - Accent5 13 6" xfId="4574"/>
    <cellStyle name="40% - Accent5 14" xfId="4575"/>
    <cellStyle name="40% - Accent5 14 2" xfId="4576"/>
    <cellStyle name="40% - Accent5 14 2 2" xfId="4577"/>
    <cellStyle name="40% - Accent5 14 3" xfId="4578"/>
    <cellStyle name="40% - Accent5 14 4" xfId="4579"/>
    <cellStyle name="40% - Accent5 14 5" xfId="4580"/>
    <cellStyle name="40% - Accent5 15" xfId="4581"/>
    <cellStyle name="40% - Accent5 15 2" xfId="4582"/>
    <cellStyle name="40% - Accent5 15 2 2" xfId="4583"/>
    <cellStyle name="40% - Accent5 15 3" xfId="4584"/>
    <cellStyle name="40% - Accent5 15 4" xfId="4585"/>
    <cellStyle name="40% - Accent5 15 5" xfId="4586"/>
    <cellStyle name="40% - Accent5 16" xfId="4587"/>
    <cellStyle name="40% - Accent5 16 2" xfId="4588"/>
    <cellStyle name="40% - Accent5 17" xfId="4589"/>
    <cellStyle name="40% - Accent5 18" xfId="4590"/>
    <cellStyle name="40% - Accent5 19" xfId="4591"/>
    <cellStyle name="40% - Accent5 2" xfId="4592"/>
    <cellStyle name="40% - Accent5 2 10" xfId="4593"/>
    <cellStyle name="40% - Accent5 2 11" xfId="4594"/>
    <cellStyle name="40% - Accent5 2 2" xfId="4595"/>
    <cellStyle name="40% - Accent5 2 2 10" xfId="4596"/>
    <cellStyle name="40% - Accent5 2 2 2" xfId="4597"/>
    <cellStyle name="40% - Accent5 2 2 2 2" xfId="4598"/>
    <cellStyle name="40% - Accent5 2 2 2 2 2" xfId="4599"/>
    <cellStyle name="40% - Accent5 2 2 2 2 2 2" xfId="4600"/>
    <cellStyle name="40% - Accent5 2 2 2 2 2 3" xfId="4601"/>
    <cellStyle name="40% - Accent5 2 2 2 2 3" xfId="4602"/>
    <cellStyle name="40% - Accent5 2 2 2 2 4" xfId="4603"/>
    <cellStyle name="40% - Accent5 2 2 2 2 5" xfId="4604"/>
    <cellStyle name="40% - Accent5 2 2 2 2 6" xfId="4605"/>
    <cellStyle name="40% - Accent5 2 2 2 3" xfId="4606"/>
    <cellStyle name="40% - Accent5 2 2 2 3 2" xfId="4607"/>
    <cellStyle name="40% - Accent5 2 2 2 3 2 2" xfId="4608"/>
    <cellStyle name="40% - Accent5 2 2 2 3 3" xfId="4609"/>
    <cellStyle name="40% - Accent5 2 2 2 3 4" xfId="4610"/>
    <cellStyle name="40% - Accent5 2 2 2 3 5" xfId="4611"/>
    <cellStyle name="40% - Accent5 2 2 2 4" xfId="4612"/>
    <cellStyle name="40% - Accent5 2 2 2 4 2" xfId="4613"/>
    <cellStyle name="40% - Accent5 2 2 2 4 3" xfId="4614"/>
    <cellStyle name="40% - Accent5 2 2 2 4 4" xfId="4615"/>
    <cellStyle name="40% - Accent5 2 2 2 5" xfId="4616"/>
    <cellStyle name="40% - Accent5 2 2 2 5 2" xfId="4617"/>
    <cellStyle name="40% - Accent5 2 2 2 6" xfId="4618"/>
    <cellStyle name="40% - Accent5 2 2 2 7" xfId="4619"/>
    <cellStyle name="40% - Accent5 2 2 2 8" xfId="4620"/>
    <cellStyle name="40% - Accent5 2 2 2 9" xfId="4621"/>
    <cellStyle name="40% - Accent5 2 2 3" xfId="4622"/>
    <cellStyle name="40% - Accent5 2 2 3 2" xfId="4623"/>
    <cellStyle name="40% - Accent5 2 2 3 2 2" xfId="4624"/>
    <cellStyle name="40% - Accent5 2 2 3 2 3" xfId="4625"/>
    <cellStyle name="40% - Accent5 2 2 3 3" xfId="4626"/>
    <cellStyle name="40% - Accent5 2 2 3 4" xfId="4627"/>
    <cellStyle name="40% - Accent5 2 2 3 5" xfId="4628"/>
    <cellStyle name="40% - Accent5 2 2 3 6" xfId="4629"/>
    <cellStyle name="40% - Accent5 2 2 4" xfId="4630"/>
    <cellStyle name="40% - Accent5 2 2 4 2" xfId="4631"/>
    <cellStyle name="40% - Accent5 2 2 4 2 2" xfId="4632"/>
    <cellStyle name="40% - Accent5 2 2 4 3" xfId="4633"/>
    <cellStyle name="40% - Accent5 2 2 4 4" xfId="4634"/>
    <cellStyle name="40% - Accent5 2 2 4 5" xfId="4635"/>
    <cellStyle name="40% - Accent5 2 2 5" xfId="4636"/>
    <cellStyle name="40% - Accent5 2 2 5 2" xfId="4637"/>
    <cellStyle name="40% - Accent5 2 2 5 3" xfId="4638"/>
    <cellStyle name="40% - Accent5 2 2 5 4" xfId="4639"/>
    <cellStyle name="40% - Accent5 2 2 6" xfId="4640"/>
    <cellStyle name="40% - Accent5 2 2 6 2" xfId="4641"/>
    <cellStyle name="40% - Accent5 2 2 7" xfId="4642"/>
    <cellStyle name="40% - Accent5 2 2 8" xfId="4643"/>
    <cellStyle name="40% - Accent5 2 2 9" xfId="4644"/>
    <cellStyle name="40% - Accent5 2 3" xfId="4645"/>
    <cellStyle name="40% - Accent5 2 3 2" xfId="4646"/>
    <cellStyle name="40% - Accent5 2 3 2 2" xfId="4647"/>
    <cellStyle name="40% - Accent5 2 3 2 2 2" xfId="4648"/>
    <cellStyle name="40% - Accent5 2 3 2 2 3" xfId="4649"/>
    <cellStyle name="40% - Accent5 2 3 2 3" xfId="4650"/>
    <cellStyle name="40% - Accent5 2 3 2 4" xfId="4651"/>
    <cellStyle name="40% - Accent5 2 3 2 5" xfId="4652"/>
    <cellStyle name="40% - Accent5 2 3 2 6" xfId="4653"/>
    <cellStyle name="40% - Accent5 2 3 3" xfId="4654"/>
    <cellStyle name="40% - Accent5 2 3 3 2" xfId="4655"/>
    <cellStyle name="40% - Accent5 2 3 3 2 2" xfId="4656"/>
    <cellStyle name="40% - Accent5 2 3 3 3" xfId="4657"/>
    <cellStyle name="40% - Accent5 2 3 3 4" xfId="4658"/>
    <cellStyle name="40% - Accent5 2 3 3 5" xfId="4659"/>
    <cellStyle name="40% - Accent5 2 3 4" xfId="4660"/>
    <cellStyle name="40% - Accent5 2 3 4 2" xfId="4661"/>
    <cellStyle name="40% - Accent5 2 3 4 3" xfId="4662"/>
    <cellStyle name="40% - Accent5 2 3 4 4" xfId="4663"/>
    <cellStyle name="40% - Accent5 2 3 5" xfId="4664"/>
    <cellStyle name="40% - Accent5 2 3 5 2" xfId="4665"/>
    <cellStyle name="40% - Accent5 2 3 6" xfId="4666"/>
    <cellStyle name="40% - Accent5 2 3 7" xfId="4667"/>
    <cellStyle name="40% - Accent5 2 3 8" xfId="4668"/>
    <cellStyle name="40% - Accent5 2 3 9" xfId="4669"/>
    <cellStyle name="40% - Accent5 2 4" xfId="4670"/>
    <cellStyle name="40% - Accent5 2 4 2" xfId="4671"/>
    <cellStyle name="40% - Accent5 2 4 2 2" xfId="4672"/>
    <cellStyle name="40% - Accent5 2 4 2 3" xfId="4673"/>
    <cellStyle name="40% - Accent5 2 4 3" xfId="4674"/>
    <cellStyle name="40% - Accent5 2 4 4" xfId="4675"/>
    <cellStyle name="40% - Accent5 2 4 5" xfId="4676"/>
    <cellStyle name="40% - Accent5 2 4 6" xfId="4677"/>
    <cellStyle name="40% - Accent5 2 5" xfId="4678"/>
    <cellStyle name="40% - Accent5 2 5 2" xfId="4679"/>
    <cellStyle name="40% - Accent5 2 5 2 2" xfId="4680"/>
    <cellStyle name="40% - Accent5 2 5 3" xfId="4681"/>
    <cellStyle name="40% - Accent5 2 5 4" xfId="4682"/>
    <cellStyle name="40% - Accent5 2 5 5" xfId="4683"/>
    <cellStyle name="40% - Accent5 2 6" xfId="4684"/>
    <cellStyle name="40% - Accent5 2 6 2" xfId="4685"/>
    <cellStyle name="40% - Accent5 2 6 2 2" xfId="4686"/>
    <cellStyle name="40% - Accent5 2 6 3" xfId="4687"/>
    <cellStyle name="40% - Accent5 2 6 4" xfId="4688"/>
    <cellStyle name="40% - Accent5 2 6 5" xfId="4689"/>
    <cellStyle name="40% - Accent5 2 7" xfId="4690"/>
    <cellStyle name="40% - Accent5 2 7 2" xfId="4691"/>
    <cellStyle name="40% - Accent5 2 8" xfId="4692"/>
    <cellStyle name="40% - Accent5 2 9" xfId="4693"/>
    <cellStyle name="40% - Accent5 3" xfId="4694"/>
    <cellStyle name="40% - Accent5 3 10" xfId="4695"/>
    <cellStyle name="40% - Accent5 3 2" xfId="4696"/>
    <cellStyle name="40% - Accent5 3 2 2" xfId="4697"/>
    <cellStyle name="40% - Accent5 3 2 2 2" xfId="4698"/>
    <cellStyle name="40% - Accent5 3 2 2 2 2" xfId="4699"/>
    <cellStyle name="40% - Accent5 3 2 2 2 3" xfId="4700"/>
    <cellStyle name="40% - Accent5 3 2 2 3" xfId="4701"/>
    <cellStyle name="40% - Accent5 3 2 2 4" xfId="4702"/>
    <cellStyle name="40% - Accent5 3 2 2 5" xfId="4703"/>
    <cellStyle name="40% - Accent5 3 2 2 6" xfId="4704"/>
    <cellStyle name="40% - Accent5 3 2 3" xfId="4705"/>
    <cellStyle name="40% - Accent5 3 2 3 2" xfId="4706"/>
    <cellStyle name="40% - Accent5 3 2 3 2 2" xfId="4707"/>
    <cellStyle name="40% - Accent5 3 2 3 3" xfId="4708"/>
    <cellStyle name="40% - Accent5 3 2 3 4" xfId="4709"/>
    <cellStyle name="40% - Accent5 3 2 3 5" xfId="4710"/>
    <cellStyle name="40% - Accent5 3 2 4" xfId="4711"/>
    <cellStyle name="40% - Accent5 3 2 4 2" xfId="4712"/>
    <cellStyle name="40% - Accent5 3 2 4 3" xfId="4713"/>
    <cellStyle name="40% - Accent5 3 2 4 4" xfId="4714"/>
    <cellStyle name="40% - Accent5 3 2 5" xfId="4715"/>
    <cellStyle name="40% - Accent5 3 2 5 2" xfId="4716"/>
    <cellStyle name="40% - Accent5 3 2 6" xfId="4717"/>
    <cellStyle name="40% - Accent5 3 2 7" xfId="4718"/>
    <cellStyle name="40% - Accent5 3 2 8" xfId="4719"/>
    <cellStyle name="40% - Accent5 3 2 9" xfId="4720"/>
    <cellStyle name="40% - Accent5 3 3" xfId="4721"/>
    <cellStyle name="40% - Accent5 3 3 2" xfId="4722"/>
    <cellStyle name="40% - Accent5 3 3 2 2" xfId="4723"/>
    <cellStyle name="40% - Accent5 3 3 2 3" xfId="4724"/>
    <cellStyle name="40% - Accent5 3 3 3" xfId="4725"/>
    <cellStyle name="40% - Accent5 3 3 4" xfId="4726"/>
    <cellStyle name="40% - Accent5 3 3 5" xfId="4727"/>
    <cellStyle name="40% - Accent5 3 3 6" xfId="4728"/>
    <cellStyle name="40% - Accent5 3 4" xfId="4729"/>
    <cellStyle name="40% - Accent5 3 4 2" xfId="4730"/>
    <cellStyle name="40% - Accent5 3 4 2 2" xfId="4731"/>
    <cellStyle name="40% - Accent5 3 4 3" xfId="4732"/>
    <cellStyle name="40% - Accent5 3 4 4" xfId="4733"/>
    <cellStyle name="40% - Accent5 3 4 5" xfId="4734"/>
    <cellStyle name="40% - Accent5 3 5" xfId="4735"/>
    <cellStyle name="40% - Accent5 3 5 2" xfId="4736"/>
    <cellStyle name="40% - Accent5 3 5 2 2" xfId="4737"/>
    <cellStyle name="40% - Accent5 3 5 3" xfId="4738"/>
    <cellStyle name="40% - Accent5 3 5 4" xfId="4739"/>
    <cellStyle name="40% - Accent5 3 5 5" xfId="4740"/>
    <cellStyle name="40% - Accent5 3 6" xfId="4741"/>
    <cellStyle name="40% - Accent5 3 6 2" xfId="4742"/>
    <cellStyle name="40% - Accent5 3 7" xfId="4743"/>
    <cellStyle name="40% - Accent5 3 8" xfId="4744"/>
    <cellStyle name="40% - Accent5 3 9" xfId="4745"/>
    <cellStyle name="40% - Accent5 4" xfId="4746"/>
    <cellStyle name="40% - Accent5 4 10" xfId="4747"/>
    <cellStyle name="40% - Accent5 4 2" xfId="4748"/>
    <cellStyle name="40% - Accent5 4 2 2" xfId="4749"/>
    <cellStyle name="40% - Accent5 4 2 2 2" xfId="4750"/>
    <cellStyle name="40% - Accent5 4 2 2 2 2" xfId="4751"/>
    <cellStyle name="40% - Accent5 4 2 2 2 3" xfId="4752"/>
    <cellStyle name="40% - Accent5 4 2 2 3" xfId="4753"/>
    <cellStyle name="40% - Accent5 4 2 2 4" xfId="4754"/>
    <cellStyle name="40% - Accent5 4 2 2 5" xfId="4755"/>
    <cellStyle name="40% - Accent5 4 2 2 6" xfId="4756"/>
    <cellStyle name="40% - Accent5 4 2 3" xfId="4757"/>
    <cellStyle name="40% - Accent5 4 2 3 2" xfId="4758"/>
    <cellStyle name="40% - Accent5 4 2 3 2 2" xfId="4759"/>
    <cellStyle name="40% - Accent5 4 2 3 3" xfId="4760"/>
    <cellStyle name="40% - Accent5 4 2 3 4" xfId="4761"/>
    <cellStyle name="40% - Accent5 4 2 3 5" xfId="4762"/>
    <cellStyle name="40% - Accent5 4 2 4" xfId="4763"/>
    <cellStyle name="40% - Accent5 4 2 4 2" xfId="4764"/>
    <cellStyle name="40% - Accent5 4 2 4 3" xfId="4765"/>
    <cellStyle name="40% - Accent5 4 2 4 4" xfId="4766"/>
    <cellStyle name="40% - Accent5 4 2 5" xfId="4767"/>
    <cellStyle name="40% - Accent5 4 2 5 2" xfId="4768"/>
    <cellStyle name="40% - Accent5 4 2 6" xfId="4769"/>
    <cellStyle name="40% - Accent5 4 2 7" xfId="4770"/>
    <cellStyle name="40% - Accent5 4 2 8" xfId="4771"/>
    <cellStyle name="40% - Accent5 4 2 9" xfId="4772"/>
    <cellStyle name="40% - Accent5 4 3" xfId="4773"/>
    <cellStyle name="40% - Accent5 4 3 2" xfId="4774"/>
    <cellStyle name="40% - Accent5 4 3 2 2" xfId="4775"/>
    <cellStyle name="40% - Accent5 4 3 2 3" xfId="4776"/>
    <cellStyle name="40% - Accent5 4 3 3" xfId="4777"/>
    <cellStyle name="40% - Accent5 4 3 4" xfId="4778"/>
    <cellStyle name="40% - Accent5 4 3 5" xfId="4779"/>
    <cellStyle name="40% - Accent5 4 3 6" xfId="4780"/>
    <cellStyle name="40% - Accent5 4 4" xfId="4781"/>
    <cellStyle name="40% - Accent5 4 4 2" xfId="4782"/>
    <cellStyle name="40% - Accent5 4 4 2 2" xfId="4783"/>
    <cellStyle name="40% - Accent5 4 4 3" xfId="4784"/>
    <cellStyle name="40% - Accent5 4 4 4" xfId="4785"/>
    <cellStyle name="40% - Accent5 4 4 5" xfId="4786"/>
    <cellStyle name="40% - Accent5 4 5" xfId="4787"/>
    <cellStyle name="40% - Accent5 4 5 2" xfId="4788"/>
    <cellStyle name="40% - Accent5 4 5 2 2" xfId="4789"/>
    <cellStyle name="40% - Accent5 4 5 3" xfId="4790"/>
    <cellStyle name="40% - Accent5 4 5 4" xfId="4791"/>
    <cellStyle name="40% - Accent5 4 5 5" xfId="4792"/>
    <cellStyle name="40% - Accent5 4 6" xfId="4793"/>
    <cellStyle name="40% - Accent5 4 6 2" xfId="4794"/>
    <cellStyle name="40% - Accent5 4 7" xfId="4795"/>
    <cellStyle name="40% - Accent5 4 8" xfId="4796"/>
    <cellStyle name="40% - Accent5 4 9" xfId="4797"/>
    <cellStyle name="40% - Accent5 5" xfId="4798"/>
    <cellStyle name="40% - Accent5 5 10" xfId="4799"/>
    <cellStyle name="40% - Accent5 5 2" xfId="4800"/>
    <cellStyle name="40% - Accent5 5 2 2" xfId="4801"/>
    <cellStyle name="40% - Accent5 5 2 2 2" xfId="4802"/>
    <cellStyle name="40% - Accent5 5 2 2 2 2" xfId="4803"/>
    <cellStyle name="40% - Accent5 5 2 2 2 3" xfId="4804"/>
    <cellStyle name="40% - Accent5 5 2 2 3" xfId="4805"/>
    <cellStyle name="40% - Accent5 5 2 2 4" xfId="4806"/>
    <cellStyle name="40% - Accent5 5 2 2 5" xfId="4807"/>
    <cellStyle name="40% - Accent5 5 2 2 6" xfId="4808"/>
    <cellStyle name="40% - Accent5 5 2 3" xfId="4809"/>
    <cellStyle name="40% - Accent5 5 2 3 2" xfId="4810"/>
    <cellStyle name="40% - Accent5 5 2 3 2 2" xfId="4811"/>
    <cellStyle name="40% - Accent5 5 2 3 3" xfId="4812"/>
    <cellStyle name="40% - Accent5 5 2 3 4" xfId="4813"/>
    <cellStyle name="40% - Accent5 5 2 3 5" xfId="4814"/>
    <cellStyle name="40% - Accent5 5 2 4" xfId="4815"/>
    <cellStyle name="40% - Accent5 5 2 4 2" xfId="4816"/>
    <cellStyle name="40% - Accent5 5 2 4 3" xfId="4817"/>
    <cellStyle name="40% - Accent5 5 2 4 4" xfId="4818"/>
    <cellStyle name="40% - Accent5 5 2 5" xfId="4819"/>
    <cellStyle name="40% - Accent5 5 2 5 2" xfId="4820"/>
    <cellStyle name="40% - Accent5 5 2 6" xfId="4821"/>
    <cellStyle name="40% - Accent5 5 2 7" xfId="4822"/>
    <cellStyle name="40% - Accent5 5 2 8" xfId="4823"/>
    <cellStyle name="40% - Accent5 5 2 9" xfId="4824"/>
    <cellStyle name="40% - Accent5 5 3" xfId="4825"/>
    <cellStyle name="40% - Accent5 5 3 2" xfId="4826"/>
    <cellStyle name="40% - Accent5 5 3 2 2" xfId="4827"/>
    <cellStyle name="40% - Accent5 5 3 2 3" xfId="4828"/>
    <cellStyle name="40% - Accent5 5 3 3" xfId="4829"/>
    <cellStyle name="40% - Accent5 5 3 4" xfId="4830"/>
    <cellStyle name="40% - Accent5 5 3 5" xfId="4831"/>
    <cellStyle name="40% - Accent5 5 3 6" xfId="4832"/>
    <cellStyle name="40% - Accent5 5 4" xfId="4833"/>
    <cellStyle name="40% - Accent5 5 4 2" xfId="4834"/>
    <cellStyle name="40% - Accent5 5 4 2 2" xfId="4835"/>
    <cellStyle name="40% - Accent5 5 4 3" xfId="4836"/>
    <cellStyle name="40% - Accent5 5 4 4" xfId="4837"/>
    <cellStyle name="40% - Accent5 5 4 5" xfId="4838"/>
    <cellStyle name="40% - Accent5 5 5" xfId="4839"/>
    <cellStyle name="40% - Accent5 5 5 2" xfId="4840"/>
    <cellStyle name="40% - Accent5 5 5 3" xfId="4841"/>
    <cellStyle name="40% - Accent5 5 5 4" xfId="4842"/>
    <cellStyle name="40% - Accent5 5 6" xfId="4843"/>
    <cellStyle name="40% - Accent5 5 6 2" xfId="4844"/>
    <cellStyle name="40% - Accent5 5 7" xfId="4845"/>
    <cellStyle name="40% - Accent5 5 8" xfId="4846"/>
    <cellStyle name="40% - Accent5 5 9" xfId="4847"/>
    <cellStyle name="40% - Accent5 6" xfId="4848"/>
    <cellStyle name="40% - Accent5 6 10" xfId="4849"/>
    <cellStyle name="40% - Accent5 6 2" xfId="4850"/>
    <cellStyle name="40% - Accent5 6 2 2" xfId="4851"/>
    <cellStyle name="40% - Accent5 6 2 2 2" xfId="4852"/>
    <cellStyle name="40% - Accent5 6 2 2 2 2" xfId="4853"/>
    <cellStyle name="40% - Accent5 6 2 2 2 3" xfId="4854"/>
    <cellStyle name="40% - Accent5 6 2 2 3" xfId="4855"/>
    <cellStyle name="40% - Accent5 6 2 2 4" xfId="4856"/>
    <cellStyle name="40% - Accent5 6 2 2 5" xfId="4857"/>
    <cellStyle name="40% - Accent5 6 2 2 6" xfId="4858"/>
    <cellStyle name="40% - Accent5 6 2 3" xfId="4859"/>
    <cellStyle name="40% - Accent5 6 2 3 2" xfId="4860"/>
    <cellStyle name="40% - Accent5 6 2 3 2 2" xfId="4861"/>
    <cellStyle name="40% - Accent5 6 2 3 3" xfId="4862"/>
    <cellStyle name="40% - Accent5 6 2 3 4" xfId="4863"/>
    <cellStyle name="40% - Accent5 6 2 3 5" xfId="4864"/>
    <cellStyle name="40% - Accent5 6 2 4" xfId="4865"/>
    <cellStyle name="40% - Accent5 6 2 4 2" xfId="4866"/>
    <cellStyle name="40% - Accent5 6 2 4 3" xfId="4867"/>
    <cellStyle name="40% - Accent5 6 2 4 4" xfId="4868"/>
    <cellStyle name="40% - Accent5 6 2 5" xfId="4869"/>
    <cellStyle name="40% - Accent5 6 2 5 2" xfId="4870"/>
    <cellStyle name="40% - Accent5 6 2 6" xfId="4871"/>
    <cellStyle name="40% - Accent5 6 2 7" xfId="4872"/>
    <cellStyle name="40% - Accent5 6 2 8" xfId="4873"/>
    <cellStyle name="40% - Accent5 6 2 9" xfId="4874"/>
    <cellStyle name="40% - Accent5 6 3" xfId="4875"/>
    <cellStyle name="40% - Accent5 6 3 2" xfId="4876"/>
    <cellStyle name="40% - Accent5 6 3 2 2" xfId="4877"/>
    <cellStyle name="40% - Accent5 6 3 2 3" xfId="4878"/>
    <cellStyle name="40% - Accent5 6 3 3" xfId="4879"/>
    <cellStyle name="40% - Accent5 6 3 4" xfId="4880"/>
    <cellStyle name="40% - Accent5 6 3 5" xfId="4881"/>
    <cellStyle name="40% - Accent5 6 3 6" xfId="4882"/>
    <cellStyle name="40% - Accent5 6 4" xfId="4883"/>
    <cellStyle name="40% - Accent5 6 4 2" xfId="4884"/>
    <cellStyle name="40% - Accent5 6 4 2 2" xfId="4885"/>
    <cellStyle name="40% - Accent5 6 4 3" xfId="4886"/>
    <cellStyle name="40% - Accent5 6 4 4" xfId="4887"/>
    <cellStyle name="40% - Accent5 6 4 5" xfId="4888"/>
    <cellStyle name="40% - Accent5 6 5" xfId="4889"/>
    <cellStyle name="40% - Accent5 6 5 2" xfId="4890"/>
    <cellStyle name="40% - Accent5 6 5 3" xfId="4891"/>
    <cellStyle name="40% - Accent5 6 5 4" xfId="4892"/>
    <cellStyle name="40% - Accent5 6 6" xfId="4893"/>
    <cellStyle name="40% - Accent5 6 6 2" xfId="4894"/>
    <cellStyle name="40% - Accent5 6 7" xfId="4895"/>
    <cellStyle name="40% - Accent5 6 8" xfId="4896"/>
    <cellStyle name="40% - Accent5 6 9" xfId="4897"/>
    <cellStyle name="40% - Accent5 7" xfId="4898"/>
    <cellStyle name="40% - Accent5 7 2" xfId="4899"/>
    <cellStyle name="40% - Accent5 7 2 2" xfId="4900"/>
    <cellStyle name="40% - Accent5 7 2 2 2" xfId="4901"/>
    <cellStyle name="40% - Accent5 7 2 2 3" xfId="4902"/>
    <cellStyle name="40% - Accent5 7 2 3" xfId="4903"/>
    <cellStyle name="40% - Accent5 7 2 4" xfId="4904"/>
    <cellStyle name="40% - Accent5 7 2 5" xfId="4905"/>
    <cellStyle name="40% - Accent5 7 2 6" xfId="4906"/>
    <cellStyle name="40% - Accent5 7 3" xfId="4907"/>
    <cellStyle name="40% - Accent5 7 3 2" xfId="4908"/>
    <cellStyle name="40% - Accent5 7 3 2 2" xfId="4909"/>
    <cellStyle name="40% - Accent5 7 3 3" xfId="4910"/>
    <cellStyle name="40% - Accent5 7 3 4" xfId="4911"/>
    <cellStyle name="40% - Accent5 7 3 5" xfId="4912"/>
    <cellStyle name="40% - Accent5 7 4" xfId="4913"/>
    <cellStyle name="40% - Accent5 7 4 2" xfId="4914"/>
    <cellStyle name="40% - Accent5 7 4 3" xfId="4915"/>
    <cellStyle name="40% - Accent5 7 4 4" xfId="4916"/>
    <cellStyle name="40% - Accent5 7 5" xfId="4917"/>
    <cellStyle name="40% - Accent5 7 5 2" xfId="4918"/>
    <cellStyle name="40% - Accent5 7 6" xfId="4919"/>
    <cellStyle name="40% - Accent5 7 7" xfId="4920"/>
    <cellStyle name="40% - Accent5 7 8" xfId="4921"/>
    <cellStyle name="40% - Accent5 7 9" xfId="4922"/>
    <cellStyle name="40% - Accent5 8" xfId="4923"/>
    <cellStyle name="40% - Accent5 8 2" xfId="4924"/>
    <cellStyle name="40% - Accent5 8 2 2" xfId="4925"/>
    <cellStyle name="40% - Accent5 8 2 2 2" xfId="4926"/>
    <cellStyle name="40% - Accent5 8 2 2 3" xfId="4927"/>
    <cellStyle name="40% - Accent5 8 2 3" xfId="4928"/>
    <cellStyle name="40% - Accent5 8 2 4" xfId="4929"/>
    <cellStyle name="40% - Accent5 8 2 5" xfId="4930"/>
    <cellStyle name="40% - Accent5 8 2 6" xfId="4931"/>
    <cellStyle name="40% - Accent5 8 3" xfId="4932"/>
    <cellStyle name="40% - Accent5 8 3 2" xfId="4933"/>
    <cellStyle name="40% - Accent5 8 3 2 2" xfId="4934"/>
    <cellStyle name="40% - Accent5 8 3 3" xfId="4935"/>
    <cellStyle name="40% - Accent5 8 3 4" xfId="4936"/>
    <cellStyle name="40% - Accent5 8 3 5" xfId="4937"/>
    <cellStyle name="40% - Accent5 8 4" xfId="4938"/>
    <cellStyle name="40% - Accent5 8 4 2" xfId="4939"/>
    <cellStyle name="40% - Accent5 8 4 3" xfId="4940"/>
    <cellStyle name="40% - Accent5 8 4 4" xfId="4941"/>
    <cellStyle name="40% - Accent5 8 5" xfId="4942"/>
    <cellStyle name="40% - Accent5 8 5 2" xfId="4943"/>
    <cellStyle name="40% - Accent5 8 6" xfId="4944"/>
    <cellStyle name="40% - Accent5 8 7" xfId="4945"/>
    <cellStyle name="40% - Accent5 8 8" xfId="4946"/>
    <cellStyle name="40% - Accent5 8 9" xfId="4947"/>
    <cellStyle name="40% - Accent5 9" xfId="4948"/>
    <cellStyle name="40% - Accent5 9 2" xfId="4949"/>
    <cellStyle name="40% - Accent5 9 2 2" xfId="4950"/>
    <cellStyle name="40% - Accent5 9 2 2 2" xfId="4951"/>
    <cellStyle name="40% - Accent5 9 2 3" xfId="4952"/>
    <cellStyle name="40% - Accent5 9 2 4" xfId="4953"/>
    <cellStyle name="40% - Accent5 9 2 5" xfId="4954"/>
    <cellStyle name="40% - Accent5 9 3" xfId="4955"/>
    <cellStyle name="40% - Accent5 9 3 2" xfId="4956"/>
    <cellStyle name="40% - Accent5 9 3 3" xfId="4957"/>
    <cellStyle name="40% - Accent5 9 3 4" xfId="4958"/>
    <cellStyle name="40% - Accent5 9 4" xfId="4959"/>
    <cellStyle name="40% - Accent5 9 4 2" xfId="4960"/>
    <cellStyle name="40% - Accent5 9 5" xfId="4961"/>
    <cellStyle name="40% - Accent5 9 6" xfId="4962"/>
    <cellStyle name="40% - Accent5 9 7" xfId="4963"/>
    <cellStyle name="40% - Accent5 9 8" xfId="4964"/>
    <cellStyle name="40% - Accent6 10" xfId="4965"/>
    <cellStyle name="40% - Accent6 10 2" xfId="4966"/>
    <cellStyle name="40% - Accent6 10 2 2" xfId="4967"/>
    <cellStyle name="40% - Accent6 10 2 2 2" xfId="4968"/>
    <cellStyle name="40% - Accent6 10 2 3" xfId="4969"/>
    <cellStyle name="40% - Accent6 10 2 4" xfId="4970"/>
    <cellStyle name="40% - Accent6 10 2 5" xfId="4971"/>
    <cellStyle name="40% - Accent6 10 3" xfId="4972"/>
    <cellStyle name="40% - Accent6 10 3 2" xfId="4973"/>
    <cellStyle name="40% - Accent6 10 3 3" xfId="4974"/>
    <cellStyle name="40% - Accent6 10 3 4" xfId="4975"/>
    <cellStyle name="40% - Accent6 10 4" xfId="4976"/>
    <cellStyle name="40% - Accent6 10 4 2" xfId="4977"/>
    <cellStyle name="40% - Accent6 10 5" xfId="4978"/>
    <cellStyle name="40% - Accent6 10 6" xfId="4979"/>
    <cellStyle name="40% - Accent6 10 7" xfId="4980"/>
    <cellStyle name="40% - Accent6 10 8" xfId="4981"/>
    <cellStyle name="40% - Accent6 11" xfId="4982"/>
    <cellStyle name="40% - Accent6 11 2" xfId="4983"/>
    <cellStyle name="40% - Accent6 11 2 2" xfId="4984"/>
    <cellStyle name="40% - Accent6 11 2 2 2" xfId="4985"/>
    <cellStyle name="40% - Accent6 11 2 3" xfId="4986"/>
    <cellStyle name="40% - Accent6 11 2 4" xfId="4987"/>
    <cellStyle name="40% - Accent6 11 2 5" xfId="4988"/>
    <cellStyle name="40% - Accent6 11 3" xfId="4989"/>
    <cellStyle name="40% - Accent6 11 3 2" xfId="4990"/>
    <cellStyle name="40% - Accent6 11 3 3" xfId="4991"/>
    <cellStyle name="40% - Accent6 11 3 4" xfId="4992"/>
    <cellStyle name="40% - Accent6 11 4" xfId="4993"/>
    <cellStyle name="40% - Accent6 11 4 2" xfId="4994"/>
    <cellStyle name="40% - Accent6 11 5" xfId="4995"/>
    <cellStyle name="40% - Accent6 11 6" xfId="4996"/>
    <cellStyle name="40% - Accent6 11 7" xfId="4997"/>
    <cellStyle name="40% - Accent6 11 8" xfId="4998"/>
    <cellStyle name="40% - Accent6 12" xfId="4999"/>
    <cellStyle name="40% - Accent6 12 2" xfId="5000"/>
    <cellStyle name="40% - Accent6 12 2 2" xfId="5001"/>
    <cellStyle name="40% - Accent6 12 2 2 2" xfId="5002"/>
    <cellStyle name="40% - Accent6 12 2 3" xfId="5003"/>
    <cellStyle name="40% - Accent6 12 2 4" xfId="5004"/>
    <cellStyle name="40% - Accent6 12 2 5" xfId="5005"/>
    <cellStyle name="40% - Accent6 12 3" xfId="5006"/>
    <cellStyle name="40% - Accent6 12 3 2" xfId="5007"/>
    <cellStyle name="40% - Accent6 12 3 3" xfId="5008"/>
    <cellStyle name="40% - Accent6 12 3 4" xfId="5009"/>
    <cellStyle name="40% - Accent6 12 4" xfId="5010"/>
    <cellStyle name="40% - Accent6 12 4 2" xfId="5011"/>
    <cellStyle name="40% - Accent6 12 5" xfId="5012"/>
    <cellStyle name="40% - Accent6 12 6" xfId="5013"/>
    <cellStyle name="40% - Accent6 12 7" xfId="5014"/>
    <cellStyle name="40% - Accent6 12 8" xfId="5015"/>
    <cellStyle name="40% - Accent6 13" xfId="5016"/>
    <cellStyle name="40% - Accent6 13 2" xfId="5017"/>
    <cellStyle name="40% - Accent6 13 2 2" xfId="5018"/>
    <cellStyle name="40% - Accent6 13 2 3" xfId="5019"/>
    <cellStyle name="40% - Accent6 13 2 4" xfId="5020"/>
    <cellStyle name="40% - Accent6 13 3" xfId="5021"/>
    <cellStyle name="40% - Accent6 13 3 2" xfId="5022"/>
    <cellStyle name="40% - Accent6 13 4" xfId="5023"/>
    <cellStyle name="40% - Accent6 13 5" xfId="5024"/>
    <cellStyle name="40% - Accent6 13 6" xfId="5025"/>
    <cellStyle name="40% - Accent6 14" xfId="5026"/>
    <cellStyle name="40% - Accent6 14 2" xfId="5027"/>
    <cellStyle name="40% - Accent6 14 2 2" xfId="5028"/>
    <cellStyle name="40% - Accent6 14 3" xfId="5029"/>
    <cellStyle name="40% - Accent6 14 4" xfId="5030"/>
    <cellStyle name="40% - Accent6 14 5" xfId="5031"/>
    <cellStyle name="40% - Accent6 15" xfId="5032"/>
    <cellStyle name="40% - Accent6 15 2" xfId="5033"/>
    <cellStyle name="40% - Accent6 15 2 2" xfId="5034"/>
    <cellStyle name="40% - Accent6 15 3" xfId="5035"/>
    <cellStyle name="40% - Accent6 15 4" xfId="5036"/>
    <cellStyle name="40% - Accent6 15 5" xfId="5037"/>
    <cellStyle name="40% - Accent6 16" xfId="5038"/>
    <cellStyle name="40% - Accent6 16 2" xfId="5039"/>
    <cellStyle name="40% - Accent6 17" xfId="5040"/>
    <cellStyle name="40% - Accent6 18" xfId="5041"/>
    <cellStyle name="40% - Accent6 19" xfId="5042"/>
    <cellStyle name="40% - Accent6 2" xfId="5043"/>
    <cellStyle name="40% - Accent6 2 10" xfId="5044"/>
    <cellStyle name="40% - Accent6 2 11" xfId="5045"/>
    <cellStyle name="40% - Accent6 2 2" xfId="5046"/>
    <cellStyle name="40% - Accent6 2 2 10" xfId="5047"/>
    <cellStyle name="40% - Accent6 2 2 2" xfId="5048"/>
    <cellStyle name="40% - Accent6 2 2 2 2" xfId="5049"/>
    <cellStyle name="40% - Accent6 2 2 2 2 2" xfId="5050"/>
    <cellStyle name="40% - Accent6 2 2 2 2 2 2" xfId="5051"/>
    <cellStyle name="40% - Accent6 2 2 2 2 2 3" xfId="5052"/>
    <cellStyle name="40% - Accent6 2 2 2 2 3" xfId="5053"/>
    <cellStyle name="40% - Accent6 2 2 2 2 4" xfId="5054"/>
    <cellStyle name="40% - Accent6 2 2 2 2 5" xfId="5055"/>
    <cellStyle name="40% - Accent6 2 2 2 2 6" xfId="5056"/>
    <cellStyle name="40% - Accent6 2 2 2 3" xfId="5057"/>
    <cellStyle name="40% - Accent6 2 2 2 3 2" xfId="5058"/>
    <cellStyle name="40% - Accent6 2 2 2 3 2 2" xfId="5059"/>
    <cellStyle name="40% - Accent6 2 2 2 3 3" xfId="5060"/>
    <cellStyle name="40% - Accent6 2 2 2 3 4" xfId="5061"/>
    <cellStyle name="40% - Accent6 2 2 2 3 5" xfId="5062"/>
    <cellStyle name="40% - Accent6 2 2 2 4" xfId="5063"/>
    <cellStyle name="40% - Accent6 2 2 2 4 2" xfId="5064"/>
    <cellStyle name="40% - Accent6 2 2 2 4 3" xfId="5065"/>
    <cellStyle name="40% - Accent6 2 2 2 4 4" xfId="5066"/>
    <cellStyle name="40% - Accent6 2 2 2 5" xfId="5067"/>
    <cellStyle name="40% - Accent6 2 2 2 5 2" xfId="5068"/>
    <cellStyle name="40% - Accent6 2 2 2 6" xfId="5069"/>
    <cellStyle name="40% - Accent6 2 2 2 7" xfId="5070"/>
    <cellStyle name="40% - Accent6 2 2 2 8" xfId="5071"/>
    <cellStyle name="40% - Accent6 2 2 2 9" xfId="5072"/>
    <cellStyle name="40% - Accent6 2 2 3" xfId="5073"/>
    <cellStyle name="40% - Accent6 2 2 3 2" xfId="5074"/>
    <cellStyle name="40% - Accent6 2 2 3 2 2" xfId="5075"/>
    <cellStyle name="40% - Accent6 2 2 3 2 3" xfId="5076"/>
    <cellStyle name="40% - Accent6 2 2 3 3" xfId="5077"/>
    <cellStyle name="40% - Accent6 2 2 3 4" xfId="5078"/>
    <cellStyle name="40% - Accent6 2 2 3 5" xfId="5079"/>
    <cellStyle name="40% - Accent6 2 2 3 6" xfId="5080"/>
    <cellStyle name="40% - Accent6 2 2 4" xfId="5081"/>
    <cellStyle name="40% - Accent6 2 2 4 2" xfId="5082"/>
    <cellStyle name="40% - Accent6 2 2 4 2 2" xfId="5083"/>
    <cellStyle name="40% - Accent6 2 2 4 3" xfId="5084"/>
    <cellStyle name="40% - Accent6 2 2 4 4" xfId="5085"/>
    <cellStyle name="40% - Accent6 2 2 4 5" xfId="5086"/>
    <cellStyle name="40% - Accent6 2 2 5" xfId="5087"/>
    <cellStyle name="40% - Accent6 2 2 5 2" xfId="5088"/>
    <cellStyle name="40% - Accent6 2 2 5 3" xfId="5089"/>
    <cellStyle name="40% - Accent6 2 2 5 4" xfId="5090"/>
    <cellStyle name="40% - Accent6 2 2 6" xfId="5091"/>
    <cellStyle name="40% - Accent6 2 2 6 2" xfId="5092"/>
    <cellStyle name="40% - Accent6 2 2 7" xfId="5093"/>
    <cellStyle name="40% - Accent6 2 2 8" xfId="5094"/>
    <cellStyle name="40% - Accent6 2 2 9" xfId="5095"/>
    <cellStyle name="40% - Accent6 2 3" xfId="5096"/>
    <cellStyle name="40% - Accent6 2 3 2" xfId="5097"/>
    <cellStyle name="40% - Accent6 2 3 2 2" xfId="5098"/>
    <cellStyle name="40% - Accent6 2 3 2 2 2" xfId="5099"/>
    <cellStyle name="40% - Accent6 2 3 2 2 3" xfId="5100"/>
    <cellStyle name="40% - Accent6 2 3 2 3" xfId="5101"/>
    <cellStyle name="40% - Accent6 2 3 2 4" xfId="5102"/>
    <cellStyle name="40% - Accent6 2 3 2 5" xfId="5103"/>
    <cellStyle name="40% - Accent6 2 3 2 6" xfId="5104"/>
    <cellStyle name="40% - Accent6 2 3 3" xfId="5105"/>
    <cellStyle name="40% - Accent6 2 3 3 2" xfId="5106"/>
    <cellStyle name="40% - Accent6 2 3 3 2 2" xfId="5107"/>
    <cellStyle name="40% - Accent6 2 3 3 3" xfId="5108"/>
    <cellStyle name="40% - Accent6 2 3 3 4" xfId="5109"/>
    <cellStyle name="40% - Accent6 2 3 3 5" xfId="5110"/>
    <cellStyle name="40% - Accent6 2 3 4" xfId="5111"/>
    <cellStyle name="40% - Accent6 2 3 4 2" xfId="5112"/>
    <cellStyle name="40% - Accent6 2 3 4 3" xfId="5113"/>
    <cellStyle name="40% - Accent6 2 3 4 4" xfId="5114"/>
    <cellStyle name="40% - Accent6 2 3 5" xfId="5115"/>
    <cellStyle name="40% - Accent6 2 3 5 2" xfId="5116"/>
    <cellStyle name="40% - Accent6 2 3 6" xfId="5117"/>
    <cellStyle name="40% - Accent6 2 3 7" xfId="5118"/>
    <cellStyle name="40% - Accent6 2 3 8" xfId="5119"/>
    <cellStyle name="40% - Accent6 2 3 9" xfId="5120"/>
    <cellStyle name="40% - Accent6 2 4" xfId="5121"/>
    <cellStyle name="40% - Accent6 2 4 2" xfId="5122"/>
    <cellStyle name="40% - Accent6 2 4 2 2" xfId="5123"/>
    <cellStyle name="40% - Accent6 2 4 2 3" xfId="5124"/>
    <cellStyle name="40% - Accent6 2 4 3" xfId="5125"/>
    <cellStyle name="40% - Accent6 2 4 4" xfId="5126"/>
    <cellStyle name="40% - Accent6 2 4 5" xfId="5127"/>
    <cellStyle name="40% - Accent6 2 4 6" xfId="5128"/>
    <cellStyle name="40% - Accent6 2 5" xfId="5129"/>
    <cellStyle name="40% - Accent6 2 5 2" xfId="5130"/>
    <cellStyle name="40% - Accent6 2 5 2 2" xfId="5131"/>
    <cellStyle name="40% - Accent6 2 5 3" xfId="5132"/>
    <cellStyle name="40% - Accent6 2 5 4" xfId="5133"/>
    <cellStyle name="40% - Accent6 2 5 5" xfId="5134"/>
    <cellStyle name="40% - Accent6 2 6" xfId="5135"/>
    <cellStyle name="40% - Accent6 2 6 2" xfId="5136"/>
    <cellStyle name="40% - Accent6 2 6 2 2" xfId="5137"/>
    <cellStyle name="40% - Accent6 2 6 3" xfId="5138"/>
    <cellStyle name="40% - Accent6 2 6 4" xfId="5139"/>
    <cellStyle name="40% - Accent6 2 6 5" xfId="5140"/>
    <cellStyle name="40% - Accent6 2 7" xfId="5141"/>
    <cellStyle name="40% - Accent6 2 7 2" xfId="5142"/>
    <cellStyle name="40% - Accent6 2 8" xfId="5143"/>
    <cellStyle name="40% - Accent6 2 9" xfId="5144"/>
    <cellStyle name="40% - Accent6 3" xfId="5145"/>
    <cellStyle name="40% - Accent6 3 10" xfId="5146"/>
    <cellStyle name="40% - Accent6 3 2" xfId="5147"/>
    <cellStyle name="40% - Accent6 3 2 2" xfId="5148"/>
    <cellStyle name="40% - Accent6 3 2 2 2" xfId="5149"/>
    <cellStyle name="40% - Accent6 3 2 2 2 2" xfId="5150"/>
    <cellStyle name="40% - Accent6 3 2 2 2 3" xfId="5151"/>
    <cellStyle name="40% - Accent6 3 2 2 3" xfId="5152"/>
    <cellStyle name="40% - Accent6 3 2 2 4" xfId="5153"/>
    <cellStyle name="40% - Accent6 3 2 2 5" xfId="5154"/>
    <cellStyle name="40% - Accent6 3 2 2 6" xfId="5155"/>
    <cellStyle name="40% - Accent6 3 2 3" xfId="5156"/>
    <cellStyle name="40% - Accent6 3 2 3 2" xfId="5157"/>
    <cellStyle name="40% - Accent6 3 2 3 2 2" xfId="5158"/>
    <cellStyle name="40% - Accent6 3 2 3 3" xfId="5159"/>
    <cellStyle name="40% - Accent6 3 2 3 4" xfId="5160"/>
    <cellStyle name="40% - Accent6 3 2 3 5" xfId="5161"/>
    <cellStyle name="40% - Accent6 3 2 4" xfId="5162"/>
    <cellStyle name="40% - Accent6 3 2 4 2" xfId="5163"/>
    <cellStyle name="40% - Accent6 3 2 4 3" xfId="5164"/>
    <cellStyle name="40% - Accent6 3 2 4 4" xfId="5165"/>
    <cellStyle name="40% - Accent6 3 2 5" xfId="5166"/>
    <cellStyle name="40% - Accent6 3 2 5 2" xfId="5167"/>
    <cellStyle name="40% - Accent6 3 2 6" xfId="5168"/>
    <cellStyle name="40% - Accent6 3 2 7" xfId="5169"/>
    <cellStyle name="40% - Accent6 3 2 8" xfId="5170"/>
    <cellStyle name="40% - Accent6 3 2 9" xfId="5171"/>
    <cellStyle name="40% - Accent6 3 3" xfId="5172"/>
    <cellStyle name="40% - Accent6 3 3 2" xfId="5173"/>
    <cellStyle name="40% - Accent6 3 3 2 2" xfId="5174"/>
    <cellStyle name="40% - Accent6 3 3 2 3" xfId="5175"/>
    <cellStyle name="40% - Accent6 3 3 3" xfId="5176"/>
    <cellStyle name="40% - Accent6 3 3 4" xfId="5177"/>
    <cellStyle name="40% - Accent6 3 3 5" xfId="5178"/>
    <cellStyle name="40% - Accent6 3 3 6" xfId="5179"/>
    <cellStyle name="40% - Accent6 3 4" xfId="5180"/>
    <cellStyle name="40% - Accent6 3 4 2" xfId="5181"/>
    <cellStyle name="40% - Accent6 3 4 2 2" xfId="5182"/>
    <cellStyle name="40% - Accent6 3 4 3" xfId="5183"/>
    <cellStyle name="40% - Accent6 3 4 4" xfId="5184"/>
    <cellStyle name="40% - Accent6 3 4 5" xfId="5185"/>
    <cellStyle name="40% - Accent6 3 5" xfId="5186"/>
    <cellStyle name="40% - Accent6 3 5 2" xfId="5187"/>
    <cellStyle name="40% - Accent6 3 5 2 2" xfId="5188"/>
    <cellStyle name="40% - Accent6 3 5 3" xfId="5189"/>
    <cellStyle name="40% - Accent6 3 5 4" xfId="5190"/>
    <cellStyle name="40% - Accent6 3 5 5" xfId="5191"/>
    <cellStyle name="40% - Accent6 3 6" xfId="5192"/>
    <cellStyle name="40% - Accent6 3 6 2" xfId="5193"/>
    <cellStyle name="40% - Accent6 3 7" xfId="5194"/>
    <cellStyle name="40% - Accent6 3 8" xfId="5195"/>
    <cellStyle name="40% - Accent6 3 9" xfId="5196"/>
    <cellStyle name="40% - Accent6 4" xfId="5197"/>
    <cellStyle name="40% - Accent6 4 10" xfId="5198"/>
    <cellStyle name="40% - Accent6 4 2" xfId="5199"/>
    <cellStyle name="40% - Accent6 4 2 2" xfId="5200"/>
    <cellStyle name="40% - Accent6 4 2 2 2" xfId="5201"/>
    <cellStyle name="40% - Accent6 4 2 2 2 2" xfId="5202"/>
    <cellStyle name="40% - Accent6 4 2 2 2 3" xfId="5203"/>
    <cellStyle name="40% - Accent6 4 2 2 3" xfId="5204"/>
    <cellStyle name="40% - Accent6 4 2 2 4" xfId="5205"/>
    <cellStyle name="40% - Accent6 4 2 2 5" xfId="5206"/>
    <cellStyle name="40% - Accent6 4 2 2 6" xfId="5207"/>
    <cellStyle name="40% - Accent6 4 2 3" xfId="5208"/>
    <cellStyle name="40% - Accent6 4 2 3 2" xfId="5209"/>
    <cellStyle name="40% - Accent6 4 2 3 2 2" xfId="5210"/>
    <cellStyle name="40% - Accent6 4 2 3 3" xfId="5211"/>
    <cellStyle name="40% - Accent6 4 2 3 4" xfId="5212"/>
    <cellStyle name="40% - Accent6 4 2 3 5" xfId="5213"/>
    <cellStyle name="40% - Accent6 4 2 4" xfId="5214"/>
    <cellStyle name="40% - Accent6 4 2 4 2" xfId="5215"/>
    <cellStyle name="40% - Accent6 4 2 4 3" xfId="5216"/>
    <cellStyle name="40% - Accent6 4 2 4 4" xfId="5217"/>
    <cellStyle name="40% - Accent6 4 2 5" xfId="5218"/>
    <cellStyle name="40% - Accent6 4 2 5 2" xfId="5219"/>
    <cellStyle name="40% - Accent6 4 2 6" xfId="5220"/>
    <cellStyle name="40% - Accent6 4 2 7" xfId="5221"/>
    <cellStyle name="40% - Accent6 4 2 8" xfId="5222"/>
    <cellStyle name="40% - Accent6 4 2 9" xfId="5223"/>
    <cellStyle name="40% - Accent6 4 3" xfId="5224"/>
    <cellStyle name="40% - Accent6 4 3 2" xfId="5225"/>
    <cellStyle name="40% - Accent6 4 3 2 2" xfId="5226"/>
    <cellStyle name="40% - Accent6 4 3 2 3" xfId="5227"/>
    <cellStyle name="40% - Accent6 4 3 3" xfId="5228"/>
    <cellStyle name="40% - Accent6 4 3 4" xfId="5229"/>
    <cellStyle name="40% - Accent6 4 3 5" xfId="5230"/>
    <cellStyle name="40% - Accent6 4 3 6" xfId="5231"/>
    <cellStyle name="40% - Accent6 4 4" xfId="5232"/>
    <cellStyle name="40% - Accent6 4 4 2" xfId="5233"/>
    <cellStyle name="40% - Accent6 4 4 2 2" xfId="5234"/>
    <cellStyle name="40% - Accent6 4 4 3" xfId="5235"/>
    <cellStyle name="40% - Accent6 4 4 4" xfId="5236"/>
    <cellStyle name="40% - Accent6 4 4 5" xfId="5237"/>
    <cellStyle name="40% - Accent6 4 5" xfId="5238"/>
    <cellStyle name="40% - Accent6 4 5 2" xfId="5239"/>
    <cellStyle name="40% - Accent6 4 5 2 2" xfId="5240"/>
    <cellStyle name="40% - Accent6 4 5 3" xfId="5241"/>
    <cellStyle name="40% - Accent6 4 5 4" xfId="5242"/>
    <cellStyle name="40% - Accent6 4 5 5" xfId="5243"/>
    <cellStyle name="40% - Accent6 4 6" xfId="5244"/>
    <cellStyle name="40% - Accent6 4 6 2" xfId="5245"/>
    <cellStyle name="40% - Accent6 4 7" xfId="5246"/>
    <cellStyle name="40% - Accent6 4 8" xfId="5247"/>
    <cellStyle name="40% - Accent6 4 9" xfId="5248"/>
    <cellStyle name="40% - Accent6 5" xfId="5249"/>
    <cellStyle name="40% - Accent6 5 10" xfId="5250"/>
    <cellStyle name="40% - Accent6 5 2" xfId="5251"/>
    <cellStyle name="40% - Accent6 5 2 2" xfId="5252"/>
    <cellStyle name="40% - Accent6 5 2 2 2" xfId="5253"/>
    <cellStyle name="40% - Accent6 5 2 2 2 2" xfId="5254"/>
    <cellStyle name="40% - Accent6 5 2 2 2 3" xfId="5255"/>
    <cellStyle name="40% - Accent6 5 2 2 3" xfId="5256"/>
    <cellStyle name="40% - Accent6 5 2 2 4" xfId="5257"/>
    <cellStyle name="40% - Accent6 5 2 2 5" xfId="5258"/>
    <cellStyle name="40% - Accent6 5 2 2 6" xfId="5259"/>
    <cellStyle name="40% - Accent6 5 2 3" xfId="5260"/>
    <cellStyle name="40% - Accent6 5 2 3 2" xfId="5261"/>
    <cellStyle name="40% - Accent6 5 2 3 2 2" xfId="5262"/>
    <cellStyle name="40% - Accent6 5 2 3 3" xfId="5263"/>
    <cellStyle name="40% - Accent6 5 2 3 4" xfId="5264"/>
    <cellStyle name="40% - Accent6 5 2 3 5" xfId="5265"/>
    <cellStyle name="40% - Accent6 5 2 4" xfId="5266"/>
    <cellStyle name="40% - Accent6 5 2 4 2" xfId="5267"/>
    <cellStyle name="40% - Accent6 5 2 4 3" xfId="5268"/>
    <cellStyle name="40% - Accent6 5 2 4 4" xfId="5269"/>
    <cellStyle name="40% - Accent6 5 2 5" xfId="5270"/>
    <cellStyle name="40% - Accent6 5 2 5 2" xfId="5271"/>
    <cellStyle name="40% - Accent6 5 2 6" xfId="5272"/>
    <cellStyle name="40% - Accent6 5 2 7" xfId="5273"/>
    <cellStyle name="40% - Accent6 5 2 8" xfId="5274"/>
    <cellStyle name="40% - Accent6 5 2 9" xfId="5275"/>
    <cellStyle name="40% - Accent6 5 3" xfId="5276"/>
    <cellStyle name="40% - Accent6 5 3 2" xfId="5277"/>
    <cellStyle name="40% - Accent6 5 3 2 2" xfId="5278"/>
    <cellStyle name="40% - Accent6 5 3 2 3" xfId="5279"/>
    <cellStyle name="40% - Accent6 5 3 3" xfId="5280"/>
    <cellStyle name="40% - Accent6 5 3 4" xfId="5281"/>
    <cellStyle name="40% - Accent6 5 3 5" xfId="5282"/>
    <cellStyle name="40% - Accent6 5 3 6" xfId="5283"/>
    <cellStyle name="40% - Accent6 5 4" xfId="5284"/>
    <cellStyle name="40% - Accent6 5 4 2" xfId="5285"/>
    <cellStyle name="40% - Accent6 5 4 2 2" xfId="5286"/>
    <cellStyle name="40% - Accent6 5 4 3" xfId="5287"/>
    <cellStyle name="40% - Accent6 5 4 4" xfId="5288"/>
    <cellStyle name="40% - Accent6 5 4 5" xfId="5289"/>
    <cellStyle name="40% - Accent6 5 5" xfId="5290"/>
    <cellStyle name="40% - Accent6 5 5 2" xfId="5291"/>
    <cellStyle name="40% - Accent6 5 5 3" xfId="5292"/>
    <cellStyle name="40% - Accent6 5 5 4" xfId="5293"/>
    <cellStyle name="40% - Accent6 5 6" xfId="5294"/>
    <cellStyle name="40% - Accent6 5 6 2" xfId="5295"/>
    <cellStyle name="40% - Accent6 5 7" xfId="5296"/>
    <cellStyle name="40% - Accent6 5 8" xfId="5297"/>
    <cellStyle name="40% - Accent6 5 9" xfId="5298"/>
    <cellStyle name="40% - Accent6 6" xfId="5299"/>
    <cellStyle name="40% - Accent6 6 10" xfId="5300"/>
    <cellStyle name="40% - Accent6 6 2" xfId="5301"/>
    <cellStyle name="40% - Accent6 6 2 2" xfId="5302"/>
    <cellStyle name="40% - Accent6 6 2 2 2" xfId="5303"/>
    <cellStyle name="40% - Accent6 6 2 2 2 2" xfId="5304"/>
    <cellStyle name="40% - Accent6 6 2 2 2 3" xfId="5305"/>
    <cellStyle name="40% - Accent6 6 2 2 3" xfId="5306"/>
    <cellStyle name="40% - Accent6 6 2 2 4" xfId="5307"/>
    <cellStyle name="40% - Accent6 6 2 2 5" xfId="5308"/>
    <cellStyle name="40% - Accent6 6 2 2 6" xfId="5309"/>
    <cellStyle name="40% - Accent6 6 2 3" xfId="5310"/>
    <cellStyle name="40% - Accent6 6 2 3 2" xfId="5311"/>
    <cellStyle name="40% - Accent6 6 2 3 2 2" xfId="5312"/>
    <cellStyle name="40% - Accent6 6 2 3 3" xfId="5313"/>
    <cellStyle name="40% - Accent6 6 2 3 4" xfId="5314"/>
    <cellStyle name="40% - Accent6 6 2 3 5" xfId="5315"/>
    <cellStyle name="40% - Accent6 6 2 4" xfId="5316"/>
    <cellStyle name="40% - Accent6 6 2 4 2" xfId="5317"/>
    <cellStyle name="40% - Accent6 6 2 4 3" xfId="5318"/>
    <cellStyle name="40% - Accent6 6 2 4 4" xfId="5319"/>
    <cellStyle name="40% - Accent6 6 2 5" xfId="5320"/>
    <cellStyle name="40% - Accent6 6 2 5 2" xfId="5321"/>
    <cellStyle name="40% - Accent6 6 2 6" xfId="5322"/>
    <cellStyle name="40% - Accent6 6 2 7" xfId="5323"/>
    <cellStyle name="40% - Accent6 6 2 8" xfId="5324"/>
    <cellStyle name="40% - Accent6 6 2 9" xfId="5325"/>
    <cellStyle name="40% - Accent6 6 3" xfId="5326"/>
    <cellStyle name="40% - Accent6 6 3 2" xfId="5327"/>
    <cellStyle name="40% - Accent6 6 3 2 2" xfId="5328"/>
    <cellStyle name="40% - Accent6 6 3 2 3" xfId="5329"/>
    <cellStyle name="40% - Accent6 6 3 3" xfId="5330"/>
    <cellStyle name="40% - Accent6 6 3 4" xfId="5331"/>
    <cellStyle name="40% - Accent6 6 3 5" xfId="5332"/>
    <cellStyle name="40% - Accent6 6 3 6" xfId="5333"/>
    <cellStyle name="40% - Accent6 6 4" xfId="5334"/>
    <cellStyle name="40% - Accent6 6 4 2" xfId="5335"/>
    <cellStyle name="40% - Accent6 6 4 2 2" xfId="5336"/>
    <cellStyle name="40% - Accent6 6 4 3" xfId="5337"/>
    <cellStyle name="40% - Accent6 6 4 4" xfId="5338"/>
    <cellStyle name="40% - Accent6 6 4 5" xfId="5339"/>
    <cellStyle name="40% - Accent6 6 5" xfId="5340"/>
    <cellStyle name="40% - Accent6 6 5 2" xfId="5341"/>
    <cellStyle name="40% - Accent6 6 5 3" xfId="5342"/>
    <cellStyle name="40% - Accent6 6 5 4" xfId="5343"/>
    <cellStyle name="40% - Accent6 6 6" xfId="5344"/>
    <cellStyle name="40% - Accent6 6 6 2" xfId="5345"/>
    <cellStyle name="40% - Accent6 6 7" xfId="5346"/>
    <cellStyle name="40% - Accent6 6 8" xfId="5347"/>
    <cellStyle name="40% - Accent6 6 9" xfId="5348"/>
    <cellStyle name="40% - Accent6 7" xfId="5349"/>
    <cellStyle name="40% - Accent6 7 2" xfId="5350"/>
    <cellStyle name="40% - Accent6 7 2 2" xfId="5351"/>
    <cellStyle name="40% - Accent6 7 2 2 2" xfId="5352"/>
    <cellStyle name="40% - Accent6 7 2 2 3" xfId="5353"/>
    <cellStyle name="40% - Accent6 7 2 3" xfId="5354"/>
    <cellStyle name="40% - Accent6 7 2 4" xfId="5355"/>
    <cellStyle name="40% - Accent6 7 2 5" xfId="5356"/>
    <cellStyle name="40% - Accent6 7 2 6" xfId="5357"/>
    <cellStyle name="40% - Accent6 7 3" xfId="5358"/>
    <cellStyle name="40% - Accent6 7 3 2" xfId="5359"/>
    <cellStyle name="40% - Accent6 7 3 2 2" xfId="5360"/>
    <cellStyle name="40% - Accent6 7 3 3" xfId="5361"/>
    <cellStyle name="40% - Accent6 7 3 4" xfId="5362"/>
    <cellStyle name="40% - Accent6 7 3 5" xfId="5363"/>
    <cellStyle name="40% - Accent6 7 4" xfId="5364"/>
    <cellStyle name="40% - Accent6 7 4 2" xfId="5365"/>
    <cellStyle name="40% - Accent6 7 4 3" xfId="5366"/>
    <cellStyle name="40% - Accent6 7 4 4" xfId="5367"/>
    <cellStyle name="40% - Accent6 7 5" xfId="5368"/>
    <cellStyle name="40% - Accent6 7 5 2" xfId="5369"/>
    <cellStyle name="40% - Accent6 7 6" xfId="5370"/>
    <cellStyle name="40% - Accent6 7 7" xfId="5371"/>
    <cellStyle name="40% - Accent6 7 8" xfId="5372"/>
    <cellStyle name="40% - Accent6 7 9" xfId="5373"/>
    <cellStyle name="40% - Accent6 8" xfId="5374"/>
    <cellStyle name="40% - Accent6 8 2" xfId="5375"/>
    <cellStyle name="40% - Accent6 8 2 2" xfId="5376"/>
    <cellStyle name="40% - Accent6 8 2 2 2" xfId="5377"/>
    <cellStyle name="40% - Accent6 8 2 2 3" xfId="5378"/>
    <cellStyle name="40% - Accent6 8 2 3" xfId="5379"/>
    <cellStyle name="40% - Accent6 8 2 4" xfId="5380"/>
    <cellStyle name="40% - Accent6 8 2 5" xfId="5381"/>
    <cellStyle name="40% - Accent6 8 2 6" xfId="5382"/>
    <cellStyle name="40% - Accent6 8 3" xfId="5383"/>
    <cellStyle name="40% - Accent6 8 3 2" xfId="5384"/>
    <cellStyle name="40% - Accent6 8 3 2 2" xfId="5385"/>
    <cellStyle name="40% - Accent6 8 3 3" xfId="5386"/>
    <cellStyle name="40% - Accent6 8 3 4" xfId="5387"/>
    <cellStyle name="40% - Accent6 8 3 5" xfId="5388"/>
    <cellStyle name="40% - Accent6 8 4" xfId="5389"/>
    <cellStyle name="40% - Accent6 8 4 2" xfId="5390"/>
    <cellStyle name="40% - Accent6 8 4 3" xfId="5391"/>
    <cellStyle name="40% - Accent6 8 4 4" xfId="5392"/>
    <cellStyle name="40% - Accent6 8 5" xfId="5393"/>
    <cellStyle name="40% - Accent6 8 5 2" xfId="5394"/>
    <cellStyle name="40% - Accent6 8 6" xfId="5395"/>
    <cellStyle name="40% - Accent6 8 7" xfId="5396"/>
    <cellStyle name="40% - Accent6 8 8" xfId="5397"/>
    <cellStyle name="40% - Accent6 8 9" xfId="5398"/>
    <cellStyle name="40% - Accent6 9" xfId="5399"/>
    <cellStyle name="40% - Accent6 9 2" xfId="5400"/>
    <cellStyle name="40% - Accent6 9 2 2" xfId="5401"/>
    <cellStyle name="40% - Accent6 9 2 2 2" xfId="5402"/>
    <cellStyle name="40% - Accent6 9 2 3" xfId="5403"/>
    <cellStyle name="40% - Accent6 9 2 4" xfId="5404"/>
    <cellStyle name="40% - Accent6 9 2 5" xfId="5405"/>
    <cellStyle name="40% - Accent6 9 3" xfId="5406"/>
    <cellStyle name="40% - Accent6 9 3 2" xfId="5407"/>
    <cellStyle name="40% - Accent6 9 3 3" xfId="5408"/>
    <cellStyle name="40% - Accent6 9 3 4" xfId="5409"/>
    <cellStyle name="40% - Accent6 9 4" xfId="5410"/>
    <cellStyle name="40% - Accent6 9 4 2" xfId="5411"/>
    <cellStyle name="40% - Accent6 9 5" xfId="5412"/>
    <cellStyle name="40% - Accent6 9 6" xfId="5413"/>
    <cellStyle name="40% - Accent6 9 7" xfId="5414"/>
    <cellStyle name="40% - Accent6 9 8" xfId="5415"/>
    <cellStyle name="C00A" xfId="5416"/>
    <cellStyle name="C00B" xfId="5417"/>
    <cellStyle name="C00L" xfId="5418"/>
    <cellStyle name="C01A" xfId="5419"/>
    <cellStyle name="C01B" xfId="5420"/>
    <cellStyle name="C01H" xfId="5421"/>
    <cellStyle name="C01L" xfId="5422"/>
    <cellStyle name="C02A" xfId="5423"/>
    <cellStyle name="C02B" xfId="5424"/>
    <cellStyle name="C02H" xfId="5425"/>
    <cellStyle name="C02L" xfId="5426"/>
    <cellStyle name="C03A" xfId="5427"/>
    <cellStyle name="C03B" xfId="5428"/>
    <cellStyle name="C03H" xfId="5429"/>
    <cellStyle name="C03L" xfId="5430"/>
    <cellStyle name="C04A" xfId="5431"/>
    <cellStyle name="C04B" xfId="5432"/>
    <cellStyle name="C04H" xfId="5433"/>
    <cellStyle name="C04L" xfId="5434"/>
    <cellStyle name="C05A" xfId="5435"/>
    <cellStyle name="C05B" xfId="5436"/>
    <cellStyle name="C05H" xfId="5437"/>
    <cellStyle name="C05L" xfId="5438"/>
    <cellStyle name="C06A" xfId="5439"/>
    <cellStyle name="C06B" xfId="5440"/>
    <cellStyle name="C06H" xfId="5441"/>
    <cellStyle name="C06L" xfId="5442"/>
    <cellStyle name="C07A" xfId="5443"/>
    <cellStyle name="C07B" xfId="5444"/>
    <cellStyle name="C07H" xfId="5445"/>
    <cellStyle name="C07L" xfId="5446"/>
    <cellStyle name="Comma" xfId="1" builtinId="3"/>
    <cellStyle name="Comma 10" xfId="5447"/>
    <cellStyle name="Comma 11" xfId="5448"/>
    <cellStyle name="Comma 12" xfId="5449"/>
    <cellStyle name="Comma 13" xfId="5450"/>
    <cellStyle name="Comma 14" xfId="5451"/>
    <cellStyle name="Comma 15" xfId="5452"/>
    <cellStyle name="Comma 16" xfId="5453"/>
    <cellStyle name="Comma 17" xfId="5454"/>
    <cellStyle name="Comma 18" xfId="5455"/>
    <cellStyle name="Comma 19" xfId="5456"/>
    <cellStyle name="Comma 2" xfId="5457"/>
    <cellStyle name="Comma 2 10" xfId="5458"/>
    <cellStyle name="Comma 2 10 10" xfId="5459"/>
    <cellStyle name="Comma 2 10 11" xfId="5460"/>
    <cellStyle name="Comma 2 10 2" xfId="5461"/>
    <cellStyle name="Comma 2 10 2 2" xfId="5462"/>
    <cellStyle name="Comma 2 10 2 2 2" xfId="5463"/>
    <cellStyle name="Comma 2 10 2 2 2 2" xfId="5464"/>
    <cellStyle name="Comma 2 10 2 2 2 3" xfId="5465"/>
    <cellStyle name="Comma 2 10 2 2 3" xfId="5466"/>
    <cellStyle name="Comma 2 10 2 2 4" xfId="5467"/>
    <cellStyle name="Comma 2 10 2 2 5" xfId="5468"/>
    <cellStyle name="Comma 2 10 2 2 6" xfId="5469"/>
    <cellStyle name="Comma 2 10 2 3" xfId="5470"/>
    <cellStyle name="Comma 2 10 2 3 2" xfId="5471"/>
    <cellStyle name="Comma 2 10 2 3 2 2" xfId="5472"/>
    <cellStyle name="Comma 2 10 2 3 3" xfId="5473"/>
    <cellStyle name="Comma 2 10 2 3 4" xfId="5474"/>
    <cellStyle name="Comma 2 10 2 3 5" xfId="5475"/>
    <cellStyle name="Comma 2 10 2 4" xfId="5476"/>
    <cellStyle name="Comma 2 10 2 4 2" xfId="5477"/>
    <cellStyle name="Comma 2 10 2 4 3" xfId="5478"/>
    <cellStyle name="Comma 2 10 2 4 4" xfId="5479"/>
    <cellStyle name="Comma 2 10 2 5" xfId="5480"/>
    <cellStyle name="Comma 2 10 2 5 2" xfId="5481"/>
    <cellStyle name="Comma 2 10 2 6" xfId="5482"/>
    <cellStyle name="Comma 2 10 2 7" xfId="5483"/>
    <cellStyle name="Comma 2 10 2 8" xfId="5484"/>
    <cellStyle name="Comma 2 10 2 9" xfId="5485"/>
    <cellStyle name="Comma 2 10 3" xfId="5486"/>
    <cellStyle name="Comma 2 10 3 2" xfId="5487"/>
    <cellStyle name="Comma 2 10 3 2 2" xfId="5488"/>
    <cellStyle name="Comma 2 10 3 2 2 2" xfId="5489"/>
    <cellStyle name="Comma 2 10 3 2 2 3" xfId="5490"/>
    <cellStyle name="Comma 2 10 3 2 3" xfId="5491"/>
    <cellStyle name="Comma 2 10 3 2 4" xfId="5492"/>
    <cellStyle name="Comma 2 10 3 2 5" xfId="5493"/>
    <cellStyle name="Comma 2 10 3 2 6" xfId="5494"/>
    <cellStyle name="Comma 2 10 3 3" xfId="5495"/>
    <cellStyle name="Comma 2 10 3 3 2" xfId="5496"/>
    <cellStyle name="Comma 2 10 3 3 2 2" xfId="5497"/>
    <cellStyle name="Comma 2 10 3 3 3" xfId="5498"/>
    <cellStyle name="Comma 2 10 3 3 4" xfId="5499"/>
    <cellStyle name="Comma 2 10 3 3 5" xfId="5500"/>
    <cellStyle name="Comma 2 10 3 4" xfId="5501"/>
    <cellStyle name="Comma 2 10 3 4 2" xfId="5502"/>
    <cellStyle name="Comma 2 10 3 4 3" xfId="5503"/>
    <cellStyle name="Comma 2 10 3 4 4" xfId="5504"/>
    <cellStyle name="Comma 2 10 3 5" xfId="5505"/>
    <cellStyle name="Comma 2 10 3 5 2" xfId="5506"/>
    <cellStyle name="Comma 2 10 3 6" xfId="5507"/>
    <cellStyle name="Comma 2 10 3 7" xfId="5508"/>
    <cellStyle name="Comma 2 10 3 8" xfId="5509"/>
    <cellStyle name="Comma 2 10 3 9" xfId="5510"/>
    <cellStyle name="Comma 2 10 4" xfId="5511"/>
    <cellStyle name="Comma 2 10 4 2" xfId="5512"/>
    <cellStyle name="Comma 2 10 4 2 2" xfId="5513"/>
    <cellStyle name="Comma 2 10 4 2 3" xfId="5514"/>
    <cellStyle name="Comma 2 10 4 3" xfId="5515"/>
    <cellStyle name="Comma 2 10 4 4" xfId="5516"/>
    <cellStyle name="Comma 2 10 4 5" xfId="5517"/>
    <cellStyle name="Comma 2 10 4 6" xfId="5518"/>
    <cellStyle name="Comma 2 10 5" xfId="5519"/>
    <cellStyle name="Comma 2 10 5 2" xfId="5520"/>
    <cellStyle name="Comma 2 10 5 2 2" xfId="5521"/>
    <cellStyle name="Comma 2 10 5 3" xfId="5522"/>
    <cellStyle name="Comma 2 10 5 4" xfId="5523"/>
    <cellStyle name="Comma 2 10 5 5" xfId="5524"/>
    <cellStyle name="Comma 2 10 5 6" xfId="5525"/>
    <cellStyle name="Comma 2 10 6" xfId="5526"/>
    <cellStyle name="Comma 2 10 6 2" xfId="5527"/>
    <cellStyle name="Comma 2 10 6 3" xfId="5528"/>
    <cellStyle name="Comma 2 10 6 4" xfId="5529"/>
    <cellStyle name="Comma 2 10 6 5" xfId="5530"/>
    <cellStyle name="Comma 2 10 7" xfId="5531"/>
    <cellStyle name="Comma 2 10 7 2" xfId="5532"/>
    <cellStyle name="Comma 2 10 7 3" xfId="5533"/>
    <cellStyle name="Comma 2 10 8" xfId="5534"/>
    <cellStyle name="Comma 2 10 9" xfId="5535"/>
    <cellStyle name="Comma 2 11" xfId="5536"/>
    <cellStyle name="Comma 2 11 10" xfId="5537"/>
    <cellStyle name="Comma 2 11 11" xfId="5538"/>
    <cellStyle name="Comma 2 11 2" xfId="5539"/>
    <cellStyle name="Comma 2 11 2 2" xfId="5540"/>
    <cellStyle name="Comma 2 11 2 2 2" xfId="5541"/>
    <cellStyle name="Comma 2 11 2 2 2 2" xfId="5542"/>
    <cellStyle name="Comma 2 11 2 2 2 3" xfId="5543"/>
    <cellStyle name="Comma 2 11 2 2 3" xfId="5544"/>
    <cellStyle name="Comma 2 11 2 2 4" xfId="5545"/>
    <cellStyle name="Comma 2 11 2 2 5" xfId="5546"/>
    <cellStyle name="Comma 2 11 2 2 6" xfId="5547"/>
    <cellStyle name="Comma 2 11 2 3" xfId="5548"/>
    <cellStyle name="Comma 2 11 2 3 2" xfId="5549"/>
    <cellStyle name="Comma 2 11 2 3 2 2" xfId="5550"/>
    <cellStyle name="Comma 2 11 2 3 3" xfId="5551"/>
    <cellStyle name="Comma 2 11 2 3 4" xfId="5552"/>
    <cellStyle name="Comma 2 11 2 3 5" xfId="5553"/>
    <cellStyle name="Comma 2 11 2 4" xfId="5554"/>
    <cellStyle name="Comma 2 11 2 4 2" xfId="5555"/>
    <cellStyle name="Comma 2 11 2 4 3" xfId="5556"/>
    <cellStyle name="Comma 2 11 2 4 4" xfId="5557"/>
    <cellStyle name="Comma 2 11 2 5" xfId="5558"/>
    <cellStyle name="Comma 2 11 2 5 2" xfId="5559"/>
    <cellStyle name="Comma 2 11 2 6" xfId="5560"/>
    <cellStyle name="Comma 2 11 2 7" xfId="5561"/>
    <cellStyle name="Comma 2 11 2 8" xfId="5562"/>
    <cellStyle name="Comma 2 11 2 9" xfId="5563"/>
    <cellStyle name="Comma 2 11 3" xfId="5564"/>
    <cellStyle name="Comma 2 11 3 2" xfId="5565"/>
    <cellStyle name="Comma 2 11 3 2 2" xfId="5566"/>
    <cellStyle name="Comma 2 11 3 2 2 2" xfId="5567"/>
    <cellStyle name="Comma 2 11 3 2 2 3" xfId="5568"/>
    <cellStyle name="Comma 2 11 3 2 3" xfId="5569"/>
    <cellStyle name="Comma 2 11 3 2 4" xfId="5570"/>
    <cellStyle name="Comma 2 11 3 2 5" xfId="5571"/>
    <cellStyle name="Comma 2 11 3 2 6" xfId="5572"/>
    <cellStyle name="Comma 2 11 3 3" xfId="5573"/>
    <cellStyle name="Comma 2 11 3 3 2" xfId="5574"/>
    <cellStyle name="Comma 2 11 3 3 2 2" xfId="5575"/>
    <cellStyle name="Comma 2 11 3 3 3" xfId="5576"/>
    <cellStyle name="Comma 2 11 3 3 4" xfId="5577"/>
    <cellStyle name="Comma 2 11 3 3 5" xfId="5578"/>
    <cellStyle name="Comma 2 11 3 4" xfId="5579"/>
    <cellStyle name="Comma 2 11 3 4 2" xfId="5580"/>
    <cellStyle name="Comma 2 11 3 4 3" xfId="5581"/>
    <cellStyle name="Comma 2 11 3 4 4" xfId="5582"/>
    <cellStyle name="Comma 2 11 3 5" xfId="5583"/>
    <cellStyle name="Comma 2 11 3 5 2" xfId="5584"/>
    <cellStyle name="Comma 2 11 3 6" xfId="5585"/>
    <cellStyle name="Comma 2 11 3 7" xfId="5586"/>
    <cellStyle name="Comma 2 11 3 8" xfId="5587"/>
    <cellStyle name="Comma 2 11 3 9" xfId="5588"/>
    <cellStyle name="Comma 2 11 4" xfId="5589"/>
    <cellStyle name="Comma 2 11 4 2" xfId="5590"/>
    <cellStyle name="Comma 2 11 4 2 2" xfId="5591"/>
    <cellStyle name="Comma 2 11 4 2 3" xfId="5592"/>
    <cellStyle name="Comma 2 11 4 3" xfId="5593"/>
    <cellStyle name="Comma 2 11 4 4" xfId="5594"/>
    <cellStyle name="Comma 2 11 4 5" xfId="5595"/>
    <cellStyle name="Comma 2 11 4 6" xfId="5596"/>
    <cellStyle name="Comma 2 11 5" xfId="5597"/>
    <cellStyle name="Comma 2 11 5 2" xfId="5598"/>
    <cellStyle name="Comma 2 11 5 2 2" xfId="5599"/>
    <cellStyle name="Comma 2 11 5 3" xfId="5600"/>
    <cellStyle name="Comma 2 11 5 4" xfId="5601"/>
    <cellStyle name="Comma 2 11 5 5" xfId="5602"/>
    <cellStyle name="Comma 2 11 5 6" xfId="5603"/>
    <cellStyle name="Comma 2 11 6" xfId="5604"/>
    <cellStyle name="Comma 2 11 6 2" xfId="5605"/>
    <cellStyle name="Comma 2 11 6 3" xfId="5606"/>
    <cellStyle name="Comma 2 11 6 4" xfId="5607"/>
    <cellStyle name="Comma 2 11 6 5" xfId="5608"/>
    <cellStyle name="Comma 2 11 7" xfId="5609"/>
    <cellStyle name="Comma 2 11 7 2" xfId="5610"/>
    <cellStyle name="Comma 2 11 7 3" xfId="5611"/>
    <cellStyle name="Comma 2 11 8" xfId="5612"/>
    <cellStyle name="Comma 2 11 9" xfId="5613"/>
    <cellStyle name="Comma 2 12" xfId="5614"/>
    <cellStyle name="Comma 2 12 10" xfId="5615"/>
    <cellStyle name="Comma 2 12 11" xfId="5616"/>
    <cellStyle name="Comma 2 12 12" xfId="5617"/>
    <cellStyle name="Comma 2 12 13" xfId="5618"/>
    <cellStyle name="Comma 2 12 14" xfId="5619"/>
    <cellStyle name="Comma 2 12 15" xfId="5620"/>
    <cellStyle name="Comma 2 12 16" xfId="5621"/>
    <cellStyle name="Comma 2 12 17" xfId="5622"/>
    <cellStyle name="Comma 2 12 18" xfId="5623"/>
    <cellStyle name="Comma 2 12 19" xfId="5624"/>
    <cellStyle name="Comma 2 12 2" xfId="5625"/>
    <cellStyle name="Comma 2 12 2 2" xfId="5626"/>
    <cellStyle name="Comma 2 12 2 2 2" xfId="5627"/>
    <cellStyle name="Comma 2 12 2 2 2 2" xfId="5628"/>
    <cellStyle name="Comma 2 12 2 2 2 3" xfId="5629"/>
    <cellStyle name="Comma 2 12 2 2 3" xfId="5630"/>
    <cellStyle name="Comma 2 12 2 2 4" xfId="5631"/>
    <cellStyle name="Comma 2 12 2 2 5" xfId="5632"/>
    <cellStyle name="Comma 2 12 2 2 6" xfId="5633"/>
    <cellStyle name="Comma 2 12 2 3" xfId="5634"/>
    <cellStyle name="Comma 2 12 2 3 2" xfId="5635"/>
    <cellStyle name="Comma 2 12 2 3 2 2" xfId="5636"/>
    <cellStyle name="Comma 2 12 2 3 3" xfId="5637"/>
    <cellStyle name="Comma 2 12 2 3 4" xfId="5638"/>
    <cellStyle name="Comma 2 12 2 3 5" xfId="5639"/>
    <cellStyle name="Comma 2 12 2 4" xfId="5640"/>
    <cellStyle name="Comma 2 12 2 4 2" xfId="5641"/>
    <cellStyle name="Comma 2 12 2 4 3" xfId="5642"/>
    <cellStyle name="Comma 2 12 2 4 4" xfId="5643"/>
    <cellStyle name="Comma 2 12 2 5" xfId="5644"/>
    <cellStyle name="Comma 2 12 2 5 2" xfId="5645"/>
    <cellStyle name="Comma 2 12 2 6" xfId="5646"/>
    <cellStyle name="Comma 2 12 2 7" xfId="5647"/>
    <cellStyle name="Comma 2 12 2 8" xfId="5648"/>
    <cellStyle name="Comma 2 12 2 9" xfId="5649"/>
    <cellStyle name="Comma 2 12 20" xfId="5650"/>
    <cellStyle name="Comma 2 12 21" xfId="5651"/>
    <cellStyle name="Comma 2 12 22" xfId="5652"/>
    <cellStyle name="Comma 2 12 23" xfId="5653"/>
    <cellStyle name="Comma 2 12 24" xfId="5654"/>
    <cellStyle name="Comma 2 12 25" xfId="5655"/>
    <cellStyle name="Comma 2 12 26" xfId="5656"/>
    <cellStyle name="Comma 2 12 27" xfId="5657"/>
    <cellStyle name="Comma 2 12 28" xfId="5658"/>
    <cellStyle name="Comma 2 12 29" xfId="5659"/>
    <cellStyle name="Comma 2 12 3" xfId="5660"/>
    <cellStyle name="Comma 2 12 3 2" xfId="5661"/>
    <cellStyle name="Comma 2 12 3 2 2" xfId="5662"/>
    <cellStyle name="Comma 2 12 3 2 2 2" xfId="5663"/>
    <cellStyle name="Comma 2 12 3 2 2 3" xfId="5664"/>
    <cellStyle name="Comma 2 12 3 2 3" xfId="5665"/>
    <cellStyle name="Comma 2 12 3 2 4" xfId="5666"/>
    <cellStyle name="Comma 2 12 3 2 5" xfId="5667"/>
    <cellStyle name="Comma 2 12 3 2 6" xfId="5668"/>
    <cellStyle name="Comma 2 12 3 3" xfId="5669"/>
    <cellStyle name="Comma 2 12 3 3 2" xfId="5670"/>
    <cellStyle name="Comma 2 12 3 3 2 2" xfId="5671"/>
    <cellStyle name="Comma 2 12 3 3 3" xfId="5672"/>
    <cellStyle name="Comma 2 12 3 3 4" xfId="5673"/>
    <cellStyle name="Comma 2 12 3 3 5" xfId="5674"/>
    <cellStyle name="Comma 2 12 3 4" xfId="5675"/>
    <cellStyle name="Comma 2 12 3 4 2" xfId="5676"/>
    <cellStyle name="Comma 2 12 3 4 3" xfId="5677"/>
    <cellStyle name="Comma 2 12 3 4 4" xfId="5678"/>
    <cellStyle name="Comma 2 12 3 5" xfId="5679"/>
    <cellStyle name="Comma 2 12 3 5 2" xfId="5680"/>
    <cellStyle name="Comma 2 12 3 6" xfId="5681"/>
    <cellStyle name="Comma 2 12 3 7" xfId="5682"/>
    <cellStyle name="Comma 2 12 3 8" xfId="5683"/>
    <cellStyle name="Comma 2 12 3 9" xfId="5684"/>
    <cellStyle name="Comma 2 12 30" xfId="5685"/>
    <cellStyle name="Comma 2 12 31" xfId="5686"/>
    <cellStyle name="Comma 2 12 32" xfId="5687"/>
    <cellStyle name="Comma 2 12 33" xfId="5688"/>
    <cellStyle name="Comma 2 12 34" xfId="5689"/>
    <cellStyle name="Comma 2 12 35" xfId="5690"/>
    <cellStyle name="Comma 2 12 36" xfId="5691"/>
    <cellStyle name="Comma 2 12 37" xfId="5692"/>
    <cellStyle name="Comma 2 12 37 2" xfId="5693"/>
    <cellStyle name="Comma 2 12 38" xfId="5694"/>
    <cellStyle name="Comma 2 12 39" xfId="5695"/>
    <cellStyle name="Comma 2 12 4" xfId="5696"/>
    <cellStyle name="Comma 2 12 4 2" xfId="5697"/>
    <cellStyle name="Comma 2 12 4 2 2" xfId="5698"/>
    <cellStyle name="Comma 2 12 4 2 3" xfId="5699"/>
    <cellStyle name="Comma 2 12 4 3" xfId="5700"/>
    <cellStyle name="Comma 2 12 4 4" xfId="5701"/>
    <cellStyle name="Comma 2 12 4 5" xfId="5702"/>
    <cellStyle name="Comma 2 12 4 6" xfId="5703"/>
    <cellStyle name="Comma 2 12 40" xfId="5704"/>
    <cellStyle name="Comma 2 12 5" xfId="5705"/>
    <cellStyle name="Comma 2 12 5 2" xfId="5706"/>
    <cellStyle name="Comma 2 12 5 2 2" xfId="5707"/>
    <cellStyle name="Comma 2 12 5 2 3" xfId="5708"/>
    <cellStyle name="Comma 2 12 5 3" xfId="5709"/>
    <cellStyle name="Comma 2 12 5 4" xfId="5710"/>
    <cellStyle name="Comma 2 12 5 5" xfId="5711"/>
    <cellStyle name="Comma 2 12 5 6" xfId="5712"/>
    <cellStyle name="Comma 2 12 6" xfId="5713"/>
    <cellStyle name="Comma 2 12 6 2" xfId="5714"/>
    <cellStyle name="Comma 2 12 6 2 2" xfId="5715"/>
    <cellStyle name="Comma 2 12 6 3" xfId="5716"/>
    <cellStyle name="Comma 2 12 6 4" xfId="5717"/>
    <cellStyle name="Comma 2 12 6 5" xfId="5718"/>
    <cellStyle name="Comma 2 12 7" xfId="5719"/>
    <cellStyle name="Comma 2 12 7 2" xfId="5720"/>
    <cellStyle name="Comma 2 12 7 3" xfId="5721"/>
    <cellStyle name="Comma 2 12 8" xfId="5722"/>
    <cellStyle name="Comma 2 12 8 2" xfId="5723"/>
    <cellStyle name="Comma 2 12 8 3" xfId="5724"/>
    <cellStyle name="Comma 2 12 9" xfId="5725"/>
    <cellStyle name="Comma 2 13" xfId="5726"/>
    <cellStyle name="Comma 2 13 10" xfId="5727"/>
    <cellStyle name="Comma 2 13 11" xfId="5728"/>
    <cellStyle name="Comma 2 13 2" xfId="5729"/>
    <cellStyle name="Comma 2 13 2 2" xfId="5730"/>
    <cellStyle name="Comma 2 13 2 2 2" xfId="5731"/>
    <cellStyle name="Comma 2 13 2 2 2 2" xfId="5732"/>
    <cellStyle name="Comma 2 13 2 2 2 3" xfId="5733"/>
    <cellStyle name="Comma 2 13 2 2 3" xfId="5734"/>
    <cellStyle name="Comma 2 13 2 2 4" xfId="5735"/>
    <cellStyle name="Comma 2 13 2 2 5" xfId="5736"/>
    <cellStyle name="Comma 2 13 2 2 6" xfId="5737"/>
    <cellStyle name="Comma 2 13 2 3" xfId="5738"/>
    <cellStyle name="Comma 2 13 2 3 2" xfId="5739"/>
    <cellStyle name="Comma 2 13 2 3 2 2" xfId="5740"/>
    <cellStyle name="Comma 2 13 2 3 3" xfId="5741"/>
    <cellStyle name="Comma 2 13 2 3 4" xfId="5742"/>
    <cellStyle name="Comma 2 13 2 3 5" xfId="5743"/>
    <cellStyle name="Comma 2 13 2 4" xfId="5744"/>
    <cellStyle name="Comma 2 13 2 4 2" xfId="5745"/>
    <cellStyle name="Comma 2 13 2 4 3" xfId="5746"/>
    <cellStyle name="Comma 2 13 2 4 4" xfId="5747"/>
    <cellStyle name="Comma 2 13 2 5" xfId="5748"/>
    <cellStyle name="Comma 2 13 2 5 2" xfId="5749"/>
    <cellStyle name="Comma 2 13 2 6" xfId="5750"/>
    <cellStyle name="Comma 2 13 2 7" xfId="5751"/>
    <cellStyle name="Comma 2 13 2 8" xfId="5752"/>
    <cellStyle name="Comma 2 13 2 9" xfId="5753"/>
    <cellStyle name="Comma 2 13 3" xfId="5754"/>
    <cellStyle name="Comma 2 13 3 2" xfId="5755"/>
    <cellStyle name="Comma 2 13 3 2 2" xfId="5756"/>
    <cellStyle name="Comma 2 13 3 2 2 2" xfId="5757"/>
    <cellStyle name="Comma 2 13 3 2 2 3" xfId="5758"/>
    <cellStyle name="Comma 2 13 3 2 3" xfId="5759"/>
    <cellStyle name="Comma 2 13 3 2 4" xfId="5760"/>
    <cellStyle name="Comma 2 13 3 2 5" xfId="5761"/>
    <cellStyle name="Comma 2 13 3 2 6" xfId="5762"/>
    <cellStyle name="Comma 2 13 3 3" xfId="5763"/>
    <cellStyle name="Comma 2 13 3 3 2" xfId="5764"/>
    <cellStyle name="Comma 2 13 3 3 2 2" xfId="5765"/>
    <cellStyle name="Comma 2 13 3 3 3" xfId="5766"/>
    <cellStyle name="Comma 2 13 3 3 4" xfId="5767"/>
    <cellStyle name="Comma 2 13 3 3 5" xfId="5768"/>
    <cellStyle name="Comma 2 13 3 4" xfId="5769"/>
    <cellStyle name="Comma 2 13 3 4 2" xfId="5770"/>
    <cellStyle name="Comma 2 13 3 4 3" xfId="5771"/>
    <cellStyle name="Comma 2 13 3 4 4" xfId="5772"/>
    <cellStyle name="Comma 2 13 3 5" xfId="5773"/>
    <cellStyle name="Comma 2 13 3 5 2" xfId="5774"/>
    <cellStyle name="Comma 2 13 3 6" xfId="5775"/>
    <cellStyle name="Comma 2 13 3 7" xfId="5776"/>
    <cellStyle name="Comma 2 13 3 8" xfId="5777"/>
    <cellStyle name="Comma 2 13 3 9" xfId="5778"/>
    <cellStyle name="Comma 2 13 4" xfId="5779"/>
    <cellStyle name="Comma 2 13 4 2" xfId="5780"/>
    <cellStyle name="Comma 2 13 4 2 2" xfId="5781"/>
    <cellStyle name="Comma 2 13 4 2 3" xfId="5782"/>
    <cellStyle name="Comma 2 13 4 3" xfId="5783"/>
    <cellStyle name="Comma 2 13 4 4" xfId="5784"/>
    <cellStyle name="Comma 2 13 4 5" xfId="5785"/>
    <cellStyle name="Comma 2 13 4 6" xfId="5786"/>
    <cellStyle name="Comma 2 13 5" xfId="5787"/>
    <cellStyle name="Comma 2 13 5 2" xfId="5788"/>
    <cellStyle name="Comma 2 13 5 2 2" xfId="5789"/>
    <cellStyle name="Comma 2 13 5 3" xfId="5790"/>
    <cellStyle name="Comma 2 13 5 4" xfId="5791"/>
    <cellStyle name="Comma 2 13 5 5" xfId="5792"/>
    <cellStyle name="Comma 2 13 5 6" xfId="5793"/>
    <cellStyle name="Comma 2 13 6" xfId="5794"/>
    <cellStyle name="Comma 2 13 6 2" xfId="5795"/>
    <cellStyle name="Comma 2 13 6 3" xfId="5796"/>
    <cellStyle name="Comma 2 13 6 4" xfId="5797"/>
    <cellStyle name="Comma 2 13 6 5" xfId="5798"/>
    <cellStyle name="Comma 2 13 7" xfId="5799"/>
    <cellStyle name="Comma 2 13 7 2" xfId="5800"/>
    <cellStyle name="Comma 2 13 7 3" xfId="5801"/>
    <cellStyle name="Comma 2 13 8" xfId="5802"/>
    <cellStyle name="Comma 2 13 9" xfId="5803"/>
    <cellStyle name="Comma 2 14" xfId="5804"/>
    <cellStyle name="Comma 2 14 10" xfId="5805"/>
    <cellStyle name="Comma 2 14 11" xfId="5806"/>
    <cellStyle name="Comma 2 14 2" xfId="5807"/>
    <cellStyle name="Comma 2 14 2 2" xfId="5808"/>
    <cellStyle name="Comma 2 14 2 2 2" xfId="5809"/>
    <cellStyle name="Comma 2 14 2 2 2 2" xfId="5810"/>
    <cellStyle name="Comma 2 14 2 2 2 3" xfId="5811"/>
    <cellStyle name="Comma 2 14 2 2 3" xfId="5812"/>
    <cellStyle name="Comma 2 14 2 2 4" xfId="5813"/>
    <cellStyle name="Comma 2 14 2 2 5" xfId="5814"/>
    <cellStyle name="Comma 2 14 2 2 6" xfId="5815"/>
    <cellStyle name="Comma 2 14 2 3" xfId="5816"/>
    <cellStyle name="Comma 2 14 2 3 2" xfId="5817"/>
    <cellStyle name="Comma 2 14 2 3 2 2" xfId="5818"/>
    <cellStyle name="Comma 2 14 2 3 3" xfId="5819"/>
    <cellStyle name="Comma 2 14 2 3 4" xfId="5820"/>
    <cellStyle name="Comma 2 14 2 3 5" xfId="5821"/>
    <cellStyle name="Comma 2 14 2 4" xfId="5822"/>
    <cellStyle name="Comma 2 14 2 4 2" xfId="5823"/>
    <cellStyle name="Comma 2 14 2 4 3" xfId="5824"/>
    <cellStyle name="Comma 2 14 2 4 4" xfId="5825"/>
    <cellStyle name="Comma 2 14 2 5" xfId="5826"/>
    <cellStyle name="Comma 2 14 2 5 2" xfId="5827"/>
    <cellStyle name="Comma 2 14 2 6" xfId="5828"/>
    <cellStyle name="Comma 2 14 2 7" xfId="5829"/>
    <cellStyle name="Comma 2 14 2 8" xfId="5830"/>
    <cellStyle name="Comma 2 14 2 9" xfId="5831"/>
    <cellStyle name="Comma 2 14 3" xfId="5832"/>
    <cellStyle name="Comma 2 14 3 2" xfId="5833"/>
    <cellStyle name="Comma 2 14 3 2 2" xfId="5834"/>
    <cellStyle name="Comma 2 14 3 2 2 2" xfId="5835"/>
    <cellStyle name="Comma 2 14 3 2 2 3" xfId="5836"/>
    <cellStyle name="Comma 2 14 3 2 3" xfId="5837"/>
    <cellStyle name="Comma 2 14 3 2 4" xfId="5838"/>
    <cellStyle name="Comma 2 14 3 2 5" xfId="5839"/>
    <cellStyle name="Comma 2 14 3 2 6" xfId="5840"/>
    <cellStyle name="Comma 2 14 3 3" xfId="5841"/>
    <cellStyle name="Comma 2 14 3 3 2" xfId="5842"/>
    <cellStyle name="Comma 2 14 3 3 2 2" xfId="5843"/>
    <cellStyle name="Comma 2 14 3 3 3" xfId="5844"/>
    <cellStyle name="Comma 2 14 3 3 4" xfId="5845"/>
    <cellStyle name="Comma 2 14 3 3 5" xfId="5846"/>
    <cellStyle name="Comma 2 14 3 4" xfId="5847"/>
    <cellStyle name="Comma 2 14 3 4 2" xfId="5848"/>
    <cellStyle name="Comma 2 14 3 4 3" xfId="5849"/>
    <cellStyle name="Comma 2 14 3 4 4" xfId="5850"/>
    <cellStyle name="Comma 2 14 3 5" xfId="5851"/>
    <cellStyle name="Comma 2 14 3 5 2" xfId="5852"/>
    <cellStyle name="Comma 2 14 3 6" xfId="5853"/>
    <cellStyle name="Comma 2 14 3 7" xfId="5854"/>
    <cellStyle name="Comma 2 14 3 8" xfId="5855"/>
    <cellStyle name="Comma 2 14 3 9" xfId="5856"/>
    <cellStyle name="Comma 2 14 4" xfId="5857"/>
    <cellStyle name="Comma 2 14 4 2" xfId="5858"/>
    <cellStyle name="Comma 2 14 4 2 2" xfId="5859"/>
    <cellStyle name="Comma 2 14 4 2 3" xfId="5860"/>
    <cellStyle name="Comma 2 14 4 3" xfId="5861"/>
    <cellStyle name="Comma 2 14 4 4" xfId="5862"/>
    <cellStyle name="Comma 2 14 4 5" xfId="5863"/>
    <cellStyle name="Comma 2 14 4 6" xfId="5864"/>
    <cellStyle name="Comma 2 14 5" xfId="5865"/>
    <cellStyle name="Comma 2 14 5 2" xfId="5866"/>
    <cellStyle name="Comma 2 14 5 2 2" xfId="5867"/>
    <cellStyle name="Comma 2 14 5 3" xfId="5868"/>
    <cellStyle name="Comma 2 14 5 4" xfId="5869"/>
    <cellStyle name="Comma 2 14 5 5" xfId="5870"/>
    <cellStyle name="Comma 2 14 5 6" xfId="5871"/>
    <cellStyle name="Comma 2 14 6" xfId="5872"/>
    <cellStyle name="Comma 2 14 6 2" xfId="5873"/>
    <cellStyle name="Comma 2 14 6 3" xfId="5874"/>
    <cellStyle name="Comma 2 14 6 4" xfId="5875"/>
    <cellStyle name="Comma 2 14 6 5" xfId="5876"/>
    <cellStyle name="Comma 2 14 7" xfId="5877"/>
    <cellStyle name="Comma 2 14 7 2" xfId="5878"/>
    <cellStyle name="Comma 2 14 7 3" xfId="5879"/>
    <cellStyle name="Comma 2 14 8" xfId="5880"/>
    <cellStyle name="Comma 2 14 9" xfId="5881"/>
    <cellStyle name="Comma 2 15" xfId="5882"/>
    <cellStyle name="Comma 2 15 10" xfId="5883"/>
    <cellStyle name="Comma 2 15 11" xfId="5884"/>
    <cellStyle name="Comma 2 15 2" xfId="5885"/>
    <cellStyle name="Comma 2 15 2 2" xfId="5886"/>
    <cellStyle name="Comma 2 15 2 2 2" xfId="5887"/>
    <cellStyle name="Comma 2 15 2 2 2 2" xfId="5888"/>
    <cellStyle name="Comma 2 15 2 2 2 3" xfId="5889"/>
    <cellStyle name="Comma 2 15 2 2 3" xfId="5890"/>
    <cellStyle name="Comma 2 15 2 2 4" xfId="5891"/>
    <cellStyle name="Comma 2 15 2 2 5" xfId="5892"/>
    <cellStyle name="Comma 2 15 2 2 6" xfId="5893"/>
    <cellStyle name="Comma 2 15 2 3" xfId="5894"/>
    <cellStyle name="Comma 2 15 2 3 2" xfId="5895"/>
    <cellStyle name="Comma 2 15 2 3 2 2" xfId="5896"/>
    <cellStyle name="Comma 2 15 2 3 3" xfId="5897"/>
    <cellStyle name="Comma 2 15 2 3 4" xfId="5898"/>
    <cellStyle name="Comma 2 15 2 3 5" xfId="5899"/>
    <cellStyle name="Comma 2 15 2 4" xfId="5900"/>
    <cellStyle name="Comma 2 15 2 4 2" xfId="5901"/>
    <cellStyle name="Comma 2 15 2 4 3" xfId="5902"/>
    <cellStyle name="Comma 2 15 2 4 4" xfId="5903"/>
    <cellStyle name="Comma 2 15 2 5" xfId="5904"/>
    <cellStyle name="Comma 2 15 2 5 2" xfId="5905"/>
    <cellStyle name="Comma 2 15 2 6" xfId="5906"/>
    <cellStyle name="Comma 2 15 2 7" xfId="5907"/>
    <cellStyle name="Comma 2 15 2 8" xfId="5908"/>
    <cellStyle name="Comma 2 15 2 9" xfId="5909"/>
    <cellStyle name="Comma 2 15 3" xfId="5910"/>
    <cellStyle name="Comma 2 15 3 2" xfId="5911"/>
    <cellStyle name="Comma 2 15 3 2 2" xfId="5912"/>
    <cellStyle name="Comma 2 15 3 2 2 2" xfId="5913"/>
    <cellStyle name="Comma 2 15 3 2 2 3" xfId="5914"/>
    <cellStyle name="Comma 2 15 3 2 3" xfId="5915"/>
    <cellStyle name="Comma 2 15 3 2 4" xfId="5916"/>
    <cellStyle name="Comma 2 15 3 2 5" xfId="5917"/>
    <cellStyle name="Comma 2 15 3 2 6" xfId="5918"/>
    <cellStyle name="Comma 2 15 3 3" xfId="5919"/>
    <cellStyle name="Comma 2 15 3 3 2" xfId="5920"/>
    <cellStyle name="Comma 2 15 3 3 2 2" xfId="5921"/>
    <cellStyle name="Comma 2 15 3 3 3" xfId="5922"/>
    <cellStyle name="Comma 2 15 3 3 4" xfId="5923"/>
    <cellStyle name="Comma 2 15 3 3 5" xfId="5924"/>
    <cellStyle name="Comma 2 15 3 4" xfId="5925"/>
    <cellStyle name="Comma 2 15 3 4 2" xfId="5926"/>
    <cellStyle name="Comma 2 15 3 4 3" xfId="5927"/>
    <cellStyle name="Comma 2 15 3 4 4" xfId="5928"/>
    <cellStyle name="Comma 2 15 3 5" xfId="5929"/>
    <cellStyle name="Comma 2 15 3 5 2" xfId="5930"/>
    <cellStyle name="Comma 2 15 3 6" xfId="5931"/>
    <cellStyle name="Comma 2 15 3 7" xfId="5932"/>
    <cellStyle name="Comma 2 15 3 8" xfId="5933"/>
    <cellStyle name="Comma 2 15 3 9" xfId="5934"/>
    <cellStyle name="Comma 2 15 4" xfId="5935"/>
    <cellStyle name="Comma 2 15 4 2" xfId="5936"/>
    <cellStyle name="Comma 2 15 4 2 2" xfId="5937"/>
    <cellStyle name="Comma 2 15 4 2 3" xfId="5938"/>
    <cellStyle name="Comma 2 15 4 3" xfId="5939"/>
    <cellStyle name="Comma 2 15 4 4" xfId="5940"/>
    <cellStyle name="Comma 2 15 4 5" xfId="5941"/>
    <cellStyle name="Comma 2 15 4 6" xfId="5942"/>
    <cellStyle name="Comma 2 15 5" xfId="5943"/>
    <cellStyle name="Comma 2 15 5 2" xfId="5944"/>
    <cellStyle name="Comma 2 15 5 2 2" xfId="5945"/>
    <cellStyle name="Comma 2 15 5 3" xfId="5946"/>
    <cellStyle name="Comma 2 15 5 4" xfId="5947"/>
    <cellStyle name="Comma 2 15 5 5" xfId="5948"/>
    <cellStyle name="Comma 2 15 5 6" xfId="5949"/>
    <cellStyle name="Comma 2 15 6" xfId="5950"/>
    <cellStyle name="Comma 2 15 6 2" xfId="5951"/>
    <cellStyle name="Comma 2 15 6 3" xfId="5952"/>
    <cellStyle name="Comma 2 15 6 4" xfId="5953"/>
    <cellStyle name="Comma 2 15 6 5" xfId="5954"/>
    <cellStyle name="Comma 2 15 7" xfId="5955"/>
    <cellStyle name="Comma 2 15 7 2" xfId="5956"/>
    <cellStyle name="Comma 2 15 7 3" xfId="5957"/>
    <cellStyle name="Comma 2 15 8" xfId="5958"/>
    <cellStyle name="Comma 2 15 9" xfId="5959"/>
    <cellStyle name="Comma 2 16" xfId="5960"/>
    <cellStyle name="Comma 2 16 10" xfId="5961"/>
    <cellStyle name="Comma 2 16 2" xfId="5962"/>
    <cellStyle name="Comma 2 16 2 2" xfId="5963"/>
    <cellStyle name="Comma 2 16 2 2 2" xfId="5964"/>
    <cellStyle name="Comma 2 16 2 2 3" xfId="5965"/>
    <cellStyle name="Comma 2 16 2 3" xfId="5966"/>
    <cellStyle name="Comma 2 16 2 4" xfId="5967"/>
    <cellStyle name="Comma 2 16 2 5" xfId="5968"/>
    <cellStyle name="Comma 2 16 2 6" xfId="5969"/>
    <cellStyle name="Comma 2 16 3" xfId="5970"/>
    <cellStyle name="Comma 2 16 3 2" xfId="5971"/>
    <cellStyle name="Comma 2 16 3 2 2" xfId="5972"/>
    <cellStyle name="Comma 2 16 3 2 3" xfId="5973"/>
    <cellStyle name="Comma 2 16 3 3" xfId="5974"/>
    <cellStyle name="Comma 2 16 3 4" xfId="5975"/>
    <cellStyle name="Comma 2 16 3 5" xfId="5976"/>
    <cellStyle name="Comma 2 16 3 6" xfId="5977"/>
    <cellStyle name="Comma 2 16 4" xfId="5978"/>
    <cellStyle name="Comma 2 16 4 2" xfId="5979"/>
    <cellStyle name="Comma 2 16 4 2 2" xfId="5980"/>
    <cellStyle name="Comma 2 16 4 3" xfId="5981"/>
    <cellStyle name="Comma 2 16 4 4" xfId="5982"/>
    <cellStyle name="Comma 2 16 4 5" xfId="5983"/>
    <cellStyle name="Comma 2 16 4 6" xfId="5984"/>
    <cellStyle name="Comma 2 16 5" xfId="5985"/>
    <cellStyle name="Comma 2 16 5 2" xfId="5986"/>
    <cellStyle name="Comma 2 16 5 3" xfId="5987"/>
    <cellStyle name="Comma 2 16 5 4" xfId="5988"/>
    <cellStyle name="Comma 2 16 5 5" xfId="5989"/>
    <cellStyle name="Comma 2 16 6" xfId="5990"/>
    <cellStyle name="Comma 2 16 6 2" xfId="5991"/>
    <cellStyle name="Comma 2 16 6 3" xfId="5992"/>
    <cellStyle name="Comma 2 16 7" xfId="5993"/>
    <cellStyle name="Comma 2 16 7 2" xfId="5994"/>
    <cellStyle name="Comma 2 16 8" xfId="5995"/>
    <cellStyle name="Comma 2 16 9" xfId="5996"/>
    <cellStyle name="Comma 2 17" xfId="5997"/>
    <cellStyle name="Comma 2 17 10" xfId="5998"/>
    <cellStyle name="Comma 2 17 2" xfId="5999"/>
    <cellStyle name="Comma 2 17 2 2" xfId="6000"/>
    <cellStyle name="Comma 2 17 2 2 2" xfId="6001"/>
    <cellStyle name="Comma 2 17 2 2 3" xfId="6002"/>
    <cellStyle name="Comma 2 17 2 3" xfId="6003"/>
    <cellStyle name="Comma 2 17 2 4" xfId="6004"/>
    <cellStyle name="Comma 2 17 2 5" xfId="6005"/>
    <cellStyle name="Comma 2 17 2 6" xfId="6006"/>
    <cellStyle name="Comma 2 17 3" xfId="6007"/>
    <cellStyle name="Comma 2 17 3 2" xfId="6008"/>
    <cellStyle name="Comma 2 17 3 2 2" xfId="6009"/>
    <cellStyle name="Comma 2 17 3 2 3" xfId="6010"/>
    <cellStyle name="Comma 2 17 3 3" xfId="6011"/>
    <cellStyle name="Comma 2 17 3 4" xfId="6012"/>
    <cellStyle name="Comma 2 17 3 5" xfId="6013"/>
    <cellStyle name="Comma 2 17 3 6" xfId="6014"/>
    <cellStyle name="Comma 2 17 4" xfId="6015"/>
    <cellStyle name="Comma 2 17 4 2" xfId="6016"/>
    <cellStyle name="Comma 2 17 4 2 2" xfId="6017"/>
    <cellStyle name="Comma 2 17 4 3" xfId="6018"/>
    <cellStyle name="Comma 2 17 4 4" xfId="6019"/>
    <cellStyle name="Comma 2 17 4 5" xfId="6020"/>
    <cellStyle name="Comma 2 17 4 6" xfId="6021"/>
    <cellStyle name="Comma 2 17 5" xfId="6022"/>
    <cellStyle name="Comma 2 17 5 2" xfId="6023"/>
    <cellStyle name="Comma 2 17 5 3" xfId="6024"/>
    <cellStyle name="Comma 2 17 5 4" xfId="6025"/>
    <cellStyle name="Comma 2 17 5 5" xfId="6026"/>
    <cellStyle name="Comma 2 17 6" xfId="6027"/>
    <cellStyle name="Comma 2 17 6 2" xfId="6028"/>
    <cellStyle name="Comma 2 17 6 3" xfId="6029"/>
    <cellStyle name="Comma 2 17 7" xfId="6030"/>
    <cellStyle name="Comma 2 17 7 2" xfId="6031"/>
    <cellStyle name="Comma 2 17 8" xfId="6032"/>
    <cellStyle name="Comma 2 17 9" xfId="6033"/>
    <cellStyle name="Comma 2 18" xfId="6034"/>
    <cellStyle name="Comma 2 18 10" xfId="6035"/>
    <cellStyle name="Comma 2 18 2" xfId="6036"/>
    <cellStyle name="Comma 2 18 2 2" xfId="6037"/>
    <cellStyle name="Comma 2 18 2 2 2" xfId="6038"/>
    <cellStyle name="Comma 2 18 2 2 3" xfId="6039"/>
    <cellStyle name="Comma 2 18 2 3" xfId="6040"/>
    <cellStyle name="Comma 2 18 2 4" xfId="6041"/>
    <cellStyle name="Comma 2 18 2 5" xfId="6042"/>
    <cellStyle name="Comma 2 18 2 6" xfId="6043"/>
    <cellStyle name="Comma 2 18 3" xfId="6044"/>
    <cellStyle name="Comma 2 18 3 2" xfId="6045"/>
    <cellStyle name="Comma 2 18 3 2 2" xfId="6046"/>
    <cellStyle name="Comma 2 18 3 2 3" xfId="6047"/>
    <cellStyle name="Comma 2 18 3 3" xfId="6048"/>
    <cellStyle name="Comma 2 18 3 4" xfId="6049"/>
    <cellStyle name="Comma 2 18 3 5" xfId="6050"/>
    <cellStyle name="Comma 2 18 3 6" xfId="6051"/>
    <cellStyle name="Comma 2 18 4" xfId="6052"/>
    <cellStyle name="Comma 2 18 4 2" xfId="6053"/>
    <cellStyle name="Comma 2 18 4 2 2" xfId="6054"/>
    <cellStyle name="Comma 2 18 4 3" xfId="6055"/>
    <cellStyle name="Comma 2 18 4 4" xfId="6056"/>
    <cellStyle name="Comma 2 18 4 5" xfId="6057"/>
    <cellStyle name="Comma 2 18 4 6" xfId="6058"/>
    <cellStyle name="Comma 2 18 5" xfId="6059"/>
    <cellStyle name="Comma 2 18 5 2" xfId="6060"/>
    <cellStyle name="Comma 2 18 5 3" xfId="6061"/>
    <cellStyle name="Comma 2 18 5 4" xfId="6062"/>
    <cellStyle name="Comma 2 18 5 5" xfId="6063"/>
    <cellStyle name="Comma 2 18 6" xfId="6064"/>
    <cellStyle name="Comma 2 18 6 2" xfId="6065"/>
    <cellStyle name="Comma 2 18 6 3" xfId="6066"/>
    <cellStyle name="Comma 2 18 7" xfId="6067"/>
    <cellStyle name="Comma 2 18 7 2" xfId="6068"/>
    <cellStyle name="Comma 2 18 8" xfId="6069"/>
    <cellStyle name="Comma 2 18 9" xfId="6070"/>
    <cellStyle name="Comma 2 19" xfId="6071"/>
    <cellStyle name="Comma 2 19 10" xfId="6072"/>
    <cellStyle name="Comma 2 19 2" xfId="6073"/>
    <cellStyle name="Comma 2 19 2 2" xfId="6074"/>
    <cellStyle name="Comma 2 19 2 2 2" xfId="6075"/>
    <cellStyle name="Comma 2 19 2 2 3" xfId="6076"/>
    <cellStyle name="Comma 2 19 2 3" xfId="6077"/>
    <cellStyle name="Comma 2 19 2 4" xfId="6078"/>
    <cellStyle name="Comma 2 19 2 5" xfId="6079"/>
    <cellStyle name="Comma 2 19 2 6" xfId="6080"/>
    <cellStyle name="Comma 2 19 3" xfId="6081"/>
    <cellStyle name="Comma 2 19 3 2" xfId="6082"/>
    <cellStyle name="Comma 2 19 3 2 2" xfId="6083"/>
    <cellStyle name="Comma 2 19 3 2 3" xfId="6084"/>
    <cellStyle name="Comma 2 19 3 3" xfId="6085"/>
    <cellStyle name="Comma 2 19 3 4" xfId="6086"/>
    <cellStyle name="Comma 2 19 3 5" xfId="6087"/>
    <cellStyle name="Comma 2 19 3 6" xfId="6088"/>
    <cellStyle name="Comma 2 19 4" xfId="6089"/>
    <cellStyle name="Comma 2 19 4 2" xfId="6090"/>
    <cellStyle name="Comma 2 19 4 2 2" xfId="6091"/>
    <cellStyle name="Comma 2 19 4 3" xfId="6092"/>
    <cellStyle name="Comma 2 19 4 4" xfId="6093"/>
    <cellStyle name="Comma 2 19 4 5" xfId="6094"/>
    <cellStyle name="Comma 2 19 4 6" xfId="6095"/>
    <cellStyle name="Comma 2 19 5" xfId="6096"/>
    <cellStyle name="Comma 2 19 5 2" xfId="6097"/>
    <cellStyle name="Comma 2 19 5 3" xfId="6098"/>
    <cellStyle name="Comma 2 19 5 4" xfId="6099"/>
    <cellStyle name="Comma 2 19 5 5" xfId="6100"/>
    <cellStyle name="Comma 2 19 6" xfId="6101"/>
    <cellStyle name="Comma 2 19 6 2" xfId="6102"/>
    <cellStyle name="Comma 2 19 6 3" xfId="6103"/>
    <cellStyle name="Comma 2 19 7" xfId="6104"/>
    <cellStyle name="Comma 2 19 7 2" xfId="6105"/>
    <cellStyle name="Comma 2 19 8" xfId="6106"/>
    <cellStyle name="Comma 2 19 9" xfId="6107"/>
    <cellStyle name="Comma 2 2" xfId="6108"/>
    <cellStyle name="Comma 2 2 10" xfId="6109"/>
    <cellStyle name="Comma 2 2 10 10" xfId="6110"/>
    <cellStyle name="Comma 2 2 10 2" xfId="6111"/>
    <cellStyle name="Comma 2 2 10 2 2" xfId="6112"/>
    <cellStyle name="Comma 2 2 10 2 2 2" xfId="6113"/>
    <cellStyle name="Comma 2 2 10 2 2 3" xfId="6114"/>
    <cellStyle name="Comma 2 2 10 2 3" xfId="6115"/>
    <cellStyle name="Comma 2 2 10 2 4" xfId="6116"/>
    <cellStyle name="Comma 2 2 10 2 5" xfId="6117"/>
    <cellStyle name="Comma 2 2 10 2 6" xfId="6118"/>
    <cellStyle name="Comma 2 2 10 3" xfId="6119"/>
    <cellStyle name="Comma 2 2 10 3 2" xfId="6120"/>
    <cellStyle name="Comma 2 2 10 3 2 2" xfId="6121"/>
    <cellStyle name="Comma 2 2 10 3 2 3" xfId="6122"/>
    <cellStyle name="Comma 2 2 10 3 3" xfId="6123"/>
    <cellStyle name="Comma 2 2 10 3 4" xfId="6124"/>
    <cellStyle name="Comma 2 2 10 3 5" xfId="6125"/>
    <cellStyle name="Comma 2 2 10 3 6" xfId="6126"/>
    <cellStyle name="Comma 2 2 10 4" xfId="6127"/>
    <cellStyle name="Comma 2 2 10 4 2" xfId="6128"/>
    <cellStyle name="Comma 2 2 10 4 2 2" xfId="6129"/>
    <cellStyle name="Comma 2 2 10 4 3" xfId="6130"/>
    <cellStyle name="Comma 2 2 10 4 4" xfId="6131"/>
    <cellStyle name="Comma 2 2 10 4 5" xfId="6132"/>
    <cellStyle name="Comma 2 2 10 5" xfId="6133"/>
    <cellStyle name="Comma 2 2 10 5 2" xfId="6134"/>
    <cellStyle name="Comma 2 2 10 5 3" xfId="6135"/>
    <cellStyle name="Comma 2 2 10 5 4" xfId="6136"/>
    <cellStyle name="Comma 2 2 10 6" xfId="6137"/>
    <cellStyle name="Comma 2 2 10 6 2" xfId="6138"/>
    <cellStyle name="Comma 2 2 10 7" xfId="6139"/>
    <cellStyle name="Comma 2 2 10 8" xfId="6140"/>
    <cellStyle name="Comma 2 2 10 9" xfId="6141"/>
    <cellStyle name="Comma 2 2 11" xfId="6142"/>
    <cellStyle name="Comma 2 2 11 10" xfId="6143"/>
    <cellStyle name="Comma 2 2 11 2" xfId="6144"/>
    <cellStyle name="Comma 2 2 11 2 2" xfId="6145"/>
    <cellStyle name="Comma 2 2 11 2 2 2" xfId="6146"/>
    <cellStyle name="Comma 2 2 11 2 2 3" xfId="6147"/>
    <cellStyle name="Comma 2 2 11 2 3" xfId="6148"/>
    <cellStyle name="Comma 2 2 11 2 4" xfId="6149"/>
    <cellStyle name="Comma 2 2 11 2 5" xfId="6150"/>
    <cellStyle name="Comma 2 2 11 2 6" xfId="6151"/>
    <cellStyle name="Comma 2 2 11 3" xfId="6152"/>
    <cellStyle name="Comma 2 2 11 3 2" xfId="6153"/>
    <cellStyle name="Comma 2 2 11 3 2 2" xfId="6154"/>
    <cellStyle name="Comma 2 2 11 3 2 3" xfId="6155"/>
    <cellStyle name="Comma 2 2 11 3 3" xfId="6156"/>
    <cellStyle name="Comma 2 2 11 3 4" xfId="6157"/>
    <cellStyle name="Comma 2 2 11 3 5" xfId="6158"/>
    <cellStyle name="Comma 2 2 11 3 6" xfId="6159"/>
    <cellStyle name="Comma 2 2 11 4" xfId="6160"/>
    <cellStyle name="Comma 2 2 11 4 2" xfId="6161"/>
    <cellStyle name="Comma 2 2 11 4 2 2" xfId="6162"/>
    <cellStyle name="Comma 2 2 11 4 3" xfId="6163"/>
    <cellStyle name="Comma 2 2 11 4 4" xfId="6164"/>
    <cellStyle name="Comma 2 2 11 4 5" xfId="6165"/>
    <cellStyle name="Comma 2 2 11 5" xfId="6166"/>
    <cellStyle name="Comma 2 2 11 5 2" xfId="6167"/>
    <cellStyle name="Comma 2 2 11 5 3" xfId="6168"/>
    <cellStyle name="Comma 2 2 11 5 4" xfId="6169"/>
    <cellStyle name="Comma 2 2 11 6" xfId="6170"/>
    <cellStyle name="Comma 2 2 11 6 2" xfId="6171"/>
    <cellStyle name="Comma 2 2 11 7" xfId="6172"/>
    <cellStyle name="Comma 2 2 11 8" xfId="6173"/>
    <cellStyle name="Comma 2 2 11 9" xfId="6174"/>
    <cellStyle name="Comma 2 2 12" xfId="6175"/>
    <cellStyle name="Comma 2 2 12 10" xfId="6176"/>
    <cellStyle name="Comma 2 2 12 2" xfId="6177"/>
    <cellStyle name="Comma 2 2 12 2 2" xfId="6178"/>
    <cellStyle name="Comma 2 2 12 2 2 2" xfId="6179"/>
    <cellStyle name="Comma 2 2 12 2 2 3" xfId="6180"/>
    <cellStyle name="Comma 2 2 12 2 3" xfId="6181"/>
    <cellStyle name="Comma 2 2 12 2 4" xfId="6182"/>
    <cellStyle name="Comma 2 2 12 2 5" xfId="6183"/>
    <cellStyle name="Comma 2 2 12 2 6" xfId="6184"/>
    <cellStyle name="Comma 2 2 12 3" xfId="6185"/>
    <cellStyle name="Comma 2 2 12 3 2" xfId="6186"/>
    <cellStyle name="Comma 2 2 12 3 2 2" xfId="6187"/>
    <cellStyle name="Comma 2 2 12 3 2 3" xfId="6188"/>
    <cellStyle name="Comma 2 2 12 3 3" xfId="6189"/>
    <cellStyle name="Comma 2 2 12 3 4" xfId="6190"/>
    <cellStyle name="Comma 2 2 12 3 5" xfId="6191"/>
    <cellStyle name="Comma 2 2 12 3 6" xfId="6192"/>
    <cellStyle name="Comma 2 2 12 4" xfId="6193"/>
    <cellStyle name="Comma 2 2 12 4 2" xfId="6194"/>
    <cellStyle name="Comma 2 2 12 4 2 2" xfId="6195"/>
    <cellStyle name="Comma 2 2 12 4 3" xfId="6196"/>
    <cellStyle name="Comma 2 2 12 4 4" xfId="6197"/>
    <cellStyle name="Comma 2 2 12 4 5" xfId="6198"/>
    <cellStyle name="Comma 2 2 12 5" xfId="6199"/>
    <cellStyle name="Comma 2 2 12 5 2" xfId="6200"/>
    <cellStyle name="Comma 2 2 12 5 3" xfId="6201"/>
    <cellStyle name="Comma 2 2 12 5 4" xfId="6202"/>
    <cellStyle name="Comma 2 2 12 6" xfId="6203"/>
    <cellStyle name="Comma 2 2 12 6 2" xfId="6204"/>
    <cellStyle name="Comma 2 2 12 7" xfId="6205"/>
    <cellStyle name="Comma 2 2 12 8" xfId="6206"/>
    <cellStyle name="Comma 2 2 12 9" xfId="6207"/>
    <cellStyle name="Comma 2 2 13" xfId="6208"/>
    <cellStyle name="Comma 2 2 13 10" xfId="6209"/>
    <cellStyle name="Comma 2 2 13 2" xfId="6210"/>
    <cellStyle name="Comma 2 2 13 2 2" xfId="6211"/>
    <cellStyle name="Comma 2 2 13 2 2 2" xfId="6212"/>
    <cellStyle name="Comma 2 2 13 2 2 3" xfId="6213"/>
    <cellStyle name="Comma 2 2 13 2 3" xfId="6214"/>
    <cellStyle name="Comma 2 2 13 2 4" xfId="6215"/>
    <cellStyle name="Comma 2 2 13 2 5" xfId="6216"/>
    <cellStyle name="Comma 2 2 13 2 6" xfId="6217"/>
    <cellStyle name="Comma 2 2 13 3" xfId="6218"/>
    <cellStyle name="Comma 2 2 13 3 2" xfId="6219"/>
    <cellStyle name="Comma 2 2 13 3 2 2" xfId="6220"/>
    <cellStyle name="Comma 2 2 13 3 2 3" xfId="6221"/>
    <cellStyle name="Comma 2 2 13 3 3" xfId="6222"/>
    <cellStyle name="Comma 2 2 13 3 4" xfId="6223"/>
    <cellStyle name="Comma 2 2 13 3 5" xfId="6224"/>
    <cellStyle name="Comma 2 2 13 3 6" xfId="6225"/>
    <cellStyle name="Comma 2 2 13 4" xfId="6226"/>
    <cellStyle name="Comma 2 2 13 4 2" xfId="6227"/>
    <cellStyle name="Comma 2 2 13 4 2 2" xfId="6228"/>
    <cellStyle name="Comma 2 2 13 4 3" xfId="6229"/>
    <cellStyle name="Comma 2 2 13 4 4" xfId="6230"/>
    <cellStyle name="Comma 2 2 13 4 5" xfId="6231"/>
    <cellStyle name="Comma 2 2 13 5" xfId="6232"/>
    <cellStyle name="Comma 2 2 13 5 2" xfId="6233"/>
    <cellStyle name="Comma 2 2 13 5 3" xfId="6234"/>
    <cellStyle name="Comma 2 2 13 5 4" xfId="6235"/>
    <cellStyle name="Comma 2 2 13 6" xfId="6236"/>
    <cellStyle name="Comma 2 2 13 6 2" xfId="6237"/>
    <cellStyle name="Comma 2 2 13 7" xfId="6238"/>
    <cellStyle name="Comma 2 2 13 8" xfId="6239"/>
    <cellStyle name="Comma 2 2 13 9" xfId="6240"/>
    <cellStyle name="Comma 2 2 14" xfId="6241"/>
    <cellStyle name="Comma 2 2 14 10" xfId="6242"/>
    <cellStyle name="Comma 2 2 14 2" xfId="6243"/>
    <cellStyle name="Comma 2 2 14 2 2" xfId="6244"/>
    <cellStyle name="Comma 2 2 14 2 2 2" xfId="6245"/>
    <cellStyle name="Comma 2 2 14 2 2 3" xfId="6246"/>
    <cellStyle name="Comma 2 2 14 2 3" xfId="6247"/>
    <cellStyle name="Comma 2 2 14 2 4" xfId="6248"/>
    <cellStyle name="Comma 2 2 14 2 5" xfId="6249"/>
    <cellStyle name="Comma 2 2 14 2 6" xfId="6250"/>
    <cellStyle name="Comma 2 2 14 3" xfId="6251"/>
    <cellStyle name="Comma 2 2 14 3 2" xfId="6252"/>
    <cellStyle name="Comma 2 2 14 3 2 2" xfId="6253"/>
    <cellStyle name="Comma 2 2 14 3 2 3" xfId="6254"/>
    <cellStyle name="Comma 2 2 14 3 3" xfId="6255"/>
    <cellStyle name="Comma 2 2 14 3 4" xfId="6256"/>
    <cellStyle name="Comma 2 2 14 3 5" xfId="6257"/>
    <cellStyle name="Comma 2 2 14 3 6" xfId="6258"/>
    <cellStyle name="Comma 2 2 14 4" xfId="6259"/>
    <cellStyle name="Comma 2 2 14 4 2" xfId="6260"/>
    <cellStyle name="Comma 2 2 14 4 2 2" xfId="6261"/>
    <cellStyle name="Comma 2 2 14 4 3" xfId="6262"/>
    <cellStyle name="Comma 2 2 14 4 4" xfId="6263"/>
    <cellStyle name="Comma 2 2 14 4 5" xfId="6264"/>
    <cellStyle name="Comma 2 2 14 5" xfId="6265"/>
    <cellStyle name="Comma 2 2 14 5 2" xfId="6266"/>
    <cellStyle name="Comma 2 2 14 5 3" xfId="6267"/>
    <cellStyle name="Comma 2 2 14 5 4" xfId="6268"/>
    <cellStyle name="Comma 2 2 14 6" xfId="6269"/>
    <cellStyle name="Comma 2 2 14 6 2" xfId="6270"/>
    <cellStyle name="Comma 2 2 14 7" xfId="6271"/>
    <cellStyle name="Comma 2 2 14 8" xfId="6272"/>
    <cellStyle name="Comma 2 2 14 9" xfId="6273"/>
    <cellStyle name="Comma 2 2 15" xfId="6274"/>
    <cellStyle name="Comma 2 2 15 10" xfId="6275"/>
    <cellStyle name="Comma 2 2 15 2" xfId="6276"/>
    <cellStyle name="Comma 2 2 15 2 2" xfId="6277"/>
    <cellStyle name="Comma 2 2 15 2 2 2" xfId="6278"/>
    <cellStyle name="Comma 2 2 15 2 2 3" xfId="6279"/>
    <cellStyle name="Comma 2 2 15 2 3" xfId="6280"/>
    <cellStyle name="Comma 2 2 15 2 4" xfId="6281"/>
    <cellStyle name="Comma 2 2 15 2 5" xfId="6282"/>
    <cellStyle name="Comma 2 2 15 2 6" xfId="6283"/>
    <cellStyle name="Comma 2 2 15 3" xfId="6284"/>
    <cellStyle name="Comma 2 2 15 3 2" xfId="6285"/>
    <cellStyle name="Comma 2 2 15 3 2 2" xfId="6286"/>
    <cellStyle name="Comma 2 2 15 3 2 3" xfId="6287"/>
    <cellStyle name="Comma 2 2 15 3 3" xfId="6288"/>
    <cellStyle name="Comma 2 2 15 3 4" xfId="6289"/>
    <cellStyle name="Comma 2 2 15 3 5" xfId="6290"/>
    <cellStyle name="Comma 2 2 15 3 6" xfId="6291"/>
    <cellStyle name="Comma 2 2 15 4" xfId="6292"/>
    <cellStyle name="Comma 2 2 15 4 2" xfId="6293"/>
    <cellStyle name="Comma 2 2 15 4 2 2" xfId="6294"/>
    <cellStyle name="Comma 2 2 15 4 3" xfId="6295"/>
    <cellStyle name="Comma 2 2 15 4 4" xfId="6296"/>
    <cellStyle name="Comma 2 2 15 4 5" xfId="6297"/>
    <cellStyle name="Comma 2 2 15 5" xfId="6298"/>
    <cellStyle name="Comma 2 2 15 5 2" xfId="6299"/>
    <cellStyle name="Comma 2 2 15 5 3" xfId="6300"/>
    <cellStyle name="Comma 2 2 15 5 4" xfId="6301"/>
    <cellStyle name="Comma 2 2 15 6" xfId="6302"/>
    <cellStyle name="Comma 2 2 15 6 2" xfId="6303"/>
    <cellStyle name="Comma 2 2 15 7" xfId="6304"/>
    <cellStyle name="Comma 2 2 15 8" xfId="6305"/>
    <cellStyle name="Comma 2 2 15 9" xfId="6306"/>
    <cellStyle name="Comma 2 2 16" xfId="6307"/>
    <cellStyle name="Comma 2 2 16 10" xfId="6308"/>
    <cellStyle name="Comma 2 2 16 2" xfId="6309"/>
    <cellStyle name="Comma 2 2 16 2 2" xfId="6310"/>
    <cellStyle name="Comma 2 2 16 2 2 2" xfId="6311"/>
    <cellStyle name="Comma 2 2 16 2 2 3" xfId="6312"/>
    <cellStyle name="Comma 2 2 16 2 3" xfId="6313"/>
    <cellStyle name="Comma 2 2 16 2 4" xfId="6314"/>
    <cellStyle name="Comma 2 2 16 2 5" xfId="6315"/>
    <cellStyle name="Comma 2 2 16 2 6" xfId="6316"/>
    <cellStyle name="Comma 2 2 16 3" xfId="6317"/>
    <cellStyle name="Comma 2 2 16 3 2" xfId="6318"/>
    <cellStyle name="Comma 2 2 16 3 2 2" xfId="6319"/>
    <cellStyle name="Comma 2 2 16 3 2 3" xfId="6320"/>
    <cellStyle name="Comma 2 2 16 3 3" xfId="6321"/>
    <cellStyle name="Comma 2 2 16 3 4" xfId="6322"/>
    <cellStyle name="Comma 2 2 16 3 5" xfId="6323"/>
    <cellStyle name="Comma 2 2 16 3 6" xfId="6324"/>
    <cellStyle name="Comma 2 2 16 4" xfId="6325"/>
    <cellStyle name="Comma 2 2 16 4 2" xfId="6326"/>
    <cellStyle name="Comma 2 2 16 4 2 2" xfId="6327"/>
    <cellStyle name="Comma 2 2 16 4 3" xfId="6328"/>
    <cellStyle name="Comma 2 2 16 4 4" xfId="6329"/>
    <cellStyle name="Comma 2 2 16 4 5" xfId="6330"/>
    <cellStyle name="Comma 2 2 16 5" xfId="6331"/>
    <cellStyle name="Comma 2 2 16 5 2" xfId="6332"/>
    <cellStyle name="Comma 2 2 16 5 3" xfId="6333"/>
    <cellStyle name="Comma 2 2 16 5 4" xfId="6334"/>
    <cellStyle name="Comma 2 2 16 6" xfId="6335"/>
    <cellStyle name="Comma 2 2 16 6 2" xfId="6336"/>
    <cellStyle name="Comma 2 2 16 7" xfId="6337"/>
    <cellStyle name="Comma 2 2 16 8" xfId="6338"/>
    <cellStyle name="Comma 2 2 16 9" xfId="6339"/>
    <cellStyle name="Comma 2 2 17" xfId="6340"/>
    <cellStyle name="Comma 2 2 17 10" xfId="6341"/>
    <cellStyle name="Comma 2 2 17 2" xfId="6342"/>
    <cellStyle name="Comma 2 2 17 2 2" xfId="6343"/>
    <cellStyle name="Comma 2 2 17 2 2 2" xfId="6344"/>
    <cellStyle name="Comma 2 2 17 2 2 3" xfId="6345"/>
    <cellStyle name="Comma 2 2 17 2 3" xfId="6346"/>
    <cellStyle name="Comma 2 2 17 2 4" xfId="6347"/>
    <cellStyle name="Comma 2 2 17 2 5" xfId="6348"/>
    <cellStyle name="Comma 2 2 17 2 6" xfId="6349"/>
    <cellStyle name="Comma 2 2 17 3" xfId="6350"/>
    <cellStyle name="Comma 2 2 17 3 2" xfId="6351"/>
    <cellStyle name="Comma 2 2 17 3 2 2" xfId="6352"/>
    <cellStyle name="Comma 2 2 17 3 2 3" xfId="6353"/>
    <cellStyle name="Comma 2 2 17 3 3" xfId="6354"/>
    <cellStyle name="Comma 2 2 17 3 4" xfId="6355"/>
    <cellStyle name="Comma 2 2 17 3 5" xfId="6356"/>
    <cellStyle name="Comma 2 2 17 3 6" xfId="6357"/>
    <cellStyle name="Comma 2 2 17 4" xfId="6358"/>
    <cellStyle name="Comma 2 2 17 4 2" xfId="6359"/>
    <cellStyle name="Comma 2 2 17 4 2 2" xfId="6360"/>
    <cellStyle name="Comma 2 2 17 4 3" xfId="6361"/>
    <cellStyle name="Comma 2 2 17 4 4" xfId="6362"/>
    <cellStyle name="Comma 2 2 17 4 5" xfId="6363"/>
    <cellStyle name="Comma 2 2 17 5" xfId="6364"/>
    <cellStyle name="Comma 2 2 17 5 2" xfId="6365"/>
    <cellStyle name="Comma 2 2 17 5 3" xfId="6366"/>
    <cellStyle name="Comma 2 2 17 5 4" xfId="6367"/>
    <cellStyle name="Comma 2 2 17 6" xfId="6368"/>
    <cellStyle name="Comma 2 2 17 6 2" xfId="6369"/>
    <cellStyle name="Comma 2 2 17 7" xfId="6370"/>
    <cellStyle name="Comma 2 2 17 8" xfId="6371"/>
    <cellStyle name="Comma 2 2 17 9" xfId="6372"/>
    <cellStyle name="Comma 2 2 18" xfId="6373"/>
    <cellStyle name="Comma 2 2 18 10" xfId="6374"/>
    <cellStyle name="Comma 2 2 18 2" xfId="6375"/>
    <cellStyle name="Comma 2 2 18 2 2" xfId="6376"/>
    <cellStyle name="Comma 2 2 18 2 2 2" xfId="6377"/>
    <cellStyle name="Comma 2 2 18 2 2 3" xfId="6378"/>
    <cellStyle name="Comma 2 2 18 2 3" xfId="6379"/>
    <cellStyle name="Comma 2 2 18 2 4" xfId="6380"/>
    <cellStyle name="Comma 2 2 18 2 5" xfId="6381"/>
    <cellStyle name="Comma 2 2 18 2 6" xfId="6382"/>
    <cellStyle name="Comma 2 2 18 3" xfId="6383"/>
    <cellStyle name="Comma 2 2 18 3 2" xfId="6384"/>
    <cellStyle name="Comma 2 2 18 3 2 2" xfId="6385"/>
    <cellStyle name="Comma 2 2 18 3 2 3" xfId="6386"/>
    <cellStyle name="Comma 2 2 18 3 3" xfId="6387"/>
    <cellStyle name="Comma 2 2 18 3 4" xfId="6388"/>
    <cellStyle name="Comma 2 2 18 3 5" xfId="6389"/>
    <cellStyle name="Comma 2 2 18 3 6" xfId="6390"/>
    <cellStyle name="Comma 2 2 18 4" xfId="6391"/>
    <cellStyle name="Comma 2 2 18 4 2" xfId="6392"/>
    <cellStyle name="Comma 2 2 18 4 2 2" xfId="6393"/>
    <cellStyle name="Comma 2 2 18 4 3" xfId="6394"/>
    <cellStyle name="Comma 2 2 18 4 4" xfId="6395"/>
    <cellStyle name="Comma 2 2 18 4 5" xfId="6396"/>
    <cellStyle name="Comma 2 2 18 5" xfId="6397"/>
    <cellStyle name="Comma 2 2 18 5 2" xfId="6398"/>
    <cellStyle name="Comma 2 2 18 5 3" xfId="6399"/>
    <cellStyle name="Comma 2 2 18 5 4" xfId="6400"/>
    <cellStyle name="Comma 2 2 18 6" xfId="6401"/>
    <cellStyle name="Comma 2 2 18 6 2" xfId="6402"/>
    <cellStyle name="Comma 2 2 18 7" xfId="6403"/>
    <cellStyle name="Comma 2 2 18 8" xfId="6404"/>
    <cellStyle name="Comma 2 2 18 9" xfId="6405"/>
    <cellStyle name="Comma 2 2 19" xfId="6406"/>
    <cellStyle name="Comma 2 2 19 10" xfId="6407"/>
    <cellStyle name="Comma 2 2 19 2" xfId="6408"/>
    <cellStyle name="Comma 2 2 19 2 2" xfId="6409"/>
    <cellStyle name="Comma 2 2 19 2 2 2" xfId="6410"/>
    <cellStyle name="Comma 2 2 19 2 2 3" xfId="6411"/>
    <cellStyle name="Comma 2 2 19 2 3" xfId="6412"/>
    <cellStyle name="Comma 2 2 19 2 4" xfId="6413"/>
    <cellStyle name="Comma 2 2 19 2 5" xfId="6414"/>
    <cellStyle name="Comma 2 2 19 2 6" xfId="6415"/>
    <cellStyle name="Comma 2 2 19 3" xfId="6416"/>
    <cellStyle name="Comma 2 2 19 3 2" xfId="6417"/>
    <cellStyle name="Comma 2 2 19 3 2 2" xfId="6418"/>
    <cellStyle name="Comma 2 2 19 3 2 3" xfId="6419"/>
    <cellStyle name="Comma 2 2 19 3 3" xfId="6420"/>
    <cellStyle name="Comma 2 2 19 3 4" xfId="6421"/>
    <cellStyle name="Comma 2 2 19 3 5" xfId="6422"/>
    <cellStyle name="Comma 2 2 19 3 6" xfId="6423"/>
    <cellStyle name="Comma 2 2 19 4" xfId="6424"/>
    <cellStyle name="Comma 2 2 19 4 2" xfId="6425"/>
    <cellStyle name="Comma 2 2 19 4 2 2" xfId="6426"/>
    <cellStyle name="Comma 2 2 19 4 3" xfId="6427"/>
    <cellStyle name="Comma 2 2 19 4 4" xfId="6428"/>
    <cellStyle name="Comma 2 2 19 4 5" xfId="6429"/>
    <cellStyle name="Comma 2 2 19 5" xfId="6430"/>
    <cellStyle name="Comma 2 2 19 5 2" xfId="6431"/>
    <cellStyle name="Comma 2 2 19 5 3" xfId="6432"/>
    <cellStyle name="Comma 2 2 19 5 4" xfId="6433"/>
    <cellStyle name="Comma 2 2 19 6" xfId="6434"/>
    <cellStyle name="Comma 2 2 19 6 2" xfId="6435"/>
    <cellStyle name="Comma 2 2 19 7" xfId="6436"/>
    <cellStyle name="Comma 2 2 19 8" xfId="6437"/>
    <cellStyle name="Comma 2 2 19 9" xfId="6438"/>
    <cellStyle name="Comma 2 2 2" xfId="6439"/>
    <cellStyle name="Comma 2 2 2 10" xfId="6440"/>
    <cellStyle name="Comma 2 2 2 10 10" xfId="6441"/>
    <cellStyle name="Comma 2 2 2 10 2" xfId="6442"/>
    <cellStyle name="Comma 2 2 2 10 2 2" xfId="6443"/>
    <cellStyle name="Comma 2 2 2 10 2 2 2" xfId="6444"/>
    <cellStyle name="Comma 2 2 2 10 2 2 3" xfId="6445"/>
    <cellStyle name="Comma 2 2 2 10 2 3" xfId="6446"/>
    <cellStyle name="Comma 2 2 2 10 2 4" xfId="6447"/>
    <cellStyle name="Comma 2 2 2 10 2 5" xfId="6448"/>
    <cellStyle name="Comma 2 2 2 10 2 6" xfId="6449"/>
    <cellStyle name="Comma 2 2 2 10 3" xfId="6450"/>
    <cellStyle name="Comma 2 2 2 10 3 2" xfId="6451"/>
    <cellStyle name="Comma 2 2 2 10 3 2 2" xfId="6452"/>
    <cellStyle name="Comma 2 2 2 10 3 2 3" xfId="6453"/>
    <cellStyle name="Comma 2 2 2 10 3 3" xfId="6454"/>
    <cellStyle name="Comma 2 2 2 10 3 4" xfId="6455"/>
    <cellStyle name="Comma 2 2 2 10 3 5" xfId="6456"/>
    <cellStyle name="Comma 2 2 2 10 3 6" xfId="6457"/>
    <cellStyle name="Comma 2 2 2 10 4" xfId="6458"/>
    <cellStyle name="Comma 2 2 2 10 4 2" xfId="6459"/>
    <cellStyle name="Comma 2 2 2 10 4 2 2" xfId="6460"/>
    <cellStyle name="Comma 2 2 2 10 4 3" xfId="6461"/>
    <cellStyle name="Comma 2 2 2 10 4 4" xfId="6462"/>
    <cellStyle name="Comma 2 2 2 10 4 5" xfId="6463"/>
    <cellStyle name="Comma 2 2 2 10 5" xfId="6464"/>
    <cellStyle name="Comma 2 2 2 10 5 2" xfId="6465"/>
    <cellStyle name="Comma 2 2 2 10 5 3" xfId="6466"/>
    <cellStyle name="Comma 2 2 2 10 5 4" xfId="6467"/>
    <cellStyle name="Comma 2 2 2 10 6" xfId="6468"/>
    <cellStyle name="Comma 2 2 2 10 6 2" xfId="6469"/>
    <cellStyle name="Comma 2 2 2 10 7" xfId="6470"/>
    <cellStyle name="Comma 2 2 2 10 8" xfId="6471"/>
    <cellStyle name="Comma 2 2 2 10 9" xfId="6472"/>
    <cellStyle name="Comma 2 2 2 11" xfId="6473"/>
    <cellStyle name="Comma 2 2 2 11 10" xfId="6474"/>
    <cellStyle name="Comma 2 2 2 11 2" xfId="6475"/>
    <cellStyle name="Comma 2 2 2 11 2 2" xfId="6476"/>
    <cellStyle name="Comma 2 2 2 11 2 2 2" xfId="6477"/>
    <cellStyle name="Comma 2 2 2 11 2 2 3" xfId="6478"/>
    <cellStyle name="Comma 2 2 2 11 2 3" xfId="6479"/>
    <cellStyle name="Comma 2 2 2 11 2 4" xfId="6480"/>
    <cellStyle name="Comma 2 2 2 11 2 5" xfId="6481"/>
    <cellStyle name="Comma 2 2 2 11 2 6" xfId="6482"/>
    <cellStyle name="Comma 2 2 2 11 3" xfId="6483"/>
    <cellStyle name="Comma 2 2 2 11 3 2" xfId="6484"/>
    <cellStyle name="Comma 2 2 2 11 3 2 2" xfId="6485"/>
    <cellStyle name="Comma 2 2 2 11 3 2 3" xfId="6486"/>
    <cellStyle name="Comma 2 2 2 11 3 3" xfId="6487"/>
    <cellStyle name="Comma 2 2 2 11 3 4" xfId="6488"/>
    <cellStyle name="Comma 2 2 2 11 3 5" xfId="6489"/>
    <cellStyle name="Comma 2 2 2 11 3 6" xfId="6490"/>
    <cellStyle name="Comma 2 2 2 11 4" xfId="6491"/>
    <cellStyle name="Comma 2 2 2 11 4 2" xfId="6492"/>
    <cellStyle name="Comma 2 2 2 11 4 2 2" xfId="6493"/>
    <cellStyle name="Comma 2 2 2 11 4 3" xfId="6494"/>
    <cellStyle name="Comma 2 2 2 11 4 4" xfId="6495"/>
    <cellStyle name="Comma 2 2 2 11 4 5" xfId="6496"/>
    <cellStyle name="Comma 2 2 2 11 5" xfId="6497"/>
    <cellStyle name="Comma 2 2 2 11 5 2" xfId="6498"/>
    <cellStyle name="Comma 2 2 2 11 5 3" xfId="6499"/>
    <cellStyle name="Comma 2 2 2 11 5 4" xfId="6500"/>
    <cellStyle name="Comma 2 2 2 11 6" xfId="6501"/>
    <cellStyle name="Comma 2 2 2 11 6 2" xfId="6502"/>
    <cellStyle name="Comma 2 2 2 11 7" xfId="6503"/>
    <cellStyle name="Comma 2 2 2 11 8" xfId="6504"/>
    <cellStyle name="Comma 2 2 2 11 9" xfId="6505"/>
    <cellStyle name="Comma 2 2 2 12" xfId="6506"/>
    <cellStyle name="Comma 2 2 2 12 10" xfId="6507"/>
    <cellStyle name="Comma 2 2 2 12 2" xfId="6508"/>
    <cellStyle name="Comma 2 2 2 12 2 2" xfId="6509"/>
    <cellStyle name="Comma 2 2 2 12 2 2 2" xfId="6510"/>
    <cellStyle name="Comma 2 2 2 12 2 2 3" xfId="6511"/>
    <cellStyle name="Comma 2 2 2 12 2 3" xfId="6512"/>
    <cellStyle name="Comma 2 2 2 12 2 4" xfId="6513"/>
    <cellStyle name="Comma 2 2 2 12 2 5" xfId="6514"/>
    <cellStyle name="Comma 2 2 2 12 2 6" xfId="6515"/>
    <cellStyle name="Comma 2 2 2 12 3" xfId="6516"/>
    <cellStyle name="Comma 2 2 2 12 3 2" xfId="6517"/>
    <cellStyle name="Comma 2 2 2 12 3 2 2" xfId="6518"/>
    <cellStyle name="Comma 2 2 2 12 3 2 3" xfId="6519"/>
    <cellStyle name="Comma 2 2 2 12 3 3" xfId="6520"/>
    <cellStyle name="Comma 2 2 2 12 3 4" xfId="6521"/>
    <cellStyle name="Comma 2 2 2 12 3 5" xfId="6522"/>
    <cellStyle name="Comma 2 2 2 12 3 6" xfId="6523"/>
    <cellStyle name="Comma 2 2 2 12 4" xfId="6524"/>
    <cellStyle name="Comma 2 2 2 12 4 2" xfId="6525"/>
    <cellStyle name="Comma 2 2 2 12 4 2 2" xfId="6526"/>
    <cellStyle name="Comma 2 2 2 12 4 3" xfId="6527"/>
    <cellStyle name="Comma 2 2 2 12 4 4" xfId="6528"/>
    <cellStyle name="Comma 2 2 2 12 4 5" xfId="6529"/>
    <cellStyle name="Comma 2 2 2 12 5" xfId="6530"/>
    <cellStyle name="Comma 2 2 2 12 5 2" xfId="6531"/>
    <cellStyle name="Comma 2 2 2 12 5 3" xfId="6532"/>
    <cellStyle name="Comma 2 2 2 12 5 4" xfId="6533"/>
    <cellStyle name="Comma 2 2 2 12 6" xfId="6534"/>
    <cellStyle name="Comma 2 2 2 12 6 2" xfId="6535"/>
    <cellStyle name="Comma 2 2 2 12 7" xfId="6536"/>
    <cellStyle name="Comma 2 2 2 12 8" xfId="6537"/>
    <cellStyle name="Comma 2 2 2 12 9" xfId="6538"/>
    <cellStyle name="Comma 2 2 2 13" xfId="6539"/>
    <cellStyle name="Comma 2 2 2 13 2" xfId="6540"/>
    <cellStyle name="Comma 2 2 2 13 2 2" xfId="6541"/>
    <cellStyle name="Comma 2 2 2 13 2 2 2" xfId="6542"/>
    <cellStyle name="Comma 2 2 2 13 2 2 3" xfId="6543"/>
    <cellStyle name="Comma 2 2 2 13 2 3" xfId="6544"/>
    <cellStyle name="Comma 2 2 2 13 2 4" xfId="6545"/>
    <cellStyle name="Comma 2 2 2 13 2 5" xfId="6546"/>
    <cellStyle name="Comma 2 2 2 13 2 6" xfId="6547"/>
    <cellStyle name="Comma 2 2 2 13 3" xfId="6548"/>
    <cellStyle name="Comma 2 2 2 13 3 2" xfId="6549"/>
    <cellStyle name="Comma 2 2 2 13 3 2 2" xfId="6550"/>
    <cellStyle name="Comma 2 2 2 13 3 3" xfId="6551"/>
    <cellStyle name="Comma 2 2 2 13 3 4" xfId="6552"/>
    <cellStyle name="Comma 2 2 2 13 3 5" xfId="6553"/>
    <cellStyle name="Comma 2 2 2 13 4" xfId="6554"/>
    <cellStyle name="Comma 2 2 2 13 4 2" xfId="6555"/>
    <cellStyle name="Comma 2 2 2 13 4 3" xfId="6556"/>
    <cellStyle name="Comma 2 2 2 13 4 4" xfId="6557"/>
    <cellStyle name="Comma 2 2 2 13 5" xfId="6558"/>
    <cellStyle name="Comma 2 2 2 13 5 2" xfId="6559"/>
    <cellStyle name="Comma 2 2 2 13 6" xfId="6560"/>
    <cellStyle name="Comma 2 2 2 13 7" xfId="6561"/>
    <cellStyle name="Comma 2 2 2 13 8" xfId="6562"/>
    <cellStyle name="Comma 2 2 2 13 9" xfId="6563"/>
    <cellStyle name="Comma 2 2 2 14" xfId="6564"/>
    <cellStyle name="Comma 2 2 2 14 2" xfId="6565"/>
    <cellStyle name="Comma 2 2 2 14 2 2" xfId="6566"/>
    <cellStyle name="Comma 2 2 2 14 2 2 2" xfId="6567"/>
    <cellStyle name="Comma 2 2 2 14 2 2 3" xfId="6568"/>
    <cellStyle name="Comma 2 2 2 14 2 3" xfId="6569"/>
    <cellStyle name="Comma 2 2 2 14 2 4" xfId="6570"/>
    <cellStyle name="Comma 2 2 2 14 2 5" xfId="6571"/>
    <cellStyle name="Comma 2 2 2 14 2 6" xfId="6572"/>
    <cellStyle name="Comma 2 2 2 14 3" xfId="6573"/>
    <cellStyle name="Comma 2 2 2 14 3 2" xfId="6574"/>
    <cellStyle name="Comma 2 2 2 14 3 2 2" xfId="6575"/>
    <cellStyle name="Comma 2 2 2 14 3 3" xfId="6576"/>
    <cellStyle name="Comma 2 2 2 14 3 4" xfId="6577"/>
    <cellStyle name="Comma 2 2 2 14 3 5" xfId="6578"/>
    <cellStyle name="Comma 2 2 2 14 4" xfId="6579"/>
    <cellStyle name="Comma 2 2 2 14 4 2" xfId="6580"/>
    <cellStyle name="Comma 2 2 2 14 4 3" xfId="6581"/>
    <cellStyle name="Comma 2 2 2 14 4 4" xfId="6582"/>
    <cellStyle name="Comma 2 2 2 14 5" xfId="6583"/>
    <cellStyle name="Comma 2 2 2 14 5 2" xfId="6584"/>
    <cellStyle name="Comma 2 2 2 14 6" xfId="6585"/>
    <cellStyle name="Comma 2 2 2 14 7" xfId="6586"/>
    <cellStyle name="Comma 2 2 2 14 8" xfId="6587"/>
    <cellStyle name="Comma 2 2 2 14 9" xfId="6588"/>
    <cellStyle name="Comma 2 2 2 15" xfId="6589"/>
    <cellStyle name="Comma 2 2 2 15 2" xfId="6590"/>
    <cellStyle name="Comma 2 2 2 15 2 2" xfId="6591"/>
    <cellStyle name="Comma 2 2 2 15 2 3" xfId="6592"/>
    <cellStyle name="Comma 2 2 2 15 3" xfId="6593"/>
    <cellStyle name="Comma 2 2 2 15 4" xfId="6594"/>
    <cellStyle name="Comma 2 2 2 15 5" xfId="6595"/>
    <cellStyle name="Comma 2 2 2 15 6" xfId="6596"/>
    <cellStyle name="Comma 2 2 2 16" xfId="6597"/>
    <cellStyle name="Comma 2 2 2 16 2" xfId="6598"/>
    <cellStyle name="Comma 2 2 2 16 2 2" xfId="6599"/>
    <cellStyle name="Comma 2 2 2 16 2 3" xfId="6600"/>
    <cellStyle name="Comma 2 2 2 16 3" xfId="6601"/>
    <cellStyle name="Comma 2 2 2 16 4" xfId="6602"/>
    <cellStyle name="Comma 2 2 2 16 5" xfId="6603"/>
    <cellStyle name="Comma 2 2 2 16 6" xfId="6604"/>
    <cellStyle name="Comma 2 2 2 17" xfId="6605"/>
    <cellStyle name="Comma 2 2 2 17 2" xfId="6606"/>
    <cellStyle name="Comma 2 2 2 17 2 2" xfId="6607"/>
    <cellStyle name="Comma 2 2 2 17 2 3" xfId="6608"/>
    <cellStyle name="Comma 2 2 2 17 3" xfId="6609"/>
    <cellStyle name="Comma 2 2 2 17 4" xfId="6610"/>
    <cellStyle name="Comma 2 2 2 17 5" xfId="6611"/>
    <cellStyle name="Comma 2 2 2 17 6" xfId="6612"/>
    <cellStyle name="Comma 2 2 2 18" xfId="6613"/>
    <cellStyle name="Comma 2 2 2 18 2" xfId="6614"/>
    <cellStyle name="Comma 2 2 2 18 3" xfId="6615"/>
    <cellStyle name="Comma 2 2 2 18 4" xfId="6616"/>
    <cellStyle name="Comma 2 2 2 19" xfId="6617"/>
    <cellStyle name="Comma 2 2 2 19 2" xfId="6618"/>
    <cellStyle name="Comma 2 2 2 19 3" xfId="6619"/>
    <cellStyle name="Comma 2 2 2 2" xfId="6620"/>
    <cellStyle name="Comma 2 2 2 2 10" xfId="6621"/>
    <cellStyle name="Comma 2 2 2 2 11" xfId="6622"/>
    <cellStyle name="Comma 2 2 2 2 2" xfId="6623"/>
    <cellStyle name="Comma 2 2 2 2 2 2" xfId="6624"/>
    <cellStyle name="Comma 2 2 2 2 2 2 2" xfId="6625"/>
    <cellStyle name="Comma 2 2 2 2 2 2 2 2" xfId="6626"/>
    <cellStyle name="Comma 2 2 2 2 2 2 2 3" xfId="6627"/>
    <cellStyle name="Comma 2 2 2 2 2 2 3" xfId="6628"/>
    <cellStyle name="Comma 2 2 2 2 2 2 4" xfId="6629"/>
    <cellStyle name="Comma 2 2 2 2 2 2 5" xfId="6630"/>
    <cellStyle name="Comma 2 2 2 2 2 2 6" xfId="6631"/>
    <cellStyle name="Comma 2 2 2 2 2 3" xfId="6632"/>
    <cellStyle name="Comma 2 2 2 2 2 3 2" xfId="6633"/>
    <cellStyle name="Comma 2 2 2 2 2 3 2 2" xfId="6634"/>
    <cellStyle name="Comma 2 2 2 2 2 3 3" xfId="6635"/>
    <cellStyle name="Comma 2 2 2 2 2 3 4" xfId="6636"/>
    <cellStyle name="Comma 2 2 2 2 2 3 5" xfId="6637"/>
    <cellStyle name="Comma 2 2 2 2 2 3 6" xfId="6638"/>
    <cellStyle name="Comma 2 2 2 2 2 4" xfId="6639"/>
    <cellStyle name="Comma 2 2 2 2 2 4 2" xfId="6640"/>
    <cellStyle name="Comma 2 2 2 2 2 4 3" xfId="6641"/>
    <cellStyle name="Comma 2 2 2 2 2 4 4" xfId="6642"/>
    <cellStyle name="Comma 2 2 2 2 2 4 5" xfId="6643"/>
    <cellStyle name="Comma 2 2 2 2 2 5" xfId="6644"/>
    <cellStyle name="Comma 2 2 2 2 2 5 2" xfId="6645"/>
    <cellStyle name="Comma 2 2 2 2 2 6" xfId="6646"/>
    <cellStyle name="Comma 2 2 2 2 2 7" xfId="6647"/>
    <cellStyle name="Comma 2 2 2 2 2 8" xfId="6648"/>
    <cellStyle name="Comma 2 2 2 2 2 9" xfId="6649"/>
    <cellStyle name="Comma 2 2 2 2 3" xfId="6650"/>
    <cellStyle name="Comma 2 2 2 2 3 2" xfId="6651"/>
    <cellStyle name="Comma 2 2 2 2 3 2 2" xfId="6652"/>
    <cellStyle name="Comma 2 2 2 2 3 2 2 2" xfId="6653"/>
    <cellStyle name="Comma 2 2 2 2 3 2 2 3" xfId="6654"/>
    <cellStyle name="Comma 2 2 2 2 3 2 3" xfId="6655"/>
    <cellStyle name="Comma 2 2 2 2 3 2 4" xfId="6656"/>
    <cellStyle name="Comma 2 2 2 2 3 2 5" xfId="6657"/>
    <cellStyle name="Comma 2 2 2 2 3 2 6" xfId="6658"/>
    <cellStyle name="Comma 2 2 2 2 3 3" xfId="6659"/>
    <cellStyle name="Comma 2 2 2 2 3 3 2" xfId="6660"/>
    <cellStyle name="Comma 2 2 2 2 3 3 2 2" xfId="6661"/>
    <cellStyle name="Comma 2 2 2 2 3 3 3" xfId="6662"/>
    <cellStyle name="Comma 2 2 2 2 3 3 4" xfId="6663"/>
    <cellStyle name="Comma 2 2 2 2 3 3 5" xfId="6664"/>
    <cellStyle name="Comma 2 2 2 2 3 4" xfId="6665"/>
    <cellStyle name="Comma 2 2 2 2 3 4 2" xfId="6666"/>
    <cellStyle name="Comma 2 2 2 2 3 4 3" xfId="6667"/>
    <cellStyle name="Comma 2 2 2 2 3 4 4" xfId="6668"/>
    <cellStyle name="Comma 2 2 2 2 3 5" xfId="6669"/>
    <cellStyle name="Comma 2 2 2 2 3 5 2" xfId="6670"/>
    <cellStyle name="Comma 2 2 2 2 3 6" xfId="6671"/>
    <cellStyle name="Comma 2 2 2 2 3 7" xfId="6672"/>
    <cellStyle name="Comma 2 2 2 2 3 8" xfId="6673"/>
    <cellStyle name="Comma 2 2 2 2 3 9" xfId="6674"/>
    <cellStyle name="Comma 2 2 2 2 4" xfId="6675"/>
    <cellStyle name="Comma 2 2 2 2 4 2" xfId="6676"/>
    <cellStyle name="Comma 2 2 2 2 4 2 2" xfId="6677"/>
    <cellStyle name="Comma 2 2 2 2 4 2 3" xfId="6678"/>
    <cellStyle name="Comma 2 2 2 2 4 3" xfId="6679"/>
    <cellStyle name="Comma 2 2 2 2 4 4" xfId="6680"/>
    <cellStyle name="Comma 2 2 2 2 4 5" xfId="6681"/>
    <cellStyle name="Comma 2 2 2 2 4 6" xfId="6682"/>
    <cellStyle name="Comma 2 2 2 2 5" xfId="6683"/>
    <cellStyle name="Comma 2 2 2 2 5 2" xfId="6684"/>
    <cellStyle name="Comma 2 2 2 2 5 2 2" xfId="6685"/>
    <cellStyle name="Comma 2 2 2 2 5 3" xfId="6686"/>
    <cellStyle name="Comma 2 2 2 2 5 4" xfId="6687"/>
    <cellStyle name="Comma 2 2 2 2 5 5" xfId="6688"/>
    <cellStyle name="Comma 2 2 2 2 6" xfId="6689"/>
    <cellStyle name="Comma 2 2 2 2 6 2" xfId="6690"/>
    <cellStyle name="Comma 2 2 2 2 6 3" xfId="6691"/>
    <cellStyle name="Comma 2 2 2 2 6 4" xfId="6692"/>
    <cellStyle name="Comma 2 2 2 2 7" xfId="6693"/>
    <cellStyle name="Comma 2 2 2 2 7 2" xfId="6694"/>
    <cellStyle name="Comma 2 2 2 2 8" xfId="6695"/>
    <cellStyle name="Comma 2 2 2 2 9" xfId="6696"/>
    <cellStyle name="Comma 2 2 2 20" xfId="6697"/>
    <cellStyle name="Comma 2 2 2 20 2" xfId="6698"/>
    <cellStyle name="Comma 2 2 2 21" xfId="6699"/>
    <cellStyle name="Comma 2 2 2 21 2" xfId="6700"/>
    <cellStyle name="Comma 2 2 2 22" xfId="6701"/>
    <cellStyle name="Comma 2 2 2 22 2" xfId="6702"/>
    <cellStyle name="Comma 2 2 2 23" xfId="6703"/>
    <cellStyle name="Comma 2 2 2 23 2" xfId="6704"/>
    <cellStyle name="Comma 2 2 2 24" xfId="6705"/>
    <cellStyle name="Comma 2 2 2 24 2" xfId="6706"/>
    <cellStyle name="Comma 2 2 2 25" xfId="6707"/>
    <cellStyle name="Comma 2 2 2 25 2" xfId="6708"/>
    <cellStyle name="Comma 2 2 2 26" xfId="6709"/>
    <cellStyle name="Comma 2 2 2 26 2" xfId="6710"/>
    <cellStyle name="Comma 2 2 2 27" xfId="6711"/>
    <cellStyle name="Comma 2 2 2 27 2" xfId="6712"/>
    <cellStyle name="Comma 2 2 2 28" xfId="6713"/>
    <cellStyle name="Comma 2 2 2 28 2" xfId="6714"/>
    <cellStyle name="Comma 2 2 2 29" xfId="6715"/>
    <cellStyle name="Comma 2 2 2 29 2" xfId="6716"/>
    <cellStyle name="Comma 2 2 2 3" xfId="6717"/>
    <cellStyle name="Comma 2 2 2 3 10" xfId="6718"/>
    <cellStyle name="Comma 2 2 2 3 11" xfId="6719"/>
    <cellStyle name="Comma 2 2 2 3 2" xfId="6720"/>
    <cellStyle name="Comma 2 2 2 3 2 2" xfId="6721"/>
    <cellStyle name="Comma 2 2 2 3 2 2 2" xfId="6722"/>
    <cellStyle name="Comma 2 2 2 3 2 2 2 2" xfId="6723"/>
    <cellStyle name="Comma 2 2 2 3 2 2 2 3" xfId="6724"/>
    <cellStyle name="Comma 2 2 2 3 2 2 3" xfId="6725"/>
    <cellStyle name="Comma 2 2 2 3 2 2 4" xfId="6726"/>
    <cellStyle name="Comma 2 2 2 3 2 2 5" xfId="6727"/>
    <cellStyle name="Comma 2 2 2 3 2 2 6" xfId="6728"/>
    <cellStyle name="Comma 2 2 2 3 2 3" xfId="6729"/>
    <cellStyle name="Comma 2 2 2 3 2 3 2" xfId="6730"/>
    <cellStyle name="Comma 2 2 2 3 2 3 2 2" xfId="6731"/>
    <cellStyle name="Comma 2 2 2 3 2 3 3" xfId="6732"/>
    <cellStyle name="Comma 2 2 2 3 2 3 4" xfId="6733"/>
    <cellStyle name="Comma 2 2 2 3 2 3 5" xfId="6734"/>
    <cellStyle name="Comma 2 2 2 3 2 4" xfId="6735"/>
    <cellStyle name="Comma 2 2 2 3 2 4 2" xfId="6736"/>
    <cellStyle name="Comma 2 2 2 3 2 4 3" xfId="6737"/>
    <cellStyle name="Comma 2 2 2 3 2 4 4" xfId="6738"/>
    <cellStyle name="Comma 2 2 2 3 2 5" xfId="6739"/>
    <cellStyle name="Comma 2 2 2 3 2 5 2" xfId="6740"/>
    <cellStyle name="Comma 2 2 2 3 2 6" xfId="6741"/>
    <cellStyle name="Comma 2 2 2 3 2 7" xfId="6742"/>
    <cellStyle name="Comma 2 2 2 3 2 8" xfId="6743"/>
    <cellStyle name="Comma 2 2 2 3 2 9" xfId="6744"/>
    <cellStyle name="Comma 2 2 2 3 3" xfId="6745"/>
    <cellStyle name="Comma 2 2 2 3 3 2" xfId="6746"/>
    <cellStyle name="Comma 2 2 2 3 3 2 2" xfId="6747"/>
    <cellStyle name="Comma 2 2 2 3 3 2 2 2" xfId="6748"/>
    <cellStyle name="Comma 2 2 2 3 3 2 2 3" xfId="6749"/>
    <cellStyle name="Comma 2 2 2 3 3 2 3" xfId="6750"/>
    <cellStyle name="Comma 2 2 2 3 3 2 4" xfId="6751"/>
    <cellStyle name="Comma 2 2 2 3 3 2 5" xfId="6752"/>
    <cellStyle name="Comma 2 2 2 3 3 2 6" xfId="6753"/>
    <cellStyle name="Comma 2 2 2 3 3 3" xfId="6754"/>
    <cellStyle name="Comma 2 2 2 3 3 3 2" xfId="6755"/>
    <cellStyle name="Comma 2 2 2 3 3 3 2 2" xfId="6756"/>
    <cellStyle name="Comma 2 2 2 3 3 3 3" xfId="6757"/>
    <cellStyle name="Comma 2 2 2 3 3 3 4" xfId="6758"/>
    <cellStyle name="Comma 2 2 2 3 3 3 5" xfId="6759"/>
    <cellStyle name="Comma 2 2 2 3 3 4" xfId="6760"/>
    <cellStyle name="Comma 2 2 2 3 3 4 2" xfId="6761"/>
    <cellStyle name="Comma 2 2 2 3 3 4 3" xfId="6762"/>
    <cellStyle name="Comma 2 2 2 3 3 4 4" xfId="6763"/>
    <cellStyle name="Comma 2 2 2 3 3 5" xfId="6764"/>
    <cellStyle name="Comma 2 2 2 3 3 5 2" xfId="6765"/>
    <cellStyle name="Comma 2 2 2 3 3 6" xfId="6766"/>
    <cellStyle name="Comma 2 2 2 3 3 7" xfId="6767"/>
    <cellStyle name="Comma 2 2 2 3 3 8" xfId="6768"/>
    <cellStyle name="Comma 2 2 2 3 3 9" xfId="6769"/>
    <cellStyle name="Comma 2 2 2 3 4" xfId="6770"/>
    <cellStyle name="Comma 2 2 2 3 4 2" xfId="6771"/>
    <cellStyle name="Comma 2 2 2 3 4 2 2" xfId="6772"/>
    <cellStyle name="Comma 2 2 2 3 4 2 3" xfId="6773"/>
    <cellStyle name="Comma 2 2 2 3 4 3" xfId="6774"/>
    <cellStyle name="Comma 2 2 2 3 4 4" xfId="6775"/>
    <cellStyle name="Comma 2 2 2 3 4 5" xfId="6776"/>
    <cellStyle name="Comma 2 2 2 3 4 6" xfId="6777"/>
    <cellStyle name="Comma 2 2 2 3 5" xfId="6778"/>
    <cellStyle name="Comma 2 2 2 3 5 2" xfId="6779"/>
    <cellStyle name="Comma 2 2 2 3 5 2 2" xfId="6780"/>
    <cellStyle name="Comma 2 2 2 3 5 3" xfId="6781"/>
    <cellStyle name="Comma 2 2 2 3 5 4" xfId="6782"/>
    <cellStyle name="Comma 2 2 2 3 5 5" xfId="6783"/>
    <cellStyle name="Comma 2 2 2 3 6" xfId="6784"/>
    <cellStyle name="Comma 2 2 2 3 6 2" xfId="6785"/>
    <cellStyle name="Comma 2 2 2 3 6 3" xfId="6786"/>
    <cellStyle name="Comma 2 2 2 3 6 4" xfId="6787"/>
    <cellStyle name="Comma 2 2 2 3 7" xfId="6788"/>
    <cellStyle name="Comma 2 2 2 3 7 2" xfId="6789"/>
    <cellStyle name="Comma 2 2 2 3 8" xfId="6790"/>
    <cellStyle name="Comma 2 2 2 3 9" xfId="6791"/>
    <cellStyle name="Comma 2 2 2 30" xfId="6792"/>
    <cellStyle name="Comma 2 2 2 30 2" xfId="6793"/>
    <cellStyle name="Comma 2 2 2 31" xfId="6794"/>
    <cellStyle name="Comma 2 2 2 31 2" xfId="6795"/>
    <cellStyle name="Comma 2 2 2 32" xfId="6796"/>
    <cellStyle name="Comma 2 2 2 32 2" xfId="6797"/>
    <cellStyle name="Comma 2 2 2 33" xfId="6798"/>
    <cellStyle name="Comma 2 2 2 33 2" xfId="6799"/>
    <cellStyle name="Comma 2 2 2 34" xfId="6800"/>
    <cellStyle name="Comma 2 2 2 34 2" xfId="6801"/>
    <cellStyle name="Comma 2 2 2 35" xfId="6802"/>
    <cellStyle name="Comma 2 2 2 35 2" xfId="6803"/>
    <cellStyle name="Comma 2 2 2 36" xfId="6804"/>
    <cellStyle name="Comma 2 2 2 37" xfId="6805"/>
    <cellStyle name="Comma 2 2 2 38" xfId="6806"/>
    <cellStyle name="Comma 2 2 2 4" xfId="6807"/>
    <cellStyle name="Comma 2 2 2 4 10" xfId="6808"/>
    <cellStyle name="Comma 2 2 2 4 11" xfId="6809"/>
    <cellStyle name="Comma 2 2 2 4 2" xfId="6810"/>
    <cellStyle name="Comma 2 2 2 4 2 2" xfId="6811"/>
    <cellStyle name="Comma 2 2 2 4 2 2 2" xfId="6812"/>
    <cellStyle name="Comma 2 2 2 4 2 2 2 2" xfId="6813"/>
    <cellStyle name="Comma 2 2 2 4 2 2 2 3" xfId="6814"/>
    <cellStyle name="Comma 2 2 2 4 2 2 3" xfId="6815"/>
    <cellStyle name="Comma 2 2 2 4 2 2 4" xfId="6816"/>
    <cellStyle name="Comma 2 2 2 4 2 2 5" xfId="6817"/>
    <cellStyle name="Comma 2 2 2 4 2 2 6" xfId="6818"/>
    <cellStyle name="Comma 2 2 2 4 2 3" xfId="6819"/>
    <cellStyle name="Comma 2 2 2 4 2 3 2" xfId="6820"/>
    <cellStyle name="Comma 2 2 2 4 2 3 2 2" xfId="6821"/>
    <cellStyle name="Comma 2 2 2 4 2 3 3" xfId="6822"/>
    <cellStyle name="Comma 2 2 2 4 2 3 4" xfId="6823"/>
    <cellStyle name="Comma 2 2 2 4 2 3 5" xfId="6824"/>
    <cellStyle name="Comma 2 2 2 4 2 4" xfId="6825"/>
    <cellStyle name="Comma 2 2 2 4 2 4 2" xfId="6826"/>
    <cellStyle name="Comma 2 2 2 4 2 4 3" xfId="6827"/>
    <cellStyle name="Comma 2 2 2 4 2 4 4" xfId="6828"/>
    <cellStyle name="Comma 2 2 2 4 2 5" xfId="6829"/>
    <cellStyle name="Comma 2 2 2 4 2 5 2" xfId="6830"/>
    <cellStyle name="Comma 2 2 2 4 2 6" xfId="6831"/>
    <cellStyle name="Comma 2 2 2 4 2 7" xfId="6832"/>
    <cellStyle name="Comma 2 2 2 4 2 8" xfId="6833"/>
    <cellStyle name="Comma 2 2 2 4 2 9" xfId="6834"/>
    <cellStyle name="Comma 2 2 2 4 3" xfId="6835"/>
    <cellStyle name="Comma 2 2 2 4 3 2" xfId="6836"/>
    <cellStyle name="Comma 2 2 2 4 3 2 2" xfId="6837"/>
    <cellStyle name="Comma 2 2 2 4 3 2 2 2" xfId="6838"/>
    <cellStyle name="Comma 2 2 2 4 3 2 2 3" xfId="6839"/>
    <cellStyle name="Comma 2 2 2 4 3 2 3" xfId="6840"/>
    <cellStyle name="Comma 2 2 2 4 3 2 4" xfId="6841"/>
    <cellStyle name="Comma 2 2 2 4 3 2 5" xfId="6842"/>
    <cellStyle name="Comma 2 2 2 4 3 2 6" xfId="6843"/>
    <cellStyle name="Comma 2 2 2 4 3 3" xfId="6844"/>
    <cellStyle name="Comma 2 2 2 4 3 3 2" xfId="6845"/>
    <cellStyle name="Comma 2 2 2 4 3 3 2 2" xfId="6846"/>
    <cellStyle name="Comma 2 2 2 4 3 3 3" xfId="6847"/>
    <cellStyle name="Comma 2 2 2 4 3 3 4" xfId="6848"/>
    <cellStyle name="Comma 2 2 2 4 3 3 5" xfId="6849"/>
    <cellStyle name="Comma 2 2 2 4 3 4" xfId="6850"/>
    <cellStyle name="Comma 2 2 2 4 3 4 2" xfId="6851"/>
    <cellStyle name="Comma 2 2 2 4 3 4 3" xfId="6852"/>
    <cellStyle name="Comma 2 2 2 4 3 4 4" xfId="6853"/>
    <cellStyle name="Comma 2 2 2 4 3 5" xfId="6854"/>
    <cellStyle name="Comma 2 2 2 4 3 5 2" xfId="6855"/>
    <cellStyle name="Comma 2 2 2 4 3 6" xfId="6856"/>
    <cellStyle name="Comma 2 2 2 4 3 7" xfId="6857"/>
    <cellStyle name="Comma 2 2 2 4 3 8" xfId="6858"/>
    <cellStyle name="Comma 2 2 2 4 3 9" xfId="6859"/>
    <cellStyle name="Comma 2 2 2 4 4" xfId="6860"/>
    <cellStyle name="Comma 2 2 2 4 4 2" xfId="6861"/>
    <cellStyle name="Comma 2 2 2 4 4 2 2" xfId="6862"/>
    <cellStyle name="Comma 2 2 2 4 4 2 3" xfId="6863"/>
    <cellStyle name="Comma 2 2 2 4 4 3" xfId="6864"/>
    <cellStyle name="Comma 2 2 2 4 4 4" xfId="6865"/>
    <cellStyle name="Comma 2 2 2 4 4 5" xfId="6866"/>
    <cellStyle name="Comma 2 2 2 4 4 6" xfId="6867"/>
    <cellStyle name="Comma 2 2 2 4 5" xfId="6868"/>
    <cellStyle name="Comma 2 2 2 4 5 2" xfId="6869"/>
    <cellStyle name="Comma 2 2 2 4 5 2 2" xfId="6870"/>
    <cellStyle name="Comma 2 2 2 4 5 3" xfId="6871"/>
    <cellStyle name="Comma 2 2 2 4 5 4" xfId="6872"/>
    <cellStyle name="Comma 2 2 2 4 5 5" xfId="6873"/>
    <cellStyle name="Comma 2 2 2 4 6" xfId="6874"/>
    <cellStyle name="Comma 2 2 2 4 6 2" xfId="6875"/>
    <cellStyle name="Comma 2 2 2 4 6 3" xfId="6876"/>
    <cellStyle name="Comma 2 2 2 4 6 4" xfId="6877"/>
    <cellStyle name="Comma 2 2 2 4 7" xfId="6878"/>
    <cellStyle name="Comma 2 2 2 4 7 2" xfId="6879"/>
    <cellStyle name="Comma 2 2 2 4 8" xfId="6880"/>
    <cellStyle name="Comma 2 2 2 4 9" xfId="6881"/>
    <cellStyle name="Comma 2 2 2 5" xfId="6882"/>
    <cellStyle name="Comma 2 2 2 5 10" xfId="6883"/>
    <cellStyle name="Comma 2 2 2 5 11" xfId="6884"/>
    <cellStyle name="Comma 2 2 2 5 2" xfId="6885"/>
    <cellStyle name="Comma 2 2 2 5 2 2" xfId="6886"/>
    <cellStyle name="Comma 2 2 2 5 2 2 2" xfId="6887"/>
    <cellStyle name="Comma 2 2 2 5 2 2 2 2" xfId="6888"/>
    <cellStyle name="Comma 2 2 2 5 2 2 2 3" xfId="6889"/>
    <cellStyle name="Comma 2 2 2 5 2 2 3" xfId="6890"/>
    <cellStyle name="Comma 2 2 2 5 2 2 4" xfId="6891"/>
    <cellStyle name="Comma 2 2 2 5 2 2 5" xfId="6892"/>
    <cellStyle name="Comma 2 2 2 5 2 2 6" xfId="6893"/>
    <cellStyle name="Comma 2 2 2 5 2 3" xfId="6894"/>
    <cellStyle name="Comma 2 2 2 5 2 3 2" xfId="6895"/>
    <cellStyle name="Comma 2 2 2 5 2 3 2 2" xfId="6896"/>
    <cellStyle name="Comma 2 2 2 5 2 3 3" xfId="6897"/>
    <cellStyle name="Comma 2 2 2 5 2 3 4" xfId="6898"/>
    <cellStyle name="Comma 2 2 2 5 2 3 5" xfId="6899"/>
    <cellStyle name="Comma 2 2 2 5 2 4" xfId="6900"/>
    <cellStyle name="Comma 2 2 2 5 2 4 2" xfId="6901"/>
    <cellStyle name="Comma 2 2 2 5 2 4 3" xfId="6902"/>
    <cellStyle name="Comma 2 2 2 5 2 4 4" xfId="6903"/>
    <cellStyle name="Comma 2 2 2 5 2 5" xfId="6904"/>
    <cellStyle name="Comma 2 2 2 5 2 5 2" xfId="6905"/>
    <cellStyle name="Comma 2 2 2 5 2 6" xfId="6906"/>
    <cellStyle name="Comma 2 2 2 5 2 7" xfId="6907"/>
    <cellStyle name="Comma 2 2 2 5 2 8" xfId="6908"/>
    <cellStyle name="Comma 2 2 2 5 2 9" xfId="6909"/>
    <cellStyle name="Comma 2 2 2 5 3" xfId="6910"/>
    <cellStyle name="Comma 2 2 2 5 3 2" xfId="6911"/>
    <cellStyle name="Comma 2 2 2 5 3 2 2" xfId="6912"/>
    <cellStyle name="Comma 2 2 2 5 3 2 2 2" xfId="6913"/>
    <cellStyle name="Comma 2 2 2 5 3 2 2 3" xfId="6914"/>
    <cellStyle name="Comma 2 2 2 5 3 2 3" xfId="6915"/>
    <cellStyle name="Comma 2 2 2 5 3 2 4" xfId="6916"/>
    <cellStyle name="Comma 2 2 2 5 3 2 5" xfId="6917"/>
    <cellStyle name="Comma 2 2 2 5 3 2 6" xfId="6918"/>
    <cellStyle name="Comma 2 2 2 5 3 3" xfId="6919"/>
    <cellStyle name="Comma 2 2 2 5 3 3 2" xfId="6920"/>
    <cellStyle name="Comma 2 2 2 5 3 3 2 2" xfId="6921"/>
    <cellStyle name="Comma 2 2 2 5 3 3 3" xfId="6922"/>
    <cellStyle name="Comma 2 2 2 5 3 3 4" xfId="6923"/>
    <cellStyle name="Comma 2 2 2 5 3 3 5" xfId="6924"/>
    <cellStyle name="Comma 2 2 2 5 3 4" xfId="6925"/>
    <cellStyle name="Comma 2 2 2 5 3 4 2" xfId="6926"/>
    <cellStyle name="Comma 2 2 2 5 3 4 3" xfId="6927"/>
    <cellStyle name="Comma 2 2 2 5 3 4 4" xfId="6928"/>
    <cellStyle name="Comma 2 2 2 5 3 5" xfId="6929"/>
    <cellStyle name="Comma 2 2 2 5 3 5 2" xfId="6930"/>
    <cellStyle name="Comma 2 2 2 5 3 6" xfId="6931"/>
    <cellStyle name="Comma 2 2 2 5 3 7" xfId="6932"/>
    <cellStyle name="Comma 2 2 2 5 3 8" xfId="6933"/>
    <cellStyle name="Comma 2 2 2 5 3 9" xfId="6934"/>
    <cellStyle name="Comma 2 2 2 5 4" xfId="6935"/>
    <cellStyle name="Comma 2 2 2 5 4 2" xfId="6936"/>
    <cellStyle name="Comma 2 2 2 5 4 2 2" xfId="6937"/>
    <cellStyle name="Comma 2 2 2 5 4 2 3" xfId="6938"/>
    <cellStyle name="Comma 2 2 2 5 4 3" xfId="6939"/>
    <cellStyle name="Comma 2 2 2 5 4 4" xfId="6940"/>
    <cellStyle name="Comma 2 2 2 5 4 5" xfId="6941"/>
    <cellStyle name="Comma 2 2 2 5 4 6" xfId="6942"/>
    <cellStyle name="Comma 2 2 2 5 5" xfId="6943"/>
    <cellStyle name="Comma 2 2 2 5 5 2" xfId="6944"/>
    <cellStyle name="Comma 2 2 2 5 5 2 2" xfId="6945"/>
    <cellStyle name="Comma 2 2 2 5 5 3" xfId="6946"/>
    <cellStyle name="Comma 2 2 2 5 5 4" xfId="6947"/>
    <cellStyle name="Comma 2 2 2 5 5 5" xfId="6948"/>
    <cellStyle name="Comma 2 2 2 5 6" xfId="6949"/>
    <cellStyle name="Comma 2 2 2 5 6 2" xfId="6950"/>
    <cellStyle name="Comma 2 2 2 5 6 3" xfId="6951"/>
    <cellStyle name="Comma 2 2 2 5 6 4" xfId="6952"/>
    <cellStyle name="Comma 2 2 2 5 7" xfId="6953"/>
    <cellStyle name="Comma 2 2 2 5 7 2" xfId="6954"/>
    <cellStyle name="Comma 2 2 2 5 8" xfId="6955"/>
    <cellStyle name="Comma 2 2 2 5 9" xfId="6956"/>
    <cellStyle name="Comma 2 2 2 6" xfId="6957"/>
    <cellStyle name="Comma 2 2 2 6 10" xfId="6958"/>
    <cellStyle name="Comma 2 2 2 6 11" xfId="6959"/>
    <cellStyle name="Comma 2 2 2 6 2" xfId="6960"/>
    <cellStyle name="Comma 2 2 2 6 2 2" xfId="6961"/>
    <cellStyle name="Comma 2 2 2 6 2 2 2" xfId="6962"/>
    <cellStyle name="Comma 2 2 2 6 2 2 2 2" xfId="6963"/>
    <cellStyle name="Comma 2 2 2 6 2 2 2 3" xfId="6964"/>
    <cellStyle name="Comma 2 2 2 6 2 2 3" xfId="6965"/>
    <cellStyle name="Comma 2 2 2 6 2 2 4" xfId="6966"/>
    <cellStyle name="Comma 2 2 2 6 2 2 5" xfId="6967"/>
    <cellStyle name="Comma 2 2 2 6 2 2 6" xfId="6968"/>
    <cellStyle name="Comma 2 2 2 6 2 3" xfId="6969"/>
    <cellStyle name="Comma 2 2 2 6 2 3 2" xfId="6970"/>
    <cellStyle name="Comma 2 2 2 6 2 3 2 2" xfId="6971"/>
    <cellStyle name="Comma 2 2 2 6 2 3 3" xfId="6972"/>
    <cellStyle name="Comma 2 2 2 6 2 3 4" xfId="6973"/>
    <cellStyle name="Comma 2 2 2 6 2 3 5" xfId="6974"/>
    <cellStyle name="Comma 2 2 2 6 2 4" xfId="6975"/>
    <cellStyle name="Comma 2 2 2 6 2 4 2" xfId="6976"/>
    <cellStyle name="Comma 2 2 2 6 2 4 3" xfId="6977"/>
    <cellStyle name="Comma 2 2 2 6 2 4 4" xfId="6978"/>
    <cellStyle name="Comma 2 2 2 6 2 5" xfId="6979"/>
    <cellStyle name="Comma 2 2 2 6 2 5 2" xfId="6980"/>
    <cellStyle name="Comma 2 2 2 6 2 6" xfId="6981"/>
    <cellStyle name="Comma 2 2 2 6 2 7" xfId="6982"/>
    <cellStyle name="Comma 2 2 2 6 2 8" xfId="6983"/>
    <cellStyle name="Comma 2 2 2 6 2 9" xfId="6984"/>
    <cellStyle name="Comma 2 2 2 6 3" xfId="6985"/>
    <cellStyle name="Comma 2 2 2 6 3 2" xfId="6986"/>
    <cellStyle name="Comma 2 2 2 6 3 2 2" xfId="6987"/>
    <cellStyle name="Comma 2 2 2 6 3 2 2 2" xfId="6988"/>
    <cellStyle name="Comma 2 2 2 6 3 2 2 3" xfId="6989"/>
    <cellStyle name="Comma 2 2 2 6 3 2 3" xfId="6990"/>
    <cellStyle name="Comma 2 2 2 6 3 2 4" xfId="6991"/>
    <cellStyle name="Comma 2 2 2 6 3 2 5" xfId="6992"/>
    <cellStyle name="Comma 2 2 2 6 3 2 6" xfId="6993"/>
    <cellStyle name="Comma 2 2 2 6 3 3" xfId="6994"/>
    <cellStyle name="Comma 2 2 2 6 3 3 2" xfId="6995"/>
    <cellStyle name="Comma 2 2 2 6 3 3 2 2" xfId="6996"/>
    <cellStyle name="Comma 2 2 2 6 3 3 3" xfId="6997"/>
    <cellStyle name="Comma 2 2 2 6 3 3 4" xfId="6998"/>
    <cellStyle name="Comma 2 2 2 6 3 3 5" xfId="6999"/>
    <cellStyle name="Comma 2 2 2 6 3 4" xfId="7000"/>
    <cellStyle name="Comma 2 2 2 6 3 4 2" xfId="7001"/>
    <cellStyle name="Comma 2 2 2 6 3 4 3" xfId="7002"/>
    <cellStyle name="Comma 2 2 2 6 3 4 4" xfId="7003"/>
    <cellStyle name="Comma 2 2 2 6 3 5" xfId="7004"/>
    <cellStyle name="Comma 2 2 2 6 3 5 2" xfId="7005"/>
    <cellStyle name="Comma 2 2 2 6 3 6" xfId="7006"/>
    <cellStyle name="Comma 2 2 2 6 3 7" xfId="7007"/>
    <cellStyle name="Comma 2 2 2 6 3 8" xfId="7008"/>
    <cellStyle name="Comma 2 2 2 6 3 9" xfId="7009"/>
    <cellStyle name="Comma 2 2 2 6 4" xfId="7010"/>
    <cellStyle name="Comma 2 2 2 6 4 2" xfId="7011"/>
    <cellStyle name="Comma 2 2 2 6 4 2 2" xfId="7012"/>
    <cellStyle name="Comma 2 2 2 6 4 2 3" xfId="7013"/>
    <cellStyle name="Comma 2 2 2 6 4 3" xfId="7014"/>
    <cellStyle name="Comma 2 2 2 6 4 4" xfId="7015"/>
    <cellStyle name="Comma 2 2 2 6 4 5" xfId="7016"/>
    <cellStyle name="Comma 2 2 2 6 4 6" xfId="7017"/>
    <cellStyle name="Comma 2 2 2 6 5" xfId="7018"/>
    <cellStyle name="Comma 2 2 2 6 5 2" xfId="7019"/>
    <cellStyle name="Comma 2 2 2 6 5 2 2" xfId="7020"/>
    <cellStyle name="Comma 2 2 2 6 5 3" xfId="7021"/>
    <cellStyle name="Comma 2 2 2 6 5 4" xfId="7022"/>
    <cellStyle name="Comma 2 2 2 6 5 5" xfId="7023"/>
    <cellStyle name="Comma 2 2 2 6 6" xfId="7024"/>
    <cellStyle name="Comma 2 2 2 6 6 2" xfId="7025"/>
    <cellStyle name="Comma 2 2 2 6 6 3" xfId="7026"/>
    <cellStyle name="Comma 2 2 2 6 6 4" xfId="7027"/>
    <cellStyle name="Comma 2 2 2 6 7" xfId="7028"/>
    <cellStyle name="Comma 2 2 2 6 7 2" xfId="7029"/>
    <cellStyle name="Comma 2 2 2 6 8" xfId="7030"/>
    <cellStyle name="Comma 2 2 2 6 9" xfId="7031"/>
    <cellStyle name="Comma 2 2 2 7" xfId="7032"/>
    <cellStyle name="Comma 2 2 2 7 10" xfId="7033"/>
    <cellStyle name="Comma 2 2 2 7 11" xfId="7034"/>
    <cellStyle name="Comma 2 2 2 7 2" xfId="7035"/>
    <cellStyle name="Comma 2 2 2 7 2 2" xfId="7036"/>
    <cellStyle name="Comma 2 2 2 7 2 2 2" xfId="7037"/>
    <cellStyle name="Comma 2 2 2 7 2 2 2 2" xfId="7038"/>
    <cellStyle name="Comma 2 2 2 7 2 2 2 3" xfId="7039"/>
    <cellStyle name="Comma 2 2 2 7 2 2 3" xfId="7040"/>
    <cellStyle name="Comma 2 2 2 7 2 2 4" xfId="7041"/>
    <cellStyle name="Comma 2 2 2 7 2 2 5" xfId="7042"/>
    <cellStyle name="Comma 2 2 2 7 2 2 6" xfId="7043"/>
    <cellStyle name="Comma 2 2 2 7 2 3" xfId="7044"/>
    <cellStyle name="Comma 2 2 2 7 2 3 2" xfId="7045"/>
    <cellStyle name="Comma 2 2 2 7 2 3 2 2" xfId="7046"/>
    <cellStyle name="Comma 2 2 2 7 2 3 3" xfId="7047"/>
    <cellStyle name="Comma 2 2 2 7 2 3 4" xfId="7048"/>
    <cellStyle name="Comma 2 2 2 7 2 3 5" xfId="7049"/>
    <cellStyle name="Comma 2 2 2 7 2 4" xfId="7050"/>
    <cellStyle name="Comma 2 2 2 7 2 4 2" xfId="7051"/>
    <cellStyle name="Comma 2 2 2 7 2 4 3" xfId="7052"/>
    <cellStyle name="Comma 2 2 2 7 2 4 4" xfId="7053"/>
    <cellStyle name="Comma 2 2 2 7 2 5" xfId="7054"/>
    <cellStyle name="Comma 2 2 2 7 2 5 2" xfId="7055"/>
    <cellStyle name="Comma 2 2 2 7 2 6" xfId="7056"/>
    <cellStyle name="Comma 2 2 2 7 2 7" xfId="7057"/>
    <cellStyle name="Comma 2 2 2 7 2 8" xfId="7058"/>
    <cellStyle name="Comma 2 2 2 7 2 9" xfId="7059"/>
    <cellStyle name="Comma 2 2 2 7 3" xfId="7060"/>
    <cellStyle name="Comma 2 2 2 7 3 2" xfId="7061"/>
    <cellStyle name="Comma 2 2 2 7 3 2 2" xfId="7062"/>
    <cellStyle name="Comma 2 2 2 7 3 2 2 2" xfId="7063"/>
    <cellStyle name="Comma 2 2 2 7 3 2 2 3" xfId="7064"/>
    <cellStyle name="Comma 2 2 2 7 3 2 3" xfId="7065"/>
    <cellStyle name="Comma 2 2 2 7 3 2 4" xfId="7066"/>
    <cellStyle name="Comma 2 2 2 7 3 2 5" xfId="7067"/>
    <cellStyle name="Comma 2 2 2 7 3 2 6" xfId="7068"/>
    <cellStyle name="Comma 2 2 2 7 3 3" xfId="7069"/>
    <cellStyle name="Comma 2 2 2 7 3 3 2" xfId="7070"/>
    <cellStyle name="Comma 2 2 2 7 3 3 2 2" xfId="7071"/>
    <cellStyle name="Comma 2 2 2 7 3 3 3" xfId="7072"/>
    <cellStyle name="Comma 2 2 2 7 3 3 4" xfId="7073"/>
    <cellStyle name="Comma 2 2 2 7 3 3 5" xfId="7074"/>
    <cellStyle name="Comma 2 2 2 7 3 4" xfId="7075"/>
    <cellStyle name="Comma 2 2 2 7 3 4 2" xfId="7076"/>
    <cellStyle name="Comma 2 2 2 7 3 4 3" xfId="7077"/>
    <cellStyle name="Comma 2 2 2 7 3 4 4" xfId="7078"/>
    <cellStyle name="Comma 2 2 2 7 3 5" xfId="7079"/>
    <cellStyle name="Comma 2 2 2 7 3 5 2" xfId="7080"/>
    <cellStyle name="Comma 2 2 2 7 3 6" xfId="7081"/>
    <cellStyle name="Comma 2 2 2 7 3 7" xfId="7082"/>
    <cellStyle name="Comma 2 2 2 7 3 8" xfId="7083"/>
    <cellStyle name="Comma 2 2 2 7 3 9" xfId="7084"/>
    <cellStyle name="Comma 2 2 2 7 4" xfId="7085"/>
    <cellStyle name="Comma 2 2 2 7 4 2" xfId="7086"/>
    <cellStyle name="Comma 2 2 2 7 4 2 2" xfId="7087"/>
    <cellStyle name="Comma 2 2 2 7 4 2 3" xfId="7088"/>
    <cellStyle name="Comma 2 2 2 7 4 3" xfId="7089"/>
    <cellStyle name="Comma 2 2 2 7 4 4" xfId="7090"/>
    <cellStyle name="Comma 2 2 2 7 4 5" xfId="7091"/>
    <cellStyle name="Comma 2 2 2 7 4 6" xfId="7092"/>
    <cellStyle name="Comma 2 2 2 7 5" xfId="7093"/>
    <cellStyle name="Comma 2 2 2 7 5 2" xfId="7094"/>
    <cellStyle name="Comma 2 2 2 7 5 2 2" xfId="7095"/>
    <cellStyle name="Comma 2 2 2 7 5 3" xfId="7096"/>
    <cellStyle name="Comma 2 2 2 7 5 4" xfId="7097"/>
    <cellStyle name="Comma 2 2 2 7 5 5" xfId="7098"/>
    <cellStyle name="Comma 2 2 2 7 6" xfId="7099"/>
    <cellStyle name="Comma 2 2 2 7 6 2" xfId="7100"/>
    <cellStyle name="Comma 2 2 2 7 6 3" xfId="7101"/>
    <cellStyle name="Comma 2 2 2 7 6 4" xfId="7102"/>
    <cellStyle name="Comma 2 2 2 7 7" xfId="7103"/>
    <cellStyle name="Comma 2 2 2 7 7 2" xfId="7104"/>
    <cellStyle name="Comma 2 2 2 7 8" xfId="7105"/>
    <cellStyle name="Comma 2 2 2 7 9" xfId="7106"/>
    <cellStyle name="Comma 2 2 2 8" xfId="7107"/>
    <cellStyle name="Comma 2 2 2 8 10" xfId="7108"/>
    <cellStyle name="Comma 2 2 2 8 2" xfId="7109"/>
    <cellStyle name="Comma 2 2 2 8 2 2" xfId="7110"/>
    <cellStyle name="Comma 2 2 2 8 2 2 2" xfId="7111"/>
    <cellStyle name="Comma 2 2 2 8 2 2 3" xfId="7112"/>
    <cellStyle name="Comma 2 2 2 8 2 3" xfId="7113"/>
    <cellStyle name="Comma 2 2 2 8 2 4" xfId="7114"/>
    <cellStyle name="Comma 2 2 2 8 2 5" xfId="7115"/>
    <cellStyle name="Comma 2 2 2 8 2 6" xfId="7116"/>
    <cellStyle name="Comma 2 2 2 8 3" xfId="7117"/>
    <cellStyle name="Comma 2 2 2 8 3 2" xfId="7118"/>
    <cellStyle name="Comma 2 2 2 8 3 2 2" xfId="7119"/>
    <cellStyle name="Comma 2 2 2 8 3 2 3" xfId="7120"/>
    <cellStyle name="Comma 2 2 2 8 3 3" xfId="7121"/>
    <cellStyle name="Comma 2 2 2 8 3 4" xfId="7122"/>
    <cellStyle name="Comma 2 2 2 8 3 5" xfId="7123"/>
    <cellStyle name="Comma 2 2 2 8 3 6" xfId="7124"/>
    <cellStyle name="Comma 2 2 2 8 4" xfId="7125"/>
    <cellStyle name="Comma 2 2 2 8 4 2" xfId="7126"/>
    <cellStyle name="Comma 2 2 2 8 4 2 2" xfId="7127"/>
    <cellStyle name="Comma 2 2 2 8 4 3" xfId="7128"/>
    <cellStyle name="Comma 2 2 2 8 4 4" xfId="7129"/>
    <cellStyle name="Comma 2 2 2 8 4 5" xfId="7130"/>
    <cellStyle name="Comma 2 2 2 8 5" xfId="7131"/>
    <cellStyle name="Comma 2 2 2 8 5 2" xfId="7132"/>
    <cellStyle name="Comma 2 2 2 8 5 3" xfId="7133"/>
    <cellStyle name="Comma 2 2 2 8 5 4" xfId="7134"/>
    <cellStyle name="Comma 2 2 2 8 6" xfId="7135"/>
    <cellStyle name="Comma 2 2 2 8 6 2" xfId="7136"/>
    <cellStyle name="Comma 2 2 2 8 7" xfId="7137"/>
    <cellStyle name="Comma 2 2 2 8 8" xfId="7138"/>
    <cellStyle name="Comma 2 2 2 8 9" xfId="7139"/>
    <cellStyle name="Comma 2 2 2 9" xfId="7140"/>
    <cellStyle name="Comma 2 2 2 9 10" xfId="7141"/>
    <cellStyle name="Comma 2 2 2 9 2" xfId="7142"/>
    <cellStyle name="Comma 2 2 2 9 2 2" xfId="7143"/>
    <cellStyle name="Comma 2 2 2 9 2 2 2" xfId="7144"/>
    <cellStyle name="Comma 2 2 2 9 2 2 3" xfId="7145"/>
    <cellStyle name="Comma 2 2 2 9 2 3" xfId="7146"/>
    <cellStyle name="Comma 2 2 2 9 2 4" xfId="7147"/>
    <cellStyle name="Comma 2 2 2 9 2 5" xfId="7148"/>
    <cellStyle name="Comma 2 2 2 9 2 6" xfId="7149"/>
    <cellStyle name="Comma 2 2 2 9 3" xfId="7150"/>
    <cellStyle name="Comma 2 2 2 9 3 2" xfId="7151"/>
    <cellStyle name="Comma 2 2 2 9 3 2 2" xfId="7152"/>
    <cellStyle name="Comma 2 2 2 9 3 2 3" xfId="7153"/>
    <cellStyle name="Comma 2 2 2 9 3 3" xfId="7154"/>
    <cellStyle name="Comma 2 2 2 9 3 4" xfId="7155"/>
    <cellStyle name="Comma 2 2 2 9 3 5" xfId="7156"/>
    <cellStyle name="Comma 2 2 2 9 3 6" xfId="7157"/>
    <cellStyle name="Comma 2 2 2 9 4" xfId="7158"/>
    <cellStyle name="Comma 2 2 2 9 4 2" xfId="7159"/>
    <cellStyle name="Comma 2 2 2 9 4 2 2" xfId="7160"/>
    <cellStyle name="Comma 2 2 2 9 4 3" xfId="7161"/>
    <cellStyle name="Comma 2 2 2 9 4 4" xfId="7162"/>
    <cellStyle name="Comma 2 2 2 9 4 5" xfId="7163"/>
    <cellStyle name="Comma 2 2 2 9 5" xfId="7164"/>
    <cellStyle name="Comma 2 2 2 9 5 2" xfId="7165"/>
    <cellStyle name="Comma 2 2 2 9 5 3" xfId="7166"/>
    <cellStyle name="Comma 2 2 2 9 5 4" xfId="7167"/>
    <cellStyle name="Comma 2 2 2 9 6" xfId="7168"/>
    <cellStyle name="Comma 2 2 2 9 6 2" xfId="7169"/>
    <cellStyle name="Comma 2 2 2 9 7" xfId="7170"/>
    <cellStyle name="Comma 2 2 2 9 8" xfId="7171"/>
    <cellStyle name="Comma 2 2 2 9 9" xfId="7172"/>
    <cellStyle name="Comma 2 2 20" xfId="7173"/>
    <cellStyle name="Comma 2 2 20 10" xfId="7174"/>
    <cellStyle name="Comma 2 2 20 2" xfId="7175"/>
    <cellStyle name="Comma 2 2 20 2 2" xfId="7176"/>
    <cellStyle name="Comma 2 2 20 2 2 2" xfId="7177"/>
    <cellStyle name="Comma 2 2 20 2 2 3" xfId="7178"/>
    <cellStyle name="Comma 2 2 20 2 3" xfId="7179"/>
    <cellStyle name="Comma 2 2 20 2 4" xfId="7180"/>
    <cellStyle name="Comma 2 2 20 2 5" xfId="7181"/>
    <cellStyle name="Comma 2 2 20 2 6" xfId="7182"/>
    <cellStyle name="Comma 2 2 20 3" xfId="7183"/>
    <cellStyle name="Comma 2 2 20 3 2" xfId="7184"/>
    <cellStyle name="Comma 2 2 20 3 2 2" xfId="7185"/>
    <cellStyle name="Comma 2 2 20 3 2 3" xfId="7186"/>
    <cellStyle name="Comma 2 2 20 3 3" xfId="7187"/>
    <cellStyle name="Comma 2 2 20 3 4" xfId="7188"/>
    <cellStyle name="Comma 2 2 20 3 5" xfId="7189"/>
    <cellStyle name="Comma 2 2 20 3 6" xfId="7190"/>
    <cellStyle name="Comma 2 2 20 4" xfId="7191"/>
    <cellStyle name="Comma 2 2 20 4 2" xfId="7192"/>
    <cellStyle name="Comma 2 2 20 4 2 2" xfId="7193"/>
    <cellStyle name="Comma 2 2 20 4 3" xfId="7194"/>
    <cellStyle name="Comma 2 2 20 4 4" xfId="7195"/>
    <cellStyle name="Comma 2 2 20 4 5" xfId="7196"/>
    <cellStyle name="Comma 2 2 20 5" xfId="7197"/>
    <cellStyle name="Comma 2 2 20 5 2" xfId="7198"/>
    <cellStyle name="Comma 2 2 20 5 3" xfId="7199"/>
    <cellStyle name="Comma 2 2 20 5 4" xfId="7200"/>
    <cellStyle name="Comma 2 2 20 6" xfId="7201"/>
    <cellStyle name="Comma 2 2 20 6 2" xfId="7202"/>
    <cellStyle name="Comma 2 2 20 7" xfId="7203"/>
    <cellStyle name="Comma 2 2 20 8" xfId="7204"/>
    <cellStyle name="Comma 2 2 20 9" xfId="7205"/>
    <cellStyle name="Comma 2 2 21" xfId="7206"/>
    <cellStyle name="Comma 2 2 21 10" xfId="7207"/>
    <cellStyle name="Comma 2 2 21 2" xfId="7208"/>
    <cellStyle name="Comma 2 2 21 2 2" xfId="7209"/>
    <cellStyle name="Comma 2 2 21 2 2 2" xfId="7210"/>
    <cellStyle name="Comma 2 2 21 2 2 3" xfId="7211"/>
    <cellStyle name="Comma 2 2 21 2 3" xfId="7212"/>
    <cellStyle name="Comma 2 2 21 2 4" xfId="7213"/>
    <cellStyle name="Comma 2 2 21 2 5" xfId="7214"/>
    <cellStyle name="Comma 2 2 21 2 6" xfId="7215"/>
    <cellStyle name="Comma 2 2 21 3" xfId="7216"/>
    <cellStyle name="Comma 2 2 21 3 2" xfId="7217"/>
    <cellStyle name="Comma 2 2 21 3 2 2" xfId="7218"/>
    <cellStyle name="Comma 2 2 21 3 2 3" xfId="7219"/>
    <cellStyle name="Comma 2 2 21 3 3" xfId="7220"/>
    <cellStyle name="Comma 2 2 21 3 4" xfId="7221"/>
    <cellStyle name="Comma 2 2 21 3 5" xfId="7222"/>
    <cellStyle name="Comma 2 2 21 3 6" xfId="7223"/>
    <cellStyle name="Comma 2 2 21 4" xfId="7224"/>
    <cellStyle name="Comma 2 2 21 4 2" xfId="7225"/>
    <cellStyle name="Comma 2 2 21 4 2 2" xfId="7226"/>
    <cellStyle name="Comma 2 2 21 4 3" xfId="7227"/>
    <cellStyle name="Comma 2 2 21 4 4" xfId="7228"/>
    <cellStyle name="Comma 2 2 21 4 5" xfId="7229"/>
    <cellStyle name="Comma 2 2 21 5" xfId="7230"/>
    <cellStyle name="Comma 2 2 21 5 2" xfId="7231"/>
    <cellStyle name="Comma 2 2 21 5 3" xfId="7232"/>
    <cellStyle name="Comma 2 2 21 5 4" xfId="7233"/>
    <cellStyle name="Comma 2 2 21 6" xfId="7234"/>
    <cellStyle name="Comma 2 2 21 6 2" xfId="7235"/>
    <cellStyle name="Comma 2 2 21 7" xfId="7236"/>
    <cellStyle name="Comma 2 2 21 8" xfId="7237"/>
    <cellStyle name="Comma 2 2 21 9" xfId="7238"/>
    <cellStyle name="Comma 2 2 22" xfId="7239"/>
    <cellStyle name="Comma 2 2 22 10" xfId="7240"/>
    <cellStyle name="Comma 2 2 22 2" xfId="7241"/>
    <cellStyle name="Comma 2 2 22 2 2" xfId="7242"/>
    <cellStyle name="Comma 2 2 22 2 2 2" xfId="7243"/>
    <cellStyle name="Comma 2 2 22 2 2 3" xfId="7244"/>
    <cellStyle name="Comma 2 2 22 2 3" xfId="7245"/>
    <cellStyle name="Comma 2 2 22 2 4" xfId="7246"/>
    <cellStyle name="Comma 2 2 22 2 5" xfId="7247"/>
    <cellStyle name="Comma 2 2 22 2 6" xfId="7248"/>
    <cellStyle name="Comma 2 2 22 3" xfId="7249"/>
    <cellStyle name="Comma 2 2 22 3 2" xfId="7250"/>
    <cellStyle name="Comma 2 2 22 3 2 2" xfId="7251"/>
    <cellStyle name="Comma 2 2 22 3 2 3" xfId="7252"/>
    <cellStyle name="Comma 2 2 22 3 3" xfId="7253"/>
    <cellStyle name="Comma 2 2 22 3 4" xfId="7254"/>
    <cellStyle name="Comma 2 2 22 3 5" xfId="7255"/>
    <cellStyle name="Comma 2 2 22 3 6" xfId="7256"/>
    <cellStyle name="Comma 2 2 22 4" xfId="7257"/>
    <cellStyle name="Comma 2 2 22 4 2" xfId="7258"/>
    <cellStyle name="Comma 2 2 22 4 2 2" xfId="7259"/>
    <cellStyle name="Comma 2 2 22 4 3" xfId="7260"/>
    <cellStyle name="Comma 2 2 22 4 4" xfId="7261"/>
    <cellStyle name="Comma 2 2 22 4 5" xfId="7262"/>
    <cellStyle name="Comma 2 2 22 5" xfId="7263"/>
    <cellStyle name="Comma 2 2 22 5 2" xfId="7264"/>
    <cellStyle name="Comma 2 2 22 5 3" xfId="7265"/>
    <cellStyle name="Comma 2 2 22 5 4" xfId="7266"/>
    <cellStyle name="Comma 2 2 22 6" xfId="7267"/>
    <cellStyle name="Comma 2 2 22 6 2" xfId="7268"/>
    <cellStyle name="Comma 2 2 22 7" xfId="7269"/>
    <cellStyle name="Comma 2 2 22 8" xfId="7270"/>
    <cellStyle name="Comma 2 2 22 9" xfId="7271"/>
    <cellStyle name="Comma 2 2 23" xfId="7272"/>
    <cellStyle name="Comma 2 2 23 10" xfId="7273"/>
    <cellStyle name="Comma 2 2 23 2" xfId="7274"/>
    <cellStyle name="Comma 2 2 23 2 2" xfId="7275"/>
    <cellStyle name="Comma 2 2 23 2 2 2" xfId="7276"/>
    <cellStyle name="Comma 2 2 23 2 2 3" xfId="7277"/>
    <cellStyle name="Comma 2 2 23 2 3" xfId="7278"/>
    <cellStyle name="Comma 2 2 23 2 4" xfId="7279"/>
    <cellStyle name="Comma 2 2 23 2 5" xfId="7280"/>
    <cellStyle name="Comma 2 2 23 2 6" xfId="7281"/>
    <cellStyle name="Comma 2 2 23 3" xfId="7282"/>
    <cellStyle name="Comma 2 2 23 3 2" xfId="7283"/>
    <cellStyle name="Comma 2 2 23 3 2 2" xfId="7284"/>
    <cellStyle name="Comma 2 2 23 3 2 3" xfId="7285"/>
    <cellStyle name="Comma 2 2 23 3 3" xfId="7286"/>
    <cellStyle name="Comma 2 2 23 3 4" xfId="7287"/>
    <cellStyle name="Comma 2 2 23 3 5" xfId="7288"/>
    <cellStyle name="Comma 2 2 23 3 6" xfId="7289"/>
    <cellStyle name="Comma 2 2 23 4" xfId="7290"/>
    <cellStyle name="Comma 2 2 23 4 2" xfId="7291"/>
    <cellStyle name="Comma 2 2 23 4 2 2" xfId="7292"/>
    <cellStyle name="Comma 2 2 23 4 3" xfId="7293"/>
    <cellStyle name="Comma 2 2 23 4 4" xfId="7294"/>
    <cellStyle name="Comma 2 2 23 4 5" xfId="7295"/>
    <cellStyle name="Comma 2 2 23 5" xfId="7296"/>
    <cellStyle name="Comma 2 2 23 5 2" xfId="7297"/>
    <cellStyle name="Comma 2 2 23 5 3" xfId="7298"/>
    <cellStyle name="Comma 2 2 23 5 4" xfId="7299"/>
    <cellStyle name="Comma 2 2 23 6" xfId="7300"/>
    <cellStyle name="Comma 2 2 23 6 2" xfId="7301"/>
    <cellStyle name="Comma 2 2 23 7" xfId="7302"/>
    <cellStyle name="Comma 2 2 23 8" xfId="7303"/>
    <cellStyle name="Comma 2 2 23 9" xfId="7304"/>
    <cellStyle name="Comma 2 2 24" xfId="7305"/>
    <cellStyle name="Comma 2 2 24 10" xfId="7306"/>
    <cellStyle name="Comma 2 2 24 2" xfId="7307"/>
    <cellStyle name="Comma 2 2 24 2 2" xfId="7308"/>
    <cellStyle name="Comma 2 2 24 2 2 2" xfId="7309"/>
    <cellStyle name="Comma 2 2 24 2 2 3" xfId="7310"/>
    <cellStyle name="Comma 2 2 24 2 3" xfId="7311"/>
    <cellStyle name="Comma 2 2 24 2 4" xfId="7312"/>
    <cellStyle name="Comma 2 2 24 2 5" xfId="7313"/>
    <cellStyle name="Comma 2 2 24 2 6" xfId="7314"/>
    <cellStyle name="Comma 2 2 24 3" xfId="7315"/>
    <cellStyle name="Comma 2 2 24 3 2" xfId="7316"/>
    <cellStyle name="Comma 2 2 24 3 2 2" xfId="7317"/>
    <cellStyle name="Comma 2 2 24 3 2 3" xfId="7318"/>
    <cellStyle name="Comma 2 2 24 3 3" xfId="7319"/>
    <cellStyle name="Comma 2 2 24 3 4" xfId="7320"/>
    <cellStyle name="Comma 2 2 24 3 5" xfId="7321"/>
    <cellStyle name="Comma 2 2 24 3 6" xfId="7322"/>
    <cellStyle name="Comma 2 2 24 4" xfId="7323"/>
    <cellStyle name="Comma 2 2 24 4 2" xfId="7324"/>
    <cellStyle name="Comma 2 2 24 4 2 2" xfId="7325"/>
    <cellStyle name="Comma 2 2 24 4 3" xfId="7326"/>
    <cellStyle name="Comma 2 2 24 4 4" xfId="7327"/>
    <cellStyle name="Comma 2 2 24 4 5" xfId="7328"/>
    <cellStyle name="Comma 2 2 24 5" xfId="7329"/>
    <cellStyle name="Comma 2 2 24 5 2" xfId="7330"/>
    <cellStyle name="Comma 2 2 24 5 3" xfId="7331"/>
    <cellStyle name="Comma 2 2 24 5 4" xfId="7332"/>
    <cellStyle name="Comma 2 2 24 6" xfId="7333"/>
    <cellStyle name="Comma 2 2 24 6 2" xfId="7334"/>
    <cellStyle name="Comma 2 2 24 7" xfId="7335"/>
    <cellStyle name="Comma 2 2 24 8" xfId="7336"/>
    <cellStyle name="Comma 2 2 24 9" xfId="7337"/>
    <cellStyle name="Comma 2 2 25" xfId="7338"/>
    <cellStyle name="Comma 2 2 25 10" xfId="7339"/>
    <cellStyle name="Comma 2 2 25 2" xfId="7340"/>
    <cellStyle name="Comma 2 2 25 2 2" xfId="7341"/>
    <cellStyle name="Comma 2 2 25 2 2 2" xfId="7342"/>
    <cellStyle name="Comma 2 2 25 2 2 3" xfId="7343"/>
    <cellStyle name="Comma 2 2 25 2 3" xfId="7344"/>
    <cellStyle name="Comma 2 2 25 2 4" xfId="7345"/>
    <cellStyle name="Comma 2 2 25 2 5" xfId="7346"/>
    <cellStyle name="Comma 2 2 25 2 6" xfId="7347"/>
    <cellStyle name="Comma 2 2 25 3" xfId="7348"/>
    <cellStyle name="Comma 2 2 25 3 2" xfId="7349"/>
    <cellStyle name="Comma 2 2 25 3 2 2" xfId="7350"/>
    <cellStyle name="Comma 2 2 25 3 2 3" xfId="7351"/>
    <cellStyle name="Comma 2 2 25 3 3" xfId="7352"/>
    <cellStyle name="Comma 2 2 25 3 4" xfId="7353"/>
    <cellStyle name="Comma 2 2 25 3 5" xfId="7354"/>
    <cellStyle name="Comma 2 2 25 3 6" xfId="7355"/>
    <cellStyle name="Comma 2 2 25 4" xfId="7356"/>
    <cellStyle name="Comma 2 2 25 4 2" xfId="7357"/>
    <cellStyle name="Comma 2 2 25 4 2 2" xfId="7358"/>
    <cellStyle name="Comma 2 2 25 4 3" xfId="7359"/>
    <cellStyle name="Comma 2 2 25 4 4" xfId="7360"/>
    <cellStyle name="Comma 2 2 25 4 5" xfId="7361"/>
    <cellStyle name="Comma 2 2 25 5" xfId="7362"/>
    <cellStyle name="Comma 2 2 25 5 2" xfId="7363"/>
    <cellStyle name="Comma 2 2 25 5 3" xfId="7364"/>
    <cellStyle name="Comma 2 2 25 5 4" xfId="7365"/>
    <cellStyle name="Comma 2 2 25 6" xfId="7366"/>
    <cellStyle name="Comma 2 2 25 6 2" xfId="7367"/>
    <cellStyle name="Comma 2 2 25 7" xfId="7368"/>
    <cellStyle name="Comma 2 2 25 8" xfId="7369"/>
    <cellStyle name="Comma 2 2 25 9" xfId="7370"/>
    <cellStyle name="Comma 2 2 26" xfId="7371"/>
    <cellStyle name="Comma 2 2 26 10" xfId="7372"/>
    <cellStyle name="Comma 2 2 26 2" xfId="7373"/>
    <cellStyle name="Comma 2 2 26 2 2" xfId="7374"/>
    <cellStyle name="Comma 2 2 26 2 2 2" xfId="7375"/>
    <cellStyle name="Comma 2 2 26 2 2 3" xfId="7376"/>
    <cellStyle name="Comma 2 2 26 2 3" xfId="7377"/>
    <cellStyle name="Comma 2 2 26 2 4" xfId="7378"/>
    <cellStyle name="Comma 2 2 26 2 5" xfId="7379"/>
    <cellStyle name="Comma 2 2 26 2 6" xfId="7380"/>
    <cellStyle name="Comma 2 2 26 3" xfId="7381"/>
    <cellStyle name="Comma 2 2 26 3 2" xfId="7382"/>
    <cellStyle name="Comma 2 2 26 3 2 2" xfId="7383"/>
    <cellStyle name="Comma 2 2 26 3 2 3" xfId="7384"/>
    <cellStyle name="Comma 2 2 26 3 3" xfId="7385"/>
    <cellStyle name="Comma 2 2 26 3 4" xfId="7386"/>
    <cellStyle name="Comma 2 2 26 3 5" xfId="7387"/>
    <cellStyle name="Comma 2 2 26 3 6" xfId="7388"/>
    <cellStyle name="Comma 2 2 26 4" xfId="7389"/>
    <cellStyle name="Comma 2 2 26 4 2" xfId="7390"/>
    <cellStyle name="Comma 2 2 26 4 2 2" xfId="7391"/>
    <cellStyle name="Comma 2 2 26 4 3" xfId="7392"/>
    <cellStyle name="Comma 2 2 26 4 4" xfId="7393"/>
    <cellStyle name="Comma 2 2 26 4 5" xfId="7394"/>
    <cellStyle name="Comma 2 2 26 5" xfId="7395"/>
    <cellStyle name="Comma 2 2 26 5 2" xfId="7396"/>
    <cellStyle name="Comma 2 2 26 5 3" xfId="7397"/>
    <cellStyle name="Comma 2 2 26 5 4" xfId="7398"/>
    <cellStyle name="Comma 2 2 26 6" xfId="7399"/>
    <cellStyle name="Comma 2 2 26 6 2" xfId="7400"/>
    <cellStyle name="Comma 2 2 26 7" xfId="7401"/>
    <cellStyle name="Comma 2 2 26 8" xfId="7402"/>
    <cellStyle name="Comma 2 2 26 9" xfId="7403"/>
    <cellStyle name="Comma 2 2 27" xfId="7404"/>
    <cellStyle name="Comma 2 2 27 10" xfId="7405"/>
    <cellStyle name="Comma 2 2 27 2" xfId="7406"/>
    <cellStyle name="Comma 2 2 27 2 2" xfId="7407"/>
    <cellStyle name="Comma 2 2 27 2 2 2" xfId="7408"/>
    <cellStyle name="Comma 2 2 27 2 2 3" xfId="7409"/>
    <cellStyle name="Comma 2 2 27 2 3" xfId="7410"/>
    <cellStyle name="Comma 2 2 27 2 4" xfId="7411"/>
    <cellStyle name="Comma 2 2 27 2 5" xfId="7412"/>
    <cellStyle name="Comma 2 2 27 2 6" xfId="7413"/>
    <cellStyle name="Comma 2 2 27 3" xfId="7414"/>
    <cellStyle name="Comma 2 2 27 3 2" xfId="7415"/>
    <cellStyle name="Comma 2 2 27 3 2 2" xfId="7416"/>
    <cellStyle name="Comma 2 2 27 3 2 3" xfId="7417"/>
    <cellStyle name="Comma 2 2 27 3 3" xfId="7418"/>
    <cellStyle name="Comma 2 2 27 3 4" xfId="7419"/>
    <cellStyle name="Comma 2 2 27 3 5" xfId="7420"/>
    <cellStyle name="Comma 2 2 27 3 6" xfId="7421"/>
    <cellStyle name="Comma 2 2 27 4" xfId="7422"/>
    <cellStyle name="Comma 2 2 27 4 2" xfId="7423"/>
    <cellStyle name="Comma 2 2 27 4 2 2" xfId="7424"/>
    <cellStyle name="Comma 2 2 27 4 3" xfId="7425"/>
    <cellStyle name="Comma 2 2 27 4 4" xfId="7426"/>
    <cellStyle name="Comma 2 2 27 4 5" xfId="7427"/>
    <cellStyle name="Comma 2 2 27 5" xfId="7428"/>
    <cellStyle name="Comma 2 2 27 5 2" xfId="7429"/>
    <cellStyle name="Comma 2 2 27 5 3" xfId="7430"/>
    <cellStyle name="Comma 2 2 27 5 4" xfId="7431"/>
    <cellStyle name="Comma 2 2 27 6" xfId="7432"/>
    <cellStyle name="Comma 2 2 27 6 2" xfId="7433"/>
    <cellStyle name="Comma 2 2 27 7" xfId="7434"/>
    <cellStyle name="Comma 2 2 27 8" xfId="7435"/>
    <cellStyle name="Comma 2 2 27 9" xfId="7436"/>
    <cellStyle name="Comma 2 2 28" xfId="7437"/>
    <cellStyle name="Comma 2 2 28 10" xfId="7438"/>
    <cellStyle name="Comma 2 2 28 2" xfId="7439"/>
    <cellStyle name="Comma 2 2 28 2 2" xfId="7440"/>
    <cellStyle name="Comma 2 2 28 2 2 2" xfId="7441"/>
    <cellStyle name="Comma 2 2 28 2 2 3" xfId="7442"/>
    <cellStyle name="Comma 2 2 28 2 3" xfId="7443"/>
    <cellStyle name="Comma 2 2 28 2 4" xfId="7444"/>
    <cellStyle name="Comma 2 2 28 2 5" xfId="7445"/>
    <cellStyle name="Comma 2 2 28 2 6" xfId="7446"/>
    <cellStyle name="Comma 2 2 28 3" xfId="7447"/>
    <cellStyle name="Comma 2 2 28 3 2" xfId="7448"/>
    <cellStyle name="Comma 2 2 28 3 2 2" xfId="7449"/>
    <cellStyle name="Comma 2 2 28 3 2 3" xfId="7450"/>
    <cellStyle name="Comma 2 2 28 3 3" xfId="7451"/>
    <cellStyle name="Comma 2 2 28 3 4" xfId="7452"/>
    <cellStyle name="Comma 2 2 28 3 5" xfId="7453"/>
    <cellStyle name="Comma 2 2 28 3 6" xfId="7454"/>
    <cellStyle name="Comma 2 2 28 4" xfId="7455"/>
    <cellStyle name="Comma 2 2 28 4 2" xfId="7456"/>
    <cellStyle name="Comma 2 2 28 4 2 2" xfId="7457"/>
    <cellStyle name="Comma 2 2 28 4 3" xfId="7458"/>
    <cellStyle name="Comma 2 2 28 4 4" xfId="7459"/>
    <cellStyle name="Comma 2 2 28 4 5" xfId="7460"/>
    <cellStyle name="Comma 2 2 28 5" xfId="7461"/>
    <cellStyle name="Comma 2 2 28 5 2" xfId="7462"/>
    <cellStyle name="Comma 2 2 28 5 3" xfId="7463"/>
    <cellStyle name="Comma 2 2 28 5 4" xfId="7464"/>
    <cellStyle name="Comma 2 2 28 6" xfId="7465"/>
    <cellStyle name="Comma 2 2 28 6 2" xfId="7466"/>
    <cellStyle name="Comma 2 2 28 7" xfId="7467"/>
    <cellStyle name="Comma 2 2 28 8" xfId="7468"/>
    <cellStyle name="Comma 2 2 28 9" xfId="7469"/>
    <cellStyle name="Comma 2 2 29" xfId="7470"/>
    <cellStyle name="Comma 2 2 29 2" xfId="7471"/>
    <cellStyle name="Comma 2 2 29 2 2" xfId="7472"/>
    <cellStyle name="Comma 2 2 29 2 2 2" xfId="7473"/>
    <cellStyle name="Comma 2 2 29 2 2 3" xfId="7474"/>
    <cellStyle name="Comma 2 2 29 2 3" xfId="7475"/>
    <cellStyle name="Comma 2 2 29 2 4" xfId="7476"/>
    <cellStyle name="Comma 2 2 29 2 5" xfId="7477"/>
    <cellStyle name="Comma 2 2 29 2 6" xfId="7478"/>
    <cellStyle name="Comma 2 2 29 3" xfId="7479"/>
    <cellStyle name="Comma 2 2 29 3 2" xfId="7480"/>
    <cellStyle name="Comma 2 2 29 3 2 2" xfId="7481"/>
    <cellStyle name="Comma 2 2 29 3 3" xfId="7482"/>
    <cellStyle name="Comma 2 2 29 3 4" xfId="7483"/>
    <cellStyle name="Comma 2 2 29 3 5" xfId="7484"/>
    <cellStyle name="Comma 2 2 29 4" xfId="7485"/>
    <cellStyle name="Comma 2 2 29 4 2" xfId="7486"/>
    <cellStyle name="Comma 2 2 29 4 3" xfId="7487"/>
    <cellStyle name="Comma 2 2 29 4 4" xfId="7488"/>
    <cellStyle name="Comma 2 2 29 5" xfId="7489"/>
    <cellStyle name="Comma 2 2 29 5 2" xfId="7490"/>
    <cellStyle name="Comma 2 2 29 6" xfId="7491"/>
    <cellStyle name="Comma 2 2 29 7" xfId="7492"/>
    <cellStyle name="Comma 2 2 29 8" xfId="7493"/>
    <cellStyle name="Comma 2 2 29 9" xfId="7494"/>
    <cellStyle name="Comma 2 2 3" xfId="7495"/>
    <cellStyle name="Comma 2 2 3 10" xfId="7496"/>
    <cellStyle name="Comma 2 2 3 10 10" xfId="7497"/>
    <cellStyle name="Comma 2 2 3 10 2" xfId="7498"/>
    <cellStyle name="Comma 2 2 3 10 2 2" xfId="7499"/>
    <cellStyle name="Comma 2 2 3 10 2 2 2" xfId="7500"/>
    <cellStyle name="Comma 2 2 3 10 2 2 3" xfId="7501"/>
    <cellStyle name="Comma 2 2 3 10 2 3" xfId="7502"/>
    <cellStyle name="Comma 2 2 3 10 2 4" xfId="7503"/>
    <cellStyle name="Comma 2 2 3 10 2 5" xfId="7504"/>
    <cellStyle name="Comma 2 2 3 10 2 6" xfId="7505"/>
    <cellStyle name="Comma 2 2 3 10 3" xfId="7506"/>
    <cellStyle name="Comma 2 2 3 10 3 2" xfId="7507"/>
    <cellStyle name="Comma 2 2 3 10 3 2 2" xfId="7508"/>
    <cellStyle name="Comma 2 2 3 10 3 2 3" xfId="7509"/>
    <cellStyle name="Comma 2 2 3 10 3 3" xfId="7510"/>
    <cellStyle name="Comma 2 2 3 10 3 4" xfId="7511"/>
    <cellStyle name="Comma 2 2 3 10 3 5" xfId="7512"/>
    <cellStyle name="Comma 2 2 3 10 3 6" xfId="7513"/>
    <cellStyle name="Comma 2 2 3 10 4" xfId="7514"/>
    <cellStyle name="Comma 2 2 3 10 4 2" xfId="7515"/>
    <cellStyle name="Comma 2 2 3 10 4 2 2" xfId="7516"/>
    <cellStyle name="Comma 2 2 3 10 4 3" xfId="7517"/>
    <cellStyle name="Comma 2 2 3 10 4 4" xfId="7518"/>
    <cellStyle name="Comma 2 2 3 10 4 5" xfId="7519"/>
    <cellStyle name="Comma 2 2 3 10 5" xfId="7520"/>
    <cellStyle name="Comma 2 2 3 10 5 2" xfId="7521"/>
    <cellStyle name="Comma 2 2 3 10 5 3" xfId="7522"/>
    <cellStyle name="Comma 2 2 3 10 5 4" xfId="7523"/>
    <cellStyle name="Comma 2 2 3 10 6" xfId="7524"/>
    <cellStyle name="Comma 2 2 3 10 6 2" xfId="7525"/>
    <cellStyle name="Comma 2 2 3 10 7" xfId="7526"/>
    <cellStyle name="Comma 2 2 3 10 8" xfId="7527"/>
    <cellStyle name="Comma 2 2 3 10 9" xfId="7528"/>
    <cellStyle name="Comma 2 2 3 11" xfId="7529"/>
    <cellStyle name="Comma 2 2 3 11 10" xfId="7530"/>
    <cellStyle name="Comma 2 2 3 11 2" xfId="7531"/>
    <cellStyle name="Comma 2 2 3 11 2 2" xfId="7532"/>
    <cellStyle name="Comma 2 2 3 11 2 2 2" xfId="7533"/>
    <cellStyle name="Comma 2 2 3 11 2 2 3" xfId="7534"/>
    <cellStyle name="Comma 2 2 3 11 2 3" xfId="7535"/>
    <cellStyle name="Comma 2 2 3 11 2 4" xfId="7536"/>
    <cellStyle name="Comma 2 2 3 11 2 5" xfId="7537"/>
    <cellStyle name="Comma 2 2 3 11 2 6" xfId="7538"/>
    <cellStyle name="Comma 2 2 3 11 3" xfId="7539"/>
    <cellStyle name="Comma 2 2 3 11 3 2" xfId="7540"/>
    <cellStyle name="Comma 2 2 3 11 3 2 2" xfId="7541"/>
    <cellStyle name="Comma 2 2 3 11 3 2 3" xfId="7542"/>
    <cellStyle name="Comma 2 2 3 11 3 3" xfId="7543"/>
    <cellStyle name="Comma 2 2 3 11 3 4" xfId="7544"/>
    <cellStyle name="Comma 2 2 3 11 3 5" xfId="7545"/>
    <cellStyle name="Comma 2 2 3 11 3 6" xfId="7546"/>
    <cellStyle name="Comma 2 2 3 11 4" xfId="7547"/>
    <cellStyle name="Comma 2 2 3 11 4 2" xfId="7548"/>
    <cellStyle name="Comma 2 2 3 11 4 2 2" xfId="7549"/>
    <cellStyle name="Comma 2 2 3 11 4 3" xfId="7550"/>
    <cellStyle name="Comma 2 2 3 11 4 4" xfId="7551"/>
    <cellStyle name="Comma 2 2 3 11 4 5" xfId="7552"/>
    <cellStyle name="Comma 2 2 3 11 5" xfId="7553"/>
    <cellStyle name="Comma 2 2 3 11 5 2" xfId="7554"/>
    <cellStyle name="Comma 2 2 3 11 5 3" xfId="7555"/>
    <cellStyle name="Comma 2 2 3 11 5 4" xfId="7556"/>
    <cellStyle name="Comma 2 2 3 11 6" xfId="7557"/>
    <cellStyle name="Comma 2 2 3 11 6 2" xfId="7558"/>
    <cellStyle name="Comma 2 2 3 11 7" xfId="7559"/>
    <cellStyle name="Comma 2 2 3 11 8" xfId="7560"/>
    <cellStyle name="Comma 2 2 3 11 9" xfId="7561"/>
    <cellStyle name="Comma 2 2 3 12" xfId="7562"/>
    <cellStyle name="Comma 2 2 3 12 10" xfId="7563"/>
    <cellStyle name="Comma 2 2 3 12 2" xfId="7564"/>
    <cellStyle name="Comma 2 2 3 12 2 2" xfId="7565"/>
    <cellStyle name="Comma 2 2 3 12 2 2 2" xfId="7566"/>
    <cellStyle name="Comma 2 2 3 12 2 2 3" xfId="7567"/>
    <cellStyle name="Comma 2 2 3 12 2 3" xfId="7568"/>
    <cellStyle name="Comma 2 2 3 12 2 4" xfId="7569"/>
    <cellStyle name="Comma 2 2 3 12 2 5" xfId="7570"/>
    <cellStyle name="Comma 2 2 3 12 2 6" xfId="7571"/>
    <cellStyle name="Comma 2 2 3 12 3" xfId="7572"/>
    <cellStyle name="Comma 2 2 3 12 3 2" xfId="7573"/>
    <cellStyle name="Comma 2 2 3 12 3 2 2" xfId="7574"/>
    <cellStyle name="Comma 2 2 3 12 3 2 3" xfId="7575"/>
    <cellStyle name="Comma 2 2 3 12 3 3" xfId="7576"/>
    <cellStyle name="Comma 2 2 3 12 3 4" xfId="7577"/>
    <cellStyle name="Comma 2 2 3 12 3 5" xfId="7578"/>
    <cellStyle name="Comma 2 2 3 12 3 6" xfId="7579"/>
    <cellStyle name="Comma 2 2 3 12 4" xfId="7580"/>
    <cellStyle name="Comma 2 2 3 12 4 2" xfId="7581"/>
    <cellStyle name="Comma 2 2 3 12 4 2 2" xfId="7582"/>
    <cellStyle name="Comma 2 2 3 12 4 3" xfId="7583"/>
    <cellStyle name="Comma 2 2 3 12 4 4" xfId="7584"/>
    <cellStyle name="Comma 2 2 3 12 4 5" xfId="7585"/>
    <cellStyle name="Comma 2 2 3 12 5" xfId="7586"/>
    <cellStyle name="Comma 2 2 3 12 5 2" xfId="7587"/>
    <cellStyle name="Comma 2 2 3 12 5 3" xfId="7588"/>
    <cellStyle name="Comma 2 2 3 12 5 4" xfId="7589"/>
    <cellStyle name="Comma 2 2 3 12 6" xfId="7590"/>
    <cellStyle name="Comma 2 2 3 12 6 2" xfId="7591"/>
    <cellStyle name="Comma 2 2 3 12 7" xfId="7592"/>
    <cellStyle name="Comma 2 2 3 12 8" xfId="7593"/>
    <cellStyle name="Comma 2 2 3 12 9" xfId="7594"/>
    <cellStyle name="Comma 2 2 3 13" xfId="7595"/>
    <cellStyle name="Comma 2 2 3 13 2" xfId="7596"/>
    <cellStyle name="Comma 2 2 3 13 2 2" xfId="7597"/>
    <cellStyle name="Comma 2 2 3 13 2 2 2" xfId="7598"/>
    <cellStyle name="Comma 2 2 3 13 2 2 3" xfId="7599"/>
    <cellStyle name="Comma 2 2 3 13 2 3" xfId="7600"/>
    <cellStyle name="Comma 2 2 3 13 2 4" xfId="7601"/>
    <cellStyle name="Comma 2 2 3 13 2 5" xfId="7602"/>
    <cellStyle name="Comma 2 2 3 13 2 6" xfId="7603"/>
    <cellStyle name="Comma 2 2 3 13 3" xfId="7604"/>
    <cellStyle name="Comma 2 2 3 13 3 2" xfId="7605"/>
    <cellStyle name="Comma 2 2 3 13 3 2 2" xfId="7606"/>
    <cellStyle name="Comma 2 2 3 13 3 3" xfId="7607"/>
    <cellStyle name="Comma 2 2 3 13 3 4" xfId="7608"/>
    <cellStyle name="Comma 2 2 3 13 3 5" xfId="7609"/>
    <cellStyle name="Comma 2 2 3 13 4" xfId="7610"/>
    <cellStyle name="Comma 2 2 3 13 4 2" xfId="7611"/>
    <cellStyle name="Comma 2 2 3 13 4 3" xfId="7612"/>
    <cellStyle name="Comma 2 2 3 13 4 4" xfId="7613"/>
    <cellStyle name="Comma 2 2 3 13 5" xfId="7614"/>
    <cellStyle name="Comma 2 2 3 13 5 2" xfId="7615"/>
    <cellStyle name="Comma 2 2 3 13 6" xfId="7616"/>
    <cellStyle name="Comma 2 2 3 13 7" xfId="7617"/>
    <cellStyle name="Comma 2 2 3 13 8" xfId="7618"/>
    <cellStyle name="Comma 2 2 3 13 9" xfId="7619"/>
    <cellStyle name="Comma 2 2 3 14" xfId="7620"/>
    <cellStyle name="Comma 2 2 3 14 2" xfId="7621"/>
    <cellStyle name="Comma 2 2 3 14 2 2" xfId="7622"/>
    <cellStyle name="Comma 2 2 3 14 2 2 2" xfId="7623"/>
    <cellStyle name="Comma 2 2 3 14 2 2 3" xfId="7624"/>
    <cellStyle name="Comma 2 2 3 14 2 3" xfId="7625"/>
    <cellStyle name="Comma 2 2 3 14 2 4" xfId="7626"/>
    <cellStyle name="Comma 2 2 3 14 2 5" xfId="7627"/>
    <cellStyle name="Comma 2 2 3 14 2 6" xfId="7628"/>
    <cellStyle name="Comma 2 2 3 14 3" xfId="7629"/>
    <cellStyle name="Comma 2 2 3 14 3 2" xfId="7630"/>
    <cellStyle name="Comma 2 2 3 14 3 2 2" xfId="7631"/>
    <cellStyle name="Comma 2 2 3 14 3 3" xfId="7632"/>
    <cellStyle name="Comma 2 2 3 14 3 4" xfId="7633"/>
    <cellStyle name="Comma 2 2 3 14 3 5" xfId="7634"/>
    <cellStyle name="Comma 2 2 3 14 4" xfId="7635"/>
    <cellStyle name="Comma 2 2 3 14 4 2" xfId="7636"/>
    <cellStyle name="Comma 2 2 3 14 4 3" xfId="7637"/>
    <cellStyle name="Comma 2 2 3 14 4 4" xfId="7638"/>
    <cellStyle name="Comma 2 2 3 14 5" xfId="7639"/>
    <cellStyle name="Comma 2 2 3 14 5 2" xfId="7640"/>
    <cellStyle name="Comma 2 2 3 14 6" xfId="7641"/>
    <cellStyle name="Comma 2 2 3 14 7" xfId="7642"/>
    <cellStyle name="Comma 2 2 3 14 8" xfId="7643"/>
    <cellStyle name="Comma 2 2 3 14 9" xfId="7644"/>
    <cellStyle name="Comma 2 2 3 15" xfId="7645"/>
    <cellStyle name="Comma 2 2 3 15 2" xfId="7646"/>
    <cellStyle name="Comma 2 2 3 15 2 2" xfId="7647"/>
    <cellStyle name="Comma 2 2 3 15 2 3" xfId="7648"/>
    <cellStyle name="Comma 2 2 3 15 3" xfId="7649"/>
    <cellStyle name="Comma 2 2 3 15 4" xfId="7650"/>
    <cellStyle name="Comma 2 2 3 15 5" xfId="7651"/>
    <cellStyle name="Comma 2 2 3 15 6" xfId="7652"/>
    <cellStyle name="Comma 2 2 3 16" xfId="7653"/>
    <cellStyle name="Comma 2 2 3 16 2" xfId="7654"/>
    <cellStyle name="Comma 2 2 3 16 2 2" xfId="7655"/>
    <cellStyle name="Comma 2 2 3 16 3" xfId="7656"/>
    <cellStyle name="Comma 2 2 3 16 4" xfId="7657"/>
    <cellStyle name="Comma 2 2 3 16 5" xfId="7658"/>
    <cellStyle name="Comma 2 2 3 17" xfId="7659"/>
    <cellStyle name="Comma 2 2 3 17 2" xfId="7660"/>
    <cellStyle name="Comma 2 2 3 17 2 2" xfId="7661"/>
    <cellStyle name="Comma 2 2 3 17 3" xfId="7662"/>
    <cellStyle name="Comma 2 2 3 17 4" xfId="7663"/>
    <cellStyle name="Comma 2 2 3 17 5" xfId="7664"/>
    <cellStyle name="Comma 2 2 3 18" xfId="7665"/>
    <cellStyle name="Comma 2 2 3 18 2" xfId="7666"/>
    <cellStyle name="Comma 2 2 3 19" xfId="7667"/>
    <cellStyle name="Comma 2 2 3 2" xfId="7668"/>
    <cellStyle name="Comma 2 2 3 2 10" xfId="7669"/>
    <cellStyle name="Comma 2 2 3 2 11" xfId="7670"/>
    <cellStyle name="Comma 2 2 3 2 2" xfId="7671"/>
    <cellStyle name="Comma 2 2 3 2 2 2" xfId="7672"/>
    <cellStyle name="Comma 2 2 3 2 2 2 2" xfId="7673"/>
    <cellStyle name="Comma 2 2 3 2 2 2 2 2" xfId="7674"/>
    <cellStyle name="Comma 2 2 3 2 2 2 2 3" xfId="7675"/>
    <cellStyle name="Comma 2 2 3 2 2 2 3" xfId="7676"/>
    <cellStyle name="Comma 2 2 3 2 2 2 4" xfId="7677"/>
    <cellStyle name="Comma 2 2 3 2 2 2 5" xfId="7678"/>
    <cellStyle name="Comma 2 2 3 2 2 2 6" xfId="7679"/>
    <cellStyle name="Comma 2 2 3 2 2 3" xfId="7680"/>
    <cellStyle name="Comma 2 2 3 2 2 3 2" xfId="7681"/>
    <cellStyle name="Comma 2 2 3 2 2 3 2 2" xfId="7682"/>
    <cellStyle name="Comma 2 2 3 2 2 3 3" xfId="7683"/>
    <cellStyle name="Comma 2 2 3 2 2 3 4" xfId="7684"/>
    <cellStyle name="Comma 2 2 3 2 2 3 5" xfId="7685"/>
    <cellStyle name="Comma 2 2 3 2 2 4" xfId="7686"/>
    <cellStyle name="Comma 2 2 3 2 2 4 2" xfId="7687"/>
    <cellStyle name="Comma 2 2 3 2 2 4 3" xfId="7688"/>
    <cellStyle name="Comma 2 2 3 2 2 4 4" xfId="7689"/>
    <cellStyle name="Comma 2 2 3 2 2 5" xfId="7690"/>
    <cellStyle name="Comma 2 2 3 2 2 5 2" xfId="7691"/>
    <cellStyle name="Comma 2 2 3 2 2 6" xfId="7692"/>
    <cellStyle name="Comma 2 2 3 2 2 7" xfId="7693"/>
    <cellStyle name="Comma 2 2 3 2 2 8" xfId="7694"/>
    <cellStyle name="Comma 2 2 3 2 2 9" xfId="7695"/>
    <cellStyle name="Comma 2 2 3 2 3" xfId="7696"/>
    <cellStyle name="Comma 2 2 3 2 3 2" xfId="7697"/>
    <cellStyle name="Comma 2 2 3 2 3 2 2" xfId="7698"/>
    <cellStyle name="Comma 2 2 3 2 3 2 2 2" xfId="7699"/>
    <cellStyle name="Comma 2 2 3 2 3 2 2 3" xfId="7700"/>
    <cellStyle name="Comma 2 2 3 2 3 2 3" xfId="7701"/>
    <cellStyle name="Comma 2 2 3 2 3 2 4" xfId="7702"/>
    <cellStyle name="Comma 2 2 3 2 3 2 5" xfId="7703"/>
    <cellStyle name="Comma 2 2 3 2 3 2 6" xfId="7704"/>
    <cellStyle name="Comma 2 2 3 2 3 3" xfId="7705"/>
    <cellStyle name="Comma 2 2 3 2 3 3 2" xfId="7706"/>
    <cellStyle name="Comma 2 2 3 2 3 3 2 2" xfId="7707"/>
    <cellStyle name="Comma 2 2 3 2 3 3 3" xfId="7708"/>
    <cellStyle name="Comma 2 2 3 2 3 3 4" xfId="7709"/>
    <cellStyle name="Comma 2 2 3 2 3 3 5" xfId="7710"/>
    <cellStyle name="Comma 2 2 3 2 3 4" xfId="7711"/>
    <cellStyle name="Comma 2 2 3 2 3 4 2" xfId="7712"/>
    <cellStyle name="Comma 2 2 3 2 3 4 3" xfId="7713"/>
    <cellStyle name="Comma 2 2 3 2 3 4 4" xfId="7714"/>
    <cellStyle name="Comma 2 2 3 2 3 5" xfId="7715"/>
    <cellStyle name="Comma 2 2 3 2 3 5 2" xfId="7716"/>
    <cellStyle name="Comma 2 2 3 2 3 6" xfId="7717"/>
    <cellStyle name="Comma 2 2 3 2 3 7" xfId="7718"/>
    <cellStyle name="Comma 2 2 3 2 3 8" xfId="7719"/>
    <cellStyle name="Comma 2 2 3 2 3 9" xfId="7720"/>
    <cellStyle name="Comma 2 2 3 2 4" xfId="7721"/>
    <cellStyle name="Comma 2 2 3 2 4 2" xfId="7722"/>
    <cellStyle name="Comma 2 2 3 2 4 2 2" xfId="7723"/>
    <cellStyle name="Comma 2 2 3 2 4 2 3" xfId="7724"/>
    <cellStyle name="Comma 2 2 3 2 4 3" xfId="7725"/>
    <cellStyle name="Comma 2 2 3 2 4 4" xfId="7726"/>
    <cellStyle name="Comma 2 2 3 2 4 5" xfId="7727"/>
    <cellStyle name="Comma 2 2 3 2 4 6" xfId="7728"/>
    <cellStyle name="Comma 2 2 3 2 5" xfId="7729"/>
    <cellStyle name="Comma 2 2 3 2 5 2" xfId="7730"/>
    <cellStyle name="Comma 2 2 3 2 5 2 2" xfId="7731"/>
    <cellStyle name="Comma 2 2 3 2 5 3" xfId="7732"/>
    <cellStyle name="Comma 2 2 3 2 5 4" xfId="7733"/>
    <cellStyle name="Comma 2 2 3 2 5 5" xfId="7734"/>
    <cellStyle name="Comma 2 2 3 2 6" xfId="7735"/>
    <cellStyle name="Comma 2 2 3 2 6 2" xfId="7736"/>
    <cellStyle name="Comma 2 2 3 2 6 3" xfId="7737"/>
    <cellStyle name="Comma 2 2 3 2 6 4" xfId="7738"/>
    <cellStyle name="Comma 2 2 3 2 7" xfId="7739"/>
    <cellStyle name="Comma 2 2 3 2 7 2" xfId="7740"/>
    <cellStyle name="Comma 2 2 3 2 8" xfId="7741"/>
    <cellStyle name="Comma 2 2 3 2 9" xfId="7742"/>
    <cellStyle name="Comma 2 2 3 20" xfId="7743"/>
    <cellStyle name="Comma 2 2 3 21" xfId="7744"/>
    <cellStyle name="Comma 2 2 3 22" xfId="7745"/>
    <cellStyle name="Comma 2 2 3 3" xfId="7746"/>
    <cellStyle name="Comma 2 2 3 3 10" xfId="7747"/>
    <cellStyle name="Comma 2 2 3 3 11" xfId="7748"/>
    <cellStyle name="Comma 2 2 3 3 2" xfId="7749"/>
    <cellStyle name="Comma 2 2 3 3 2 2" xfId="7750"/>
    <cellStyle name="Comma 2 2 3 3 2 2 2" xfId="7751"/>
    <cellStyle name="Comma 2 2 3 3 2 2 2 2" xfId="7752"/>
    <cellStyle name="Comma 2 2 3 3 2 2 2 3" xfId="7753"/>
    <cellStyle name="Comma 2 2 3 3 2 2 3" xfId="7754"/>
    <cellStyle name="Comma 2 2 3 3 2 2 4" xfId="7755"/>
    <cellStyle name="Comma 2 2 3 3 2 2 5" xfId="7756"/>
    <cellStyle name="Comma 2 2 3 3 2 2 6" xfId="7757"/>
    <cellStyle name="Comma 2 2 3 3 2 3" xfId="7758"/>
    <cellStyle name="Comma 2 2 3 3 2 3 2" xfId="7759"/>
    <cellStyle name="Comma 2 2 3 3 2 3 2 2" xfId="7760"/>
    <cellStyle name="Comma 2 2 3 3 2 3 3" xfId="7761"/>
    <cellStyle name="Comma 2 2 3 3 2 3 4" xfId="7762"/>
    <cellStyle name="Comma 2 2 3 3 2 3 5" xfId="7763"/>
    <cellStyle name="Comma 2 2 3 3 2 4" xfId="7764"/>
    <cellStyle name="Comma 2 2 3 3 2 4 2" xfId="7765"/>
    <cellStyle name="Comma 2 2 3 3 2 4 3" xfId="7766"/>
    <cellStyle name="Comma 2 2 3 3 2 4 4" xfId="7767"/>
    <cellStyle name="Comma 2 2 3 3 2 5" xfId="7768"/>
    <cellStyle name="Comma 2 2 3 3 2 5 2" xfId="7769"/>
    <cellStyle name="Comma 2 2 3 3 2 6" xfId="7770"/>
    <cellStyle name="Comma 2 2 3 3 2 7" xfId="7771"/>
    <cellStyle name="Comma 2 2 3 3 2 8" xfId="7772"/>
    <cellStyle name="Comma 2 2 3 3 2 9" xfId="7773"/>
    <cellStyle name="Comma 2 2 3 3 3" xfId="7774"/>
    <cellStyle name="Comma 2 2 3 3 3 2" xfId="7775"/>
    <cellStyle name="Comma 2 2 3 3 3 2 2" xfId="7776"/>
    <cellStyle name="Comma 2 2 3 3 3 2 2 2" xfId="7777"/>
    <cellStyle name="Comma 2 2 3 3 3 2 2 3" xfId="7778"/>
    <cellStyle name="Comma 2 2 3 3 3 2 3" xfId="7779"/>
    <cellStyle name="Comma 2 2 3 3 3 2 4" xfId="7780"/>
    <cellStyle name="Comma 2 2 3 3 3 2 5" xfId="7781"/>
    <cellStyle name="Comma 2 2 3 3 3 2 6" xfId="7782"/>
    <cellStyle name="Comma 2 2 3 3 3 3" xfId="7783"/>
    <cellStyle name="Comma 2 2 3 3 3 3 2" xfId="7784"/>
    <cellStyle name="Comma 2 2 3 3 3 3 2 2" xfId="7785"/>
    <cellStyle name="Comma 2 2 3 3 3 3 3" xfId="7786"/>
    <cellStyle name="Comma 2 2 3 3 3 3 4" xfId="7787"/>
    <cellStyle name="Comma 2 2 3 3 3 3 5" xfId="7788"/>
    <cellStyle name="Comma 2 2 3 3 3 4" xfId="7789"/>
    <cellStyle name="Comma 2 2 3 3 3 4 2" xfId="7790"/>
    <cellStyle name="Comma 2 2 3 3 3 4 3" xfId="7791"/>
    <cellStyle name="Comma 2 2 3 3 3 4 4" xfId="7792"/>
    <cellStyle name="Comma 2 2 3 3 3 5" xfId="7793"/>
    <cellStyle name="Comma 2 2 3 3 3 5 2" xfId="7794"/>
    <cellStyle name="Comma 2 2 3 3 3 6" xfId="7795"/>
    <cellStyle name="Comma 2 2 3 3 3 7" xfId="7796"/>
    <cellStyle name="Comma 2 2 3 3 3 8" xfId="7797"/>
    <cellStyle name="Comma 2 2 3 3 3 9" xfId="7798"/>
    <cellStyle name="Comma 2 2 3 3 4" xfId="7799"/>
    <cellStyle name="Comma 2 2 3 3 4 2" xfId="7800"/>
    <cellStyle name="Comma 2 2 3 3 4 2 2" xfId="7801"/>
    <cellStyle name="Comma 2 2 3 3 4 2 3" xfId="7802"/>
    <cellStyle name="Comma 2 2 3 3 4 3" xfId="7803"/>
    <cellStyle name="Comma 2 2 3 3 4 4" xfId="7804"/>
    <cellStyle name="Comma 2 2 3 3 4 5" xfId="7805"/>
    <cellStyle name="Comma 2 2 3 3 4 6" xfId="7806"/>
    <cellStyle name="Comma 2 2 3 3 5" xfId="7807"/>
    <cellStyle name="Comma 2 2 3 3 5 2" xfId="7808"/>
    <cellStyle name="Comma 2 2 3 3 5 2 2" xfId="7809"/>
    <cellStyle name="Comma 2 2 3 3 5 3" xfId="7810"/>
    <cellStyle name="Comma 2 2 3 3 5 4" xfId="7811"/>
    <cellStyle name="Comma 2 2 3 3 5 5" xfId="7812"/>
    <cellStyle name="Comma 2 2 3 3 6" xfId="7813"/>
    <cellStyle name="Comma 2 2 3 3 6 2" xfId="7814"/>
    <cellStyle name="Comma 2 2 3 3 6 3" xfId="7815"/>
    <cellStyle name="Comma 2 2 3 3 6 4" xfId="7816"/>
    <cellStyle name="Comma 2 2 3 3 7" xfId="7817"/>
    <cellStyle name="Comma 2 2 3 3 7 2" xfId="7818"/>
    <cellStyle name="Comma 2 2 3 3 8" xfId="7819"/>
    <cellStyle name="Comma 2 2 3 3 9" xfId="7820"/>
    <cellStyle name="Comma 2 2 3 4" xfId="7821"/>
    <cellStyle name="Comma 2 2 3 4 10" xfId="7822"/>
    <cellStyle name="Comma 2 2 3 4 11" xfId="7823"/>
    <cellStyle name="Comma 2 2 3 4 2" xfId="7824"/>
    <cellStyle name="Comma 2 2 3 4 2 2" xfId="7825"/>
    <cellStyle name="Comma 2 2 3 4 2 2 2" xfId="7826"/>
    <cellStyle name="Comma 2 2 3 4 2 2 2 2" xfId="7827"/>
    <cellStyle name="Comma 2 2 3 4 2 2 2 3" xfId="7828"/>
    <cellStyle name="Comma 2 2 3 4 2 2 3" xfId="7829"/>
    <cellStyle name="Comma 2 2 3 4 2 2 4" xfId="7830"/>
    <cellStyle name="Comma 2 2 3 4 2 2 5" xfId="7831"/>
    <cellStyle name="Comma 2 2 3 4 2 2 6" xfId="7832"/>
    <cellStyle name="Comma 2 2 3 4 2 3" xfId="7833"/>
    <cellStyle name="Comma 2 2 3 4 2 3 2" xfId="7834"/>
    <cellStyle name="Comma 2 2 3 4 2 3 2 2" xfId="7835"/>
    <cellStyle name="Comma 2 2 3 4 2 3 3" xfId="7836"/>
    <cellStyle name="Comma 2 2 3 4 2 3 4" xfId="7837"/>
    <cellStyle name="Comma 2 2 3 4 2 3 5" xfId="7838"/>
    <cellStyle name="Comma 2 2 3 4 2 4" xfId="7839"/>
    <cellStyle name="Comma 2 2 3 4 2 4 2" xfId="7840"/>
    <cellStyle name="Comma 2 2 3 4 2 4 3" xfId="7841"/>
    <cellStyle name="Comma 2 2 3 4 2 4 4" xfId="7842"/>
    <cellStyle name="Comma 2 2 3 4 2 5" xfId="7843"/>
    <cellStyle name="Comma 2 2 3 4 2 5 2" xfId="7844"/>
    <cellStyle name="Comma 2 2 3 4 2 6" xfId="7845"/>
    <cellStyle name="Comma 2 2 3 4 2 7" xfId="7846"/>
    <cellStyle name="Comma 2 2 3 4 2 8" xfId="7847"/>
    <cellStyle name="Comma 2 2 3 4 2 9" xfId="7848"/>
    <cellStyle name="Comma 2 2 3 4 3" xfId="7849"/>
    <cellStyle name="Comma 2 2 3 4 3 2" xfId="7850"/>
    <cellStyle name="Comma 2 2 3 4 3 2 2" xfId="7851"/>
    <cellStyle name="Comma 2 2 3 4 3 2 2 2" xfId="7852"/>
    <cellStyle name="Comma 2 2 3 4 3 2 2 3" xfId="7853"/>
    <cellStyle name="Comma 2 2 3 4 3 2 3" xfId="7854"/>
    <cellStyle name="Comma 2 2 3 4 3 2 4" xfId="7855"/>
    <cellStyle name="Comma 2 2 3 4 3 2 5" xfId="7856"/>
    <cellStyle name="Comma 2 2 3 4 3 2 6" xfId="7857"/>
    <cellStyle name="Comma 2 2 3 4 3 3" xfId="7858"/>
    <cellStyle name="Comma 2 2 3 4 3 3 2" xfId="7859"/>
    <cellStyle name="Comma 2 2 3 4 3 3 2 2" xfId="7860"/>
    <cellStyle name="Comma 2 2 3 4 3 3 3" xfId="7861"/>
    <cellStyle name="Comma 2 2 3 4 3 3 4" xfId="7862"/>
    <cellStyle name="Comma 2 2 3 4 3 3 5" xfId="7863"/>
    <cellStyle name="Comma 2 2 3 4 3 4" xfId="7864"/>
    <cellStyle name="Comma 2 2 3 4 3 4 2" xfId="7865"/>
    <cellStyle name="Comma 2 2 3 4 3 4 3" xfId="7866"/>
    <cellStyle name="Comma 2 2 3 4 3 4 4" xfId="7867"/>
    <cellStyle name="Comma 2 2 3 4 3 5" xfId="7868"/>
    <cellStyle name="Comma 2 2 3 4 3 5 2" xfId="7869"/>
    <cellStyle name="Comma 2 2 3 4 3 6" xfId="7870"/>
    <cellStyle name="Comma 2 2 3 4 3 7" xfId="7871"/>
    <cellStyle name="Comma 2 2 3 4 3 8" xfId="7872"/>
    <cellStyle name="Comma 2 2 3 4 3 9" xfId="7873"/>
    <cellStyle name="Comma 2 2 3 4 4" xfId="7874"/>
    <cellStyle name="Comma 2 2 3 4 4 2" xfId="7875"/>
    <cellStyle name="Comma 2 2 3 4 4 2 2" xfId="7876"/>
    <cellStyle name="Comma 2 2 3 4 4 2 3" xfId="7877"/>
    <cellStyle name="Comma 2 2 3 4 4 3" xfId="7878"/>
    <cellStyle name="Comma 2 2 3 4 4 4" xfId="7879"/>
    <cellStyle name="Comma 2 2 3 4 4 5" xfId="7880"/>
    <cellStyle name="Comma 2 2 3 4 4 6" xfId="7881"/>
    <cellStyle name="Comma 2 2 3 4 5" xfId="7882"/>
    <cellStyle name="Comma 2 2 3 4 5 2" xfId="7883"/>
    <cellStyle name="Comma 2 2 3 4 5 2 2" xfId="7884"/>
    <cellStyle name="Comma 2 2 3 4 5 3" xfId="7885"/>
    <cellStyle name="Comma 2 2 3 4 5 4" xfId="7886"/>
    <cellStyle name="Comma 2 2 3 4 5 5" xfId="7887"/>
    <cellStyle name="Comma 2 2 3 4 6" xfId="7888"/>
    <cellStyle name="Comma 2 2 3 4 6 2" xfId="7889"/>
    <cellStyle name="Comma 2 2 3 4 6 3" xfId="7890"/>
    <cellStyle name="Comma 2 2 3 4 6 4" xfId="7891"/>
    <cellStyle name="Comma 2 2 3 4 7" xfId="7892"/>
    <cellStyle name="Comma 2 2 3 4 7 2" xfId="7893"/>
    <cellStyle name="Comma 2 2 3 4 8" xfId="7894"/>
    <cellStyle name="Comma 2 2 3 4 9" xfId="7895"/>
    <cellStyle name="Comma 2 2 3 5" xfId="7896"/>
    <cellStyle name="Comma 2 2 3 5 10" xfId="7897"/>
    <cellStyle name="Comma 2 2 3 5 11" xfId="7898"/>
    <cellStyle name="Comma 2 2 3 5 2" xfId="7899"/>
    <cellStyle name="Comma 2 2 3 5 2 2" xfId="7900"/>
    <cellStyle name="Comma 2 2 3 5 2 2 2" xfId="7901"/>
    <cellStyle name="Comma 2 2 3 5 2 2 2 2" xfId="7902"/>
    <cellStyle name="Comma 2 2 3 5 2 2 2 3" xfId="7903"/>
    <cellStyle name="Comma 2 2 3 5 2 2 3" xfId="7904"/>
    <cellStyle name="Comma 2 2 3 5 2 2 4" xfId="7905"/>
    <cellStyle name="Comma 2 2 3 5 2 2 5" xfId="7906"/>
    <cellStyle name="Comma 2 2 3 5 2 2 6" xfId="7907"/>
    <cellStyle name="Comma 2 2 3 5 2 3" xfId="7908"/>
    <cellStyle name="Comma 2 2 3 5 2 3 2" xfId="7909"/>
    <cellStyle name="Comma 2 2 3 5 2 3 2 2" xfId="7910"/>
    <cellStyle name="Comma 2 2 3 5 2 3 3" xfId="7911"/>
    <cellStyle name="Comma 2 2 3 5 2 3 4" xfId="7912"/>
    <cellStyle name="Comma 2 2 3 5 2 3 5" xfId="7913"/>
    <cellStyle name="Comma 2 2 3 5 2 4" xfId="7914"/>
    <cellStyle name="Comma 2 2 3 5 2 4 2" xfId="7915"/>
    <cellStyle name="Comma 2 2 3 5 2 4 3" xfId="7916"/>
    <cellStyle name="Comma 2 2 3 5 2 4 4" xfId="7917"/>
    <cellStyle name="Comma 2 2 3 5 2 5" xfId="7918"/>
    <cellStyle name="Comma 2 2 3 5 2 5 2" xfId="7919"/>
    <cellStyle name="Comma 2 2 3 5 2 6" xfId="7920"/>
    <cellStyle name="Comma 2 2 3 5 2 7" xfId="7921"/>
    <cellStyle name="Comma 2 2 3 5 2 8" xfId="7922"/>
    <cellStyle name="Comma 2 2 3 5 2 9" xfId="7923"/>
    <cellStyle name="Comma 2 2 3 5 3" xfId="7924"/>
    <cellStyle name="Comma 2 2 3 5 3 2" xfId="7925"/>
    <cellStyle name="Comma 2 2 3 5 3 2 2" xfId="7926"/>
    <cellStyle name="Comma 2 2 3 5 3 2 2 2" xfId="7927"/>
    <cellStyle name="Comma 2 2 3 5 3 2 2 3" xfId="7928"/>
    <cellStyle name="Comma 2 2 3 5 3 2 3" xfId="7929"/>
    <cellStyle name="Comma 2 2 3 5 3 2 4" xfId="7930"/>
    <cellStyle name="Comma 2 2 3 5 3 2 5" xfId="7931"/>
    <cellStyle name="Comma 2 2 3 5 3 2 6" xfId="7932"/>
    <cellStyle name="Comma 2 2 3 5 3 3" xfId="7933"/>
    <cellStyle name="Comma 2 2 3 5 3 3 2" xfId="7934"/>
    <cellStyle name="Comma 2 2 3 5 3 3 2 2" xfId="7935"/>
    <cellStyle name="Comma 2 2 3 5 3 3 3" xfId="7936"/>
    <cellStyle name="Comma 2 2 3 5 3 3 4" xfId="7937"/>
    <cellStyle name="Comma 2 2 3 5 3 3 5" xfId="7938"/>
    <cellStyle name="Comma 2 2 3 5 3 4" xfId="7939"/>
    <cellStyle name="Comma 2 2 3 5 3 4 2" xfId="7940"/>
    <cellStyle name="Comma 2 2 3 5 3 4 3" xfId="7941"/>
    <cellStyle name="Comma 2 2 3 5 3 4 4" xfId="7942"/>
    <cellStyle name="Comma 2 2 3 5 3 5" xfId="7943"/>
    <cellStyle name="Comma 2 2 3 5 3 5 2" xfId="7944"/>
    <cellStyle name="Comma 2 2 3 5 3 6" xfId="7945"/>
    <cellStyle name="Comma 2 2 3 5 3 7" xfId="7946"/>
    <cellStyle name="Comma 2 2 3 5 3 8" xfId="7947"/>
    <cellStyle name="Comma 2 2 3 5 3 9" xfId="7948"/>
    <cellStyle name="Comma 2 2 3 5 4" xfId="7949"/>
    <cellStyle name="Comma 2 2 3 5 4 2" xfId="7950"/>
    <cellStyle name="Comma 2 2 3 5 4 2 2" xfId="7951"/>
    <cellStyle name="Comma 2 2 3 5 4 2 3" xfId="7952"/>
    <cellStyle name="Comma 2 2 3 5 4 3" xfId="7953"/>
    <cellStyle name="Comma 2 2 3 5 4 4" xfId="7954"/>
    <cellStyle name="Comma 2 2 3 5 4 5" xfId="7955"/>
    <cellStyle name="Comma 2 2 3 5 4 6" xfId="7956"/>
    <cellStyle name="Comma 2 2 3 5 5" xfId="7957"/>
    <cellStyle name="Comma 2 2 3 5 5 2" xfId="7958"/>
    <cellStyle name="Comma 2 2 3 5 5 2 2" xfId="7959"/>
    <cellStyle name="Comma 2 2 3 5 5 3" xfId="7960"/>
    <cellStyle name="Comma 2 2 3 5 5 4" xfId="7961"/>
    <cellStyle name="Comma 2 2 3 5 5 5" xfId="7962"/>
    <cellStyle name="Comma 2 2 3 5 6" xfId="7963"/>
    <cellStyle name="Comma 2 2 3 5 6 2" xfId="7964"/>
    <cellStyle name="Comma 2 2 3 5 6 3" xfId="7965"/>
    <cellStyle name="Comma 2 2 3 5 6 4" xfId="7966"/>
    <cellStyle name="Comma 2 2 3 5 7" xfId="7967"/>
    <cellStyle name="Comma 2 2 3 5 7 2" xfId="7968"/>
    <cellStyle name="Comma 2 2 3 5 8" xfId="7969"/>
    <cellStyle name="Comma 2 2 3 5 9" xfId="7970"/>
    <cellStyle name="Comma 2 2 3 6" xfId="7971"/>
    <cellStyle name="Comma 2 2 3 6 10" xfId="7972"/>
    <cellStyle name="Comma 2 2 3 6 11" xfId="7973"/>
    <cellStyle name="Comma 2 2 3 6 2" xfId="7974"/>
    <cellStyle name="Comma 2 2 3 6 2 2" xfId="7975"/>
    <cellStyle name="Comma 2 2 3 6 2 2 2" xfId="7976"/>
    <cellStyle name="Comma 2 2 3 6 2 2 2 2" xfId="7977"/>
    <cellStyle name="Comma 2 2 3 6 2 2 2 3" xfId="7978"/>
    <cellStyle name="Comma 2 2 3 6 2 2 3" xfId="7979"/>
    <cellStyle name="Comma 2 2 3 6 2 2 4" xfId="7980"/>
    <cellStyle name="Comma 2 2 3 6 2 2 5" xfId="7981"/>
    <cellStyle name="Comma 2 2 3 6 2 2 6" xfId="7982"/>
    <cellStyle name="Comma 2 2 3 6 2 3" xfId="7983"/>
    <cellStyle name="Comma 2 2 3 6 2 3 2" xfId="7984"/>
    <cellStyle name="Comma 2 2 3 6 2 3 2 2" xfId="7985"/>
    <cellStyle name="Comma 2 2 3 6 2 3 3" xfId="7986"/>
    <cellStyle name="Comma 2 2 3 6 2 3 4" xfId="7987"/>
    <cellStyle name="Comma 2 2 3 6 2 3 5" xfId="7988"/>
    <cellStyle name="Comma 2 2 3 6 2 4" xfId="7989"/>
    <cellStyle name="Comma 2 2 3 6 2 4 2" xfId="7990"/>
    <cellStyle name="Comma 2 2 3 6 2 4 3" xfId="7991"/>
    <cellStyle name="Comma 2 2 3 6 2 4 4" xfId="7992"/>
    <cellStyle name="Comma 2 2 3 6 2 5" xfId="7993"/>
    <cellStyle name="Comma 2 2 3 6 2 5 2" xfId="7994"/>
    <cellStyle name="Comma 2 2 3 6 2 6" xfId="7995"/>
    <cellStyle name="Comma 2 2 3 6 2 7" xfId="7996"/>
    <cellStyle name="Comma 2 2 3 6 2 8" xfId="7997"/>
    <cellStyle name="Comma 2 2 3 6 2 9" xfId="7998"/>
    <cellStyle name="Comma 2 2 3 6 3" xfId="7999"/>
    <cellStyle name="Comma 2 2 3 6 3 2" xfId="8000"/>
    <cellStyle name="Comma 2 2 3 6 3 2 2" xfId="8001"/>
    <cellStyle name="Comma 2 2 3 6 3 2 2 2" xfId="8002"/>
    <cellStyle name="Comma 2 2 3 6 3 2 2 3" xfId="8003"/>
    <cellStyle name="Comma 2 2 3 6 3 2 3" xfId="8004"/>
    <cellStyle name="Comma 2 2 3 6 3 2 4" xfId="8005"/>
    <cellStyle name="Comma 2 2 3 6 3 2 5" xfId="8006"/>
    <cellStyle name="Comma 2 2 3 6 3 2 6" xfId="8007"/>
    <cellStyle name="Comma 2 2 3 6 3 3" xfId="8008"/>
    <cellStyle name="Comma 2 2 3 6 3 3 2" xfId="8009"/>
    <cellStyle name="Comma 2 2 3 6 3 3 2 2" xfId="8010"/>
    <cellStyle name="Comma 2 2 3 6 3 3 3" xfId="8011"/>
    <cellStyle name="Comma 2 2 3 6 3 3 4" xfId="8012"/>
    <cellStyle name="Comma 2 2 3 6 3 3 5" xfId="8013"/>
    <cellStyle name="Comma 2 2 3 6 3 4" xfId="8014"/>
    <cellStyle name="Comma 2 2 3 6 3 4 2" xfId="8015"/>
    <cellStyle name="Comma 2 2 3 6 3 4 3" xfId="8016"/>
    <cellStyle name="Comma 2 2 3 6 3 4 4" xfId="8017"/>
    <cellStyle name="Comma 2 2 3 6 3 5" xfId="8018"/>
    <cellStyle name="Comma 2 2 3 6 3 5 2" xfId="8019"/>
    <cellStyle name="Comma 2 2 3 6 3 6" xfId="8020"/>
    <cellStyle name="Comma 2 2 3 6 3 7" xfId="8021"/>
    <cellStyle name="Comma 2 2 3 6 3 8" xfId="8022"/>
    <cellStyle name="Comma 2 2 3 6 3 9" xfId="8023"/>
    <cellStyle name="Comma 2 2 3 6 4" xfId="8024"/>
    <cellStyle name="Comma 2 2 3 6 4 2" xfId="8025"/>
    <cellStyle name="Comma 2 2 3 6 4 2 2" xfId="8026"/>
    <cellStyle name="Comma 2 2 3 6 4 2 3" xfId="8027"/>
    <cellStyle name="Comma 2 2 3 6 4 3" xfId="8028"/>
    <cellStyle name="Comma 2 2 3 6 4 4" xfId="8029"/>
    <cellStyle name="Comma 2 2 3 6 4 5" xfId="8030"/>
    <cellStyle name="Comma 2 2 3 6 4 6" xfId="8031"/>
    <cellStyle name="Comma 2 2 3 6 5" xfId="8032"/>
    <cellStyle name="Comma 2 2 3 6 5 2" xfId="8033"/>
    <cellStyle name="Comma 2 2 3 6 5 2 2" xfId="8034"/>
    <cellStyle name="Comma 2 2 3 6 5 3" xfId="8035"/>
    <cellStyle name="Comma 2 2 3 6 5 4" xfId="8036"/>
    <cellStyle name="Comma 2 2 3 6 5 5" xfId="8037"/>
    <cellStyle name="Comma 2 2 3 6 6" xfId="8038"/>
    <cellStyle name="Comma 2 2 3 6 6 2" xfId="8039"/>
    <cellStyle name="Comma 2 2 3 6 6 3" xfId="8040"/>
    <cellStyle name="Comma 2 2 3 6 6 4" xfId="8041"/>
    <cellStyle name="Comma 2 2 3 6 7" xfId="8042"/>
    <cellStyle name="Comma 2 2 3 6 7 2" xfId="8043"/>
    <cellStyle name="Comma 2 2 3 6 8" xfId="8044"/>
    <cellStyle name="Comma 2 2 3 6 9" xfId="8045"/>
    <cellStyle name="Comma 2 2 3 7" xfId="8046"/>
    <cellStyle name="Comma 2 2 3 7 10" xfId="8047"/>
    <cellStyle name="Comma 2 2 3 7 11" xfId="8048"/>
    <cellStyle name="Comma 2 2 3 7 2" xfId="8049"/>
    <cellStyle name="Comma 2 2 3 7 2 2" xfId="8050"/>
    <cellStyle name="Comma 2 2 3 7 2 2 2" xfId="8051"/>
    <cellStyle name="Comma 2 2 3 7 2 2 2 2" xfId="8052"/>
    <cellStyle name="Comma 2 2 3 7 2 2 2 3" xfId="8053"/>
    <cellStyle name="Comma 2 2 3 7 2 2 3" xfId="8054"/>
    <cellStyle name="Comma 2 2 3 7 2 2 4" xfId="8055"/>
    <cellStyle name="Comma 2 2 3 7 2 2 5" xfId="8056"/>
    <cellStyle name="Comma 2 2 3 7 2 2 6" xfId="8057"/>
    <cellStyle name="Comma 2 2 3 7 2 3" xfId="8058"/>
    <cellStyle name="Comma 2 2 3 7 2 3 2" xfId="8059"/>
    <cellStyle name="Comma 2 2 3 7 2 3 2 2" xfId="8060"/>
    <cellStyle name="Comma 2 2 3 7 2 3 3" xfId="8061"/>
    <cellStyle name="Comma 2 2 3 7 2 3 4" xfId="8062"/>
    <cellStyle name="Comma 2 2 3 7 2 3 5" xfId="8063"/>
    <cellStyle name="Comma 2 2 3 7 2 4" xfId="8064"/>
    <cellStyle name="Comma 2 2 3 7 2 4 2" xfId="8065"/>
    <cellStyle name="Comma 2 2 3 7 2 4 3" xfId="8066"/>
    <cellStyle name="Comma 2 2 3 7 2 4 4" xfId="8067"/>
    <cellStyle name="Comma 2 2 3 7 2 5" xfId="8068"/>
    <cellStyle name="Comma 2 2 3 7 2 5 2" xfId="8069"/>
    <cellStyle name="Comma 2 2 3 7 2 6" xfId="8070"/>
    <cellStyle name="Comma 2 2 3 7 2 7" xfId="8071"/>
    <cellStyle name="Comma 2 2 3 7 2 8" xfId="8072"/>
    <cellStyle name="Comma 2 2 3 7 2 9" xfId="8073"/>
    <cellStyle name="Comma 2 2 3 7 3" xfId="8074"/>
    <cellStyle name="Comma 2 2 3 7 3 2" xfId="8075"/>
    <cellStyle name="Comma 2 2 3 7 3 2 2" xfId="8076"/>
    <cellStyle name="Comma 2 2 3 7 3 2 2 2" xfId="8077"/>
    <cellStyle name="Comma 2 2 3 7 3 2 2 3" xfId="8078"/>
    <cellStyle name="Comma 2 2 3 7 3 2 3" xfId="8079"/>
    <cellStyle name="Comma 2 2 3 7 3 2 4" xfId="8080"/>
    <cellStyle name="Comma 2 2 3 7 3 2 5" xfId="8081"/>
    <cellStyle name="Comma 2 2 3 7 3 2 6" xfId="8082"/>
    <cellStyle name="Comma 2 2 3 7 3 3" xfId="8083"/>
    <cellStyle name="Comma 2 2 3 7 3 3 2" xfId="8084"/>
    <cellStyle name="Comma 2 2 3 7 3 3 2 2" xfId="8085"/>
    <cellStyle name="Comma 2 2 3 7 3 3 3" xfId="8086"/>
    <cellStyle name="Comma 2 2 3 7 3 3 4" xfId="8087"/>
    <cellStyle name="Comma 2 2 3 7 3 3 5" xfId="8088"/>
    <cellStyle name="Comma 2 2 3 7 3 4" xfId="8089"/>
    <cellStyle name="Comma 2 2 3 7 3 4 2" xfId="8090"/>
    <cellStyle name="Comma 2 2 3 7 3 4 3" xfId="8091"/>
    <cellStyle name="Comma 2 2 3 7 3 4 4" xfId="8092"/>
    <cellStyle name="Comma 2 2 3 7 3 5" xfId="8093"/>
    <cellStyle name="Comma 2 2 3 7 3 5 2" xfId="8094"/>
    <cellStyle name="Comma 2 2 3 7 3 6" xfId="8095"/>
    <cellStyle name="Comma 2 2 3 7 3 7" xfId="8096"/>
    <cellStyle name="Comma 2 2 3 7 3 8" xfId="8097"/>
    <cellStyle name="Comma 2 2 3 7 3 9" xfId="8098"/>
    <cellStyle name="Comma 2 2 3 7 4" xfId="8099"/>
    <cellStyle name="Comma 2 2 3 7 4 2" xfId="8100"/>
    <cellStyle name="Comma 2 2 3 7 4 2 2" xfId="8101"/>
    <cellStyle name="Comma 2 2 3 7 4 2 3" xfId="8102"/>
    <cellStyle name="Comma 2 2 3 7 4 3" xfId="8103"/>
    <cellStyle name="Comma 2 2 3 7 4 4" xfId="8104"/>
    <cellStyle name="Comma 2 2 3 7 4 5" xfId="8105"/>
    <cellStyle name="Comma 2 2 3 7 4 6" xfId="8106"/>
    <cellStyle name="Comma 2 2 3 7 5" xfId="8107"/>
    <cellStyle name="Comma 2 2 3 7 5 2" xfId="8108"/>
    <cellStyle name="Comma 2 2 3 7 5 2 2" xfId="8109"/>
    <cellStyle name="Comma 2 2 3 7 5 3" xfId="8110"/>
    <cellStyle name="Comma 2 2 3 7 5 4" xfId="8111"/>
    <cellStyle name="Comma 2 2 3 7 5 5" xfId="8112"/>
    <cellStyle name="Comma 2 2 3 7 6" xfId="8113"/>
    <cellStyle name="Comma 2 2 3 7 6 2" xfId="8114"/>
    <cellStyle name="Comma 2 2 3 7 6 3" xfId="8115"/>
    <cellStyle name="Comma 2 2 3 7 6 4" xfId="8116"/>
    <cellStyle name="Comma 2 2 3 7 7" xfId="8117"/>
    <cellStyle name="Comma 2 2 3 7 7 2" xfId="8118"/>
    <cellStyle name="Comma 2 2 3 7 8" xfId="8119"/>
    <cellStyle name="Comma 2 2 3 7 9" xfId="8120"/>
    <cellStyle name="Comma 2 2 3 8" xfId="8121"/>
    <cellStyle name="Comma 2 2 3 8 10" xfId="8122"/>
    <cellStyle name="Comma 2 2 3 8 2" xfId="8123"/>
    <cellStyle name="Comma 2 2 3 8 2 2" xfId="8124"/>
    <cellStyle name="Comma 2 2 3 8 2 2 2" xfId="8125"/>
    <cellStyle name="Comma 2 2 3 8 2 2 3" xfId="8126"/>
    <cellStyle name="Comma 2 2 3 8 2 3" xfId="8127"/>
    <cellStyle name="Comma 2 2 3 8 2 4" xfId="8128"/>
    <cellStyle name="Comma 2 2 3 8 2 5" xfId="8129"/>
    <cellStyle name="Comma 2 2 3 8 2 6" xfId="8130"/>
    <cellStyle name="Comma 2 2 3 8 3" xfId="8131"/>
    <cellStyle name="Comma 2 2 3 8 3 2" xfId="8132"/>
    <cellStyle name="Comma 2 2 3 8 3 2 2" xfId="8133"/>
    <cellStyle name="Comma 2 2 3 8 3 2 3" xfId="8134"/>
    <cellStyle name="Comma 2 2 3 8 3 3" xfId="8135"/>
    <cellStyle name="Comma 2 2 3 8 3 4" xfId="8136"/>
    <cellStyle name="Comma 2 2 3 8 3 5" xfId="8137"/>
    <cellStyle name="Comma 2 2 3 8 3 6" xfId="8138"/>
    <cellStyle name="Comma 2 2 3 8 4" xfId="8139"/>
    <cellStyle name="Comma 2 2 3 8 4 2" xfId="8140"/>
    <cellStyle name="Comma 2 2 3 8 4 2 2" xfId="8141"/>
    <cellStyle name="Comma 2 2 3 8 4 3" xfId="8142"/>
    <cellStyle name="Comma 2 2 3 8 4 4" xfId="8143"/>
    <cellStyle name="Comma 2 2 3 8 4 5" xfId="8144"/>
    <cellStyle name="Comma 2 2 3 8 5" xfId="8145"/>
    <cellStyle name="Comma 2 2 3 8 5 2" xfId="8146"/>
    <cellStyle name="Comma 2 2 3 8 5 3" xfId="8147"/>
    <cellStyle name="Comma 2 2 3 8 5 4" xfId="8148"/>
    <cellStyle name="Comma 2 2 3 8 6" xfId="8149"/>
    <cellStyle name="Comma 2 2 3 8 6 2" xfId="8150"/>
    <cellStyle name="Comma 2 2 3 8 7" xfId="8151"/>
    <cellStyle name="Comma 2 2 3 8 8" xfId="8152"/>
    <cellStyle name="Comma 2 2 3 8 9" xfId="8153"/>
    <cellStyle name="Comma 2 2 3 9" xfId="8154"/>
    <cellStyle name="Comma 2 2 3 9 10" xfId="8155"/>
    <cellStyle name="Comma 2 2 3 9 2" xfId="8156"/>
    <cellStyle name="Comma 2 2 3 9 2 2" xfId="8157"/>
    <cellStyle name="Comma 2 2 3 9 2 2 2" xfId="8158"/>
    <cellStyle name="Comma 2 2 3 9 2 2 3" xfId="8159"/>
    <cellStyle name="Comma 2 2 3 9 2 3" xfId="8160"/>
    <cellStyle name="Comma 2 2 3 9 2 4" xfId="8161"/>
    <cellStyle name="Comma 2 2 3 9 2 5" xfId="8162"/>
    <cellStyle name="Comma 2 2 3 9 2 6" xfId="8163"/>
    <cellStyle name="Comma 2 2 3 9 3" xfId="8164"/>
    <cellStyle name="Comma 2 2 3 9 3 2" xfId="8165"/>
    <cellStyle name="Comma 2 2 3 9 3 2 2" xfId="8166"/>
    <cellStyle name="Comma 2 2 3 9 3 2 3" xfId="8167"/>
    <cellStyle name="Comma 2 2 3 9 3 3" xfId="8168"/>
    <cellStyle name="Comma 2 2 3 9 3 4" xfId="8169"/>
    <cellStyle name="Comma 2 2 3 9 3 5" xfId="8170"/>
    <cellStyle name="Comma 2 2 3 9 3 6" xfId="8171"/>
    <cellStyle name="Comma 2 2 3 9 4" xfId="8172"/>
    <cellStyle name="Comma 2 2 3 9 4 2" xfId="8173"/>
    <cellStyle name="Comma 2 2 3 9 4 2 2" xfId="8174"/>
    <cellStyle name="Comma 2 2 3 9 4 3" xfId="8175"/>
    <cellStyle name="Comma 2 2 3 9 4 4" xfId="8176"/>
    <cellStyle name="Comma 2 2 3 9 4 5" xfId="8177"/>
    <cellStyle name="Comma 2 2 3 9 5" xfId="8178"/>
    <cellStyle name="Comma 2 2 3 9 5 2" xfId="8179"/>
    <cellStyle name="Comma 2 2 3 9 5 3" xfId="8180"/>
    <cellStyle name="Comma 2 2 3 9 5 4" xfId="8181"/>
    <cellStyle name="Comma 2 2 3 9 6" xfId="8182"/>
    <cellStyle name="Comma 2 2 3 9 6 2" xfId="8183"/>
    <cellStyle name="Comma 2 2 3 9 7" xfId="8184"/>
    <cellStyle name="Comma 2 2 3 9 8" xfId="8185"/>
    <cellStyle name="Comma 2 2 3 9 9" xfId="8186"/>
    <cellStyle name="Comma 2 2 30" xfId="8187"/>
    <cellStyle name="Comma 2 2 30 2" xfId="8188"/>
    <cellStyle name="Comma 2 2 30 2 2" xfId="8189"/>
    <cellStyle name="Comma 2 2 30 2 2 2" xfId="8190"/>
    <cellStyle name="Comma 2 2 30 2 2 3" xfId="8191"/>
    <cellStyle name="Comma 2 2 30 2 3" xfId="8192"/>
    <cellStyle name="Comma 2 2 30 2 4" xfId="8193"/>
    <cellStyle name="Comma 2 2 30 2 5" xfId="8194"/>
    <cellStyle name="Comma 2 2 30 2 6" xfId="8195"/>
    <cellStyle name="Comma 2 2 30 3" xfId="8196"/>
    <cellStyle name="Comma 2 2 30 3 2" xfId="8197"/>
    <cellStyle name="Comma 2 2 30 3 2 2" xfId="8198"/>
    <cellStyle name="Comma 2 2 30 3 3" xfId="8199"/>
    <cellStyle name="Comma 2 2 30 3 4" xfId="8200"/>
    <cellStyle name="Comma 2 2 30 3 5" xfId="8201"/>
    <cellStyle name="Comma 2 2 30 4" xfId="8202"/>
    <cellStyle name="Comma 2 2 30 4 2" xfId="8203"/>
    <cellStyle name="Comma 2 2 30 4 3" xfId="8204"/>
    <cellStyle name="Comma 2 2 30 4 4" xfId="8205"/>
    <cellStyle name="Comma 2 2 30 5" xfId="8206"/>
    <cellStyle name="Comma 2 2 30 5 2" xfId="8207"/>
    <cellStyle name="Comma 2 2 30 6" xfId="8208"/>
    <cellStyle name="Comma 2 2 30 7" xfId="8209"/>
    <cellStyle name="Comma 2 2 30 8" xfId="8210"/>
    <cellStyle name="Comma 2 2 30 9" xfId="8211"/>
    <cellStyle name="Comma 2 2 31" xfId="8212"/>
    <cellStyle name="Comma 2 2 31 2" xfId="8213"/>
    <cellStyle name="Comma 2 2 31 2 2" xfId="8214"/>
    <cellStyle name="Comma 2 2 31 2 3" xfId="8215"/>
    <cellStyle name="Comma 2 2 31 3" xfId="8216"/>
    <cellStyle name="Comma 2 2 31 4" xfId="8217"/>
    <cellStyle name="Comma 2 2 31 5" xfId="8218"/>
    <cellStyle name="Comma 2 2 31 6" xfId="8219"/>
    <cellStyle name="Comma 2 2 32" xfId="8220"/>
    <cellStyle name="Comma 2 2 32 2" xfId="8221"/>
    <cellStyle name="Comma 2 2 32 2 2" xfId="8222"/>
    <cellStyle name="Comma 2 2 32 3" xfId="8223"/>
    <cellStyle name="Comma 2 2 32 4" xfId="8224"/>
    <cellStyle name="Comma 2 2 32 5" xfId="8225"/>
    <cellStyle name="Comma 2 2 32 6" xfId="8226"/>
    <cellStyle name="Comma 2 2 33" xfId="8227"/>
    <cellStyle name="Comma 2 2 33 2" xfId="8228"/>
    <cellStyle name="Comma 2 2 33 2 2" xfId="8229"/>
    <cellStyle name="Comma 2 2 33 3" xfId="8230"/>
    <cellStyle name="Comma 2 2 33 4" xfId="8231"/>
    <cellStyle name="Comma 2 2 33 5" xfId="8232"/>
    <cellStyle name="Comma 2 2 33 6" xfId="8233"/>
    <cellStyle name="Comma 2 2 34" xfId="8234"/>
    <cellStyle name="Comma 2 2 34 2" xfId="8235"/>
    <cellStyle name="Comma 2 2 34 3" xfId="8236"/>
    <cellStyle name="Comma 2 2 34 4" xfId="8237"/>
    <cellStyle name="Comma 2 2 35" xfId="8238"/>
    <cellStyle name="Comma 2 2 35 2" xfId="8239"/>
    <cellStyle name="Comma 2 2 35 3" xfId="8240"/>
    <cellStyle name="Comma 2 2 36" xfId="8241"/>
    <cellStyle name="Comma 2 2 36 2" xfId="8242"/>
    <cellStyle name="Comma 2 2 36 3" xfId="8243"/>
    <cellStyle name="Comma 2 2 37" xfId="8244"/>
    <cellStyle name="Comma 2 2 38" xfId="8245"/>
    <cellStyle name="Comma 2 2 39" xfId="8246"/>
    <cellStyle name="Comma 2 2 4" xfId="8247"/>
    <cellStyle name="Comma 2 2 4 10" xfId="8248"/>
    <cellStyle name="Comma 2 2 4 11" xfId="8249"/>
    <cellStyle name="Comma 2 2 4 2" xfId="8250"/>
    <cellStyle name="Comma 2 2 4 2 2" xfId="8251"/>
    <cellStyle name="Comma 2 2 4 2 2 2" xfId="8252"/>
    <cellStyle name="Comma 2 2 4 2 2 2 2" xfId="8253"/>
    <cellStyle name="Comma 2 2 4 2 2 2 3" xfId="8254"/>
    <cellStyle name="Comma 2 2 4 2 2 3" xfId="8255"/>
    <cellStyle name="Comma 2 2 4 2 2 4" xfId="8256"/>
    <cellStyle name="Comma 2 2 4 2 2 5" xfId="8257"/>
    <cellStyle name="Comma 2 2 4 2 2 6" xfId="8258"/>
    <cellStyle name="Comma 2 2 4 2 3" xfId="8259"/>
    <cellStyle name="Comma 2 2 4 2 3 2" xfId="8260"/>
    <cellStyle name="Comma 2 2 4 2 3 2 2" xfId="8261"/>
    <cellStyle name="Comma 2 2 4 2 3 3" xfId="8262"/>
    <cellStyle name="Comma 2 2 4 2 3 4" xfId="8263"/>
    <cellStyle name="Comma 2 2 4 2 3 5" xfId="8264"/>
    <cellStyle name="Comma 2 2 4 2 4" xfId="8265"/>
    <cellStyle name="Comma 2 2 4 2 4 2" xfId="8266"/>
    <cellStyle name="Comma 2 2 4 2 4 3" xfId="8267"/>
    <cellStyle name="Comma 2 2 4 2 4 4" xfId="8268"/>
    <cellStyle name="Comma 2 2 4 2 5" xfId="8269"/>
    <cellStyle name="Comma 2 2 4 2 5 2" xfId="8270"/>
    <cellStyle name="Comma 2 2 4 2 6" xfId="8271"/>
    <cellStyle name="Comma 2 2 4 2 7" xfId="8272"/>
    <cellStyle name="Comma 2 2 4 2 8" xfId="8273"/>
    <cellStyle name="Comma 2 2 4 2 9" xfId="8274"/>
    <cellStyle name="Comma 2 2 4 3" xfId="8275"/>
    <cellStyle name="Comma 2 2 4 3 2" xfId="8276"/>
    <cellStyle name="Comma 2 2 4 3 2 2" xfId="8277"/>
    <cellStyle name="Comma 2 2 4 3 2 2 2" xfId="8278"/>
    <cellStyle name="Comma 2 2 4 3 2 2 3" xfId="8279"/>
    <cellStyle name="Comma 2 2 4 3 2 3" xfId="8280"/>
    <cellStyle name="Comma 2 2 4 3 2 4" xfId="8281"/>
    <cellStyle name="Comma 2 2 4 3 2 5" xfId="8282"/>
    <cellStyle name="Comma 2 2 4 3 2 6" xfId="8283"/>
    <cellStyle name="Comma 2 2 4 3 3" xfId="8284"/>
    <cellStyle name="Comma 2 2 4 3 3 2" xfId="8285"/>
    <cellStyle name="Comma 2 2 4 3 3 2 2" xfId="8286"/>
    <cellStyle name="Comma 2 2 4 3 3 3" xfId="8287"/>
    <cellStyle name="Comma 2 2 4 3 3 4" xfId="8288"/>
    <cellStyle name="Comma 2 2 4 3 3 5" xfId="8289"/>
    <cellStyle name="Comma 2 2 4 3 4" xfId="8290"/>
    <cellStyle name="Comma 2 2 4 3 4 2" xfId="8291"/>
    <cellStyle name="Comma 2 2 4 3 4 3" xfId="8292"/>
    <cellStyle name="Comma 2 2 4 3 4 4" xfId="8293"/>
    <cellStyle name="Comma 2 2 4 3 5" xfId="8294"/>
    <cellStyle name="Comma 2 2 4 3 5 2" xfId="8295"/>
    <cellStyle name="Comma 2 2 4 3 6" xfId="8296"/>
    <cellStyle name="Comma 2 2 4 3 7" xfId="8297"/>
    <cellStyle name="Comma 2 2 4 3 8" xfId="8298"/>
    <cellStyle name="Comma 2 2 4 3 9" xfId="8299"/>
    <cellStyle name="Comma 2 2 4 4" xfId="8300"/>
    <cellStyle name="Comma 2 2 4 4 2" xfId="8301"/>
    <cellStyle name="Comma 2 2 4 4 2 2" xfId="8302"/>
    <cellStyle name="Comma 2 2 4 4 2 3" xfId="8303"/>
    <cellStyle name="Comma 2 2 4 4 3" xfId="8304"/>
    <cellStyle name="Comma 2 2 4 4 4" xfId="8305"/>
    <cellStyle name="Comma 2 2 4 4 5" xfId="8306"/>
    <cellStyle name="Comma 2 2 4 4 6" xfId="8307"/>
    <cellStyle name="Comma 2 2 4 5" xfId="8308"/>
    <cellStyle name="Comma 2 2 4 5 2" xfId="8309"/>
    <cellStyle name="Comma 2 2 4 5 2 2" xfId="8310"/>
    <cellStyle name="Comma 2 2 4 5 3" xfId="8311"/>
    <cellStyle name="Comma 2 2 4 5 4" xfId="8312"/>
    <cellStyle name="Comma 2 2 4 5 5" xfId="8313"/>
    <cellStyle name="Comma 2 2 4 6" xfId="8314"/>
    <cellStyle name="Comma 2 2 4 6 2" xfId="8315"/>
    <cellStyle name="Comma 2 2 4 6 3" xfId="8316"/>
    <cellStyle name="Comma 2 2 4 6 4" xfId="8317"/>
    <cellStyle name="Comma 2 2 4 7" xfId="8318"/>
    <cellStyle name="Comma 2 2 4 7 2" xfId="8319"/>
    <cellStyle name="Comma 2 2 4 8" xfId="8320"/>
    <cellStyle name="Comma 2 2 4 9" xfId="8321"/>
    <cellStyle name="Comma 2 2 40" xfId="8322"/>
    <cellStyle name="Comma 2 2 41" xfId="8323"/>
    <cellStyle name="Comma 2 2 42" xfId="8324"/>
    <cellStyle name="Comma 2 2 43" xfId="8325"/>
    <cellStyle name="Comma 2 2 44" xfId="8326"/>
    <cellStyle name="Comma 2 2 45" xfId="8327"/>
    <cellStyle name="Comma 2 2 46" xfId="8328"/>
    <cellStyle name="Comma 2 2 47" xfId="8329"/>
    <cellStyle name="Comma 2 2 48" xfId="8330"/>
    <cellStyle name="Comma 2 2 49" xfId="8331"/>
    <cellStyle name="Comma 2 2 5" xfId="8332"/>
    <cellStyle name="Comma 2 2 5 10" xfId="8333"/>
    <cellStyle name="Comma 2 2 5 11" xfId="8334"/>
    <cellStyle name="Comma 2 2 5 2" xfId="8335"/>
    <cellStyle name="Comma 2 2 5 2 2" xfId="8336"/>
    <cellStyle name="Comma 2 2 5 2 2 2" xfId="8337"/>
    <cellStyle name="Comma 2 2 5 2 2 2 2" xfId="8338"/>
    <cellStyle name="Comma 2 2 5 2 2 2 3" xfId="8339"/>
    <cellStyle name="Comma 2 2 5 2 2 3" xfId="8340"/>
    <cellStyle name="Comma 2 2 5 2 2 4" xfId="8341"/>
    <cellStyle name="Comma 2 2 5 2 2 5" xfId="8342"/>
    <cellStyle name="Comma 2 2 5 2 2 6" xfId="8343"/>
    <cellStyle name="Comma 2 2 5 2 3" xfId="8344"/>
    <cellStyle name="Comma 2 2 5 2 3 2" xfId="8345"/>
    <cellStyle name="Comma 2 2 5 2 3 2 2" xfId="8346"/>
    <cellStyle name="Comma 2 2 5 2 3 3" xfId="8347"/>
    <cellStyle name="Comma 2 2 5 2 3 4" xfId="8348"/>
    <cellStyle name="Comma 2 2 5 2 3 5" xfId="8349"/>
    <cellStyle name="Comma 2 2 5 2 4" xfId="8350"/>
    <cellStyle name="Comma 2 2 5 2 4 2" xfId="8351"/>
    <cellStyle name="Comma 2 2 5 2 4 3" xfId="8352"/>
    <cellStyle name="Comma 2 2 5 2 4 4" xfId="8353"/>
    <cellStyle name="Comma 2 2 5 2 5" xfId="8354"/>
    <cellStyle name="Comma 2 2 5 2 5 2" xfId="8355"/>
    <cellStyle name="Comma 2 2 5 2 6" xfId="8356"/>
    <cellStyle name="Comma 2 2 5 2 7" xfId="8357"/>
    <cellStyle name="Comma 2 2 5 2 8" xfId="8358"/>
    <cellStyle name="Comma 2 2 5 2 9" xfId="8359"/>
    <cellStyle name="Comma 2 2 5 3" xfId="8360"/>
    <cellStyle name="Comma 2 2 5 3 2" xfId="8361"/>
    <cellStyle name="Comma 2 2 5 3 2 2" xfId="8362"/>
    <cellStyle name="Comma 2 2 5 3 2 2 2" xfId="8363"/>
    <cellStyle name="Comma 2 2 5 3 2 2 3" xfId="8364"/>
    <cellStyle name="Comma 2 2 5 3 2 3" xfId="8365"/>
    <cellStyle name="Comma 2 2 5 3 2 4" xfId="8366"/>
    <cellStyle name="Comma 2 2 5 3 2 5" xfId="8367"/>
    <cellStyle name="Comma 2 2 5 3 2 6" xfId="8368"/>
    <cellStyle name="Comma 2 2 5 3 3" xfId="8369"/>
    <cellStyle name="Comma 2 2 5 3 3 2" xfId="8370"/>
    <cellStyle name="Comma 2 2 5 3 3 2 2" xfId="8371"/>
    <cellStyle name="Comma 2 2 5 3 3 3" xfId="8372"/>
    <cellStyle name="Comma 2 2 5 3 3 4" xfId="8373"/>
    <cellStyle name="Comma 2 2 5 3 3 5" xfId="8374"/>
    <cellStyle name="Comma 2 2 5 3 4" xfId="8375"/>
    <cellStyle name="Comma 2 2 5 3 4 2" xfId="8376"/>
    <cellStyle name="Comma 2 2 5 3 4 3" xfId="8377"/>
    <cellStyle name="Comma 2 2 5 3 4 4" xfId="8378"/>
    <cellStyle name="Comma 2 2 5 3 5" xfId="8379"/>
    <cellStyle name="Comma 2 2 5 3 5 2" xfId="8380"/>
    <cellStyle name="Comma 2 2 5 3 6" xfId="8381"/>
    <cellStyle name="Comma 2 2 5 3 7" xfId="8382"/>
    <cellStyle name="Comma 2 2 5 3 8" xfId="8383"/>
    <cellStyle name="Comma 2 2 5 3 9" xfId="8384"/>
    <cellStyle name="Comma 2 2 5 4" xfId="8385"/>
    <cellStyle name="Comma 2 2 5 4 2" xfId="8386"/>
    <cellStyle name="Comma 2 2 5 4 2 2" xfId="8387"/>
    <cellStyle name="Comma 2 2 5 4 2 3" xfId="8388"/>
    <cellStyle name="Comma 2 2 5 4 3" xfId="8389"/>
    <cellStyle name="Comma 2 2 5 4 4" xfId="8390"/>
    <cellStyle name="Comma 2 2 5 4 5" xfId="8391"/>
    <cellStyle name="Comma 2 2 5 4 6" xfId="8392"/>
    <cellStyle name="Comma 2 2 5 5" xfId="8393"/>
    <cellStyle name="Comma 2 2 5 5 2" xfId="8394"/>
    <cellStyle name="Comma 2 2 5 5 2 2" xfId="8395"/>
    <cellStyle name="Comma 2 2 5 5 3" xfId="8396"/>
    <cellStyle name="Comma 2 2 5 5 4" xfId="8397"/>
    <cellStyle name="Comma 2 2 5 5 5" xfId="8398"/>
    <cellStyle name="Comma 2 2 5 6" xfId="8399"/>
    <cellStyle name="Comma 2 2 5 6 2" xfId="8400"/>
    <cellStyle name="Comma 2 2 5 6 3" xfId="8401"/>
    <cellStyle name="Comma 2 2 5 6 4" xfId="8402"/>
    <cellStyle name="Comma 2 2 5 7" xfId="8403"/>
    <cellStyle name="Comma 2 2 5 7 2" xfId="8404"/>
    <cellStyle name="Comma 2 2 5 8" xfId="8405"/>
    <cellStyle name="Comma 2 2 5 9" xfId="8406"/>
    <cellStyle name="Comma 2 2 50" xfId="8407"/>
    <cellStyle name="Comma 2 2 51" xfId="8408"/>
    <cellStyle name="Comma 2 2 52" xfId="8409"/>
    <cellStyle name="Comma 2 2 53" xfId="8410"/>
    <cellStyle name="Comma 2 2 54" xfId="8411"/>
    <cellStyle name="Comma 2 2 55" xfId="8412"/>
    <cellStyle name="Comma 2 2 6" xfId="8413"/>
    <cellStyle name="Comma 2 2 6 10" xfId="8414"/>
    <cellStyle name="Comma 2 2 6 11" xfId="8415"/>
    <cellStyle name="Comma 2 2 6 2" xfId="8416"/>
    <cellStyle name="Comma 2 2 6 2 2" xfId="8417"/>
    <cellStyle name="Comma 2 2 6 2 2 2" xfId="8418"/>
    <cellStyle name="Comma 2 2 6 2 2 2 2" xfId="8419"/>
    <cellStyle name="Comma 2 2 6 2 2 2 3" xfId="8420"/>
    <cellStyle name="Comma 2 2 6 2 2 3" xfId="8421"/>
    <cellStyle name="Comma 2 2 6 2 2 4" xfId="8422"/>
    <cellStyle name="Comma 2 2 6 2 2 5" xfId="8423"/>
    <cellStyle name="Comma 2 2 6 2 2 6" xfId="8424"/>
    <cellStyle name="Comma 2 2 6 2 3" xfId="8425"/>
    <cellStyle name="Comma 2 2 6 2 3 2" xfId="8426"/>
    <cellStyle name="Comma 2 2 6 2 3 2 2" xfId="8427"/>
    <cellStyle name="Comma 2 2 6 2 3 3" xfId="8428"/>
    <cellStyle name="Comma 2 2 6 2 3 4" xfId="8429"/>
    <cellStyle name="Comma 2 2 6 2 3 5" xfId="8430"/>
    <cellStyle name="Comma 2 2 6 2 4" xfId="8431"/>
    <cellStyle name="Comma 2 2 6 2 4 2" xfId="8432"/>
    <cellStyle name="Comma 2 2 6 2 4 3" xfId="8433"/>
    <cellStyle name="Comma 2 2 6 2 4 4" xfId="8434"/>
    <cellStyle name="Comma 2 2 6 2 5" xfId="8435"/>
    <cellStyle name="Comma 2 2 6 2 5 2" xfId="8436"/>
    <cellStyle name="Comma 2 2 6 2 6" xfId="8437"/>
    <cellStyle name="Comma 2 2 6 2 7" xfId="8438"/>
    <cellStyle name="Comma 2 2 6 2 8" xfId="8439"/>
    <cellStyle name="Comma 2 2 6 2 9" xfId="8440"/>
    <cellStyle name="Comma 2 2 6 3" xfId="8441"/>
    <cellStyle name="Comma 2 2 6 3 2" xfId="8442"/>
    <cellStyle name="Comma 2 2 6 3 2 2" xfId="8443"/>
    <cellStyle name="Comma 2 2 6 3 2 2 2" xfId="8444"/>
    <cellStyle name="Comma 2 2 6 3 2 2 3" xfId="8445"/>
    <cellStyle name="Comma 2 2 6 3 2 3" xfId="8446"/>
    <cellStyle name="Comma 2 2 6 3 2 4" xfId="8447"/>
    <cellStyle name="Comma 2 2 6 3 2 5" xfId="8448"/>
    <cellStyle name="Comma 2 2 6 3 2 6" xfId="8449"/>
    <cellStyle name="Comma 2 2 6 3 3" xfId="8450"/>
    <cellStyle name="Comma 2 2 6 3 3 2" xfId="8451"/>
    <cellStyle name="Comma 2 2 6 3 3 2 2" xfId="8452"/>
    <cellStyle name="Comma 2 2 6 3 3 3" xfId="8453"/>
    <cellStyle name="Comma 2 2 6 3 3 4" xfId="8454"/>
    <cellStyle name="Comma 2 2 6 3 3 5" xfId="8455"/>
    <cellStyle name="Comma 2 2 6 3 4" xfId="8456"/>
    <cellStyle name="Comma 2 2 6 3 4 2" xfId="8457"/>
    <cellStyle name="Comma 2 2 6 3 4 3" xfId="8458"/>
    <cellStyle name="Comma 2 2 6 3 4 4" xfId="8459"/>
    <cellStyle name="Comma 2 2 6 3 5" xfId="8460"/>
    <cellStyle name="Comma 2 2 6 3 5 2" xfId="8461"/>
    <cellStyle name="Comma 2 2 6 3 6" xfId="8462"/>
    <cellStyle name="Comma 2 2 6 3 7" xfId="8463"/>
    <cellStyle name="Comma 2 2 6 3 8" xfId="8464"/>
    <cellStyle name="Comma 2 2 6 3 9" xfId="8465"/>
    <cellStyle name="Comma 2 2 6 4" xfId="8466"/>
    <cellStyle name="Comma 2 2 6 4 2" xfId="8467"/>
    <cellStyle name="Comma 2 2 6 4 2 2" xfId="8468"/>
    <cellStyle name="Comma 2 2 6 4 2 3" xfId="8469"/>
    <cellStyle name="Comma 2 2 6 4 3" xfId="8470"/>
    <cellStyle name="Comma 2 2 6 4 4" xfId="8471"/>
    <cellStyle name="Comma 2 2 6 4 5" xfId="8472"/>
    <cellStyle name="Comma 2 2 6 4 6" xfId="8473"/>
    <cellStyle name="Comma 2 2 6 5" xfId="8474"/>
    <cellStyle name="Comma 2 2 6 5 2" xfId="8475"/>
    <cellStyle name="Comma 2 2 6 5 2 2" xfId="8476"/>
    <cellStyle name="Comma 2 2 6 5 3" xfId="8477"/>
    <cellStyle name="Comma 2 2 6 5 4" xfId="8478"/>
    <cellStyle name="Comma 2 2 6 5 5" xfId="8479"/>
    <cellStyle name="Comma 2 2 6 6" xfId="8480"/>
    <cellStyle name="Comma 2 2 6 6 2" xfId="8481"/>
    <cellStyle name="Comma 2 2 6 6 3" xfId="8482"/>
    <cellStyle name="Comma 2 2 6 6 4" xfId="8483"/>
    <cellStyle name="Comma 2 2 6 7" xfId="8484"/>
    <cellStyle name="Comma 2 2 6 7 2" xfId="8485"/>
    <cellStyle name="Comma 2 2 6 8" xfId="8486"/>
    <cellStyle name="Comma 2 2 6 9" xfId="8487"/>
    <cellStyle name="Comma 2 2 7" xfId="8488"/>
    <cellStyle name="Comma 2 2 7 10" xfId="8489"/>
    <cellStyle name="Comma 2 2 7 11" xfId="8490"/>
    <cellStyle name="Comma 2 2 7 2" xfId="8491"/>
    <cellStyle name="Comma 2 2 7 2 2" xfId="8492"/>
    <cellStyle name="Comma 2 2 7 2 2 2" xfId="8493"/>
    <cellStyle name="Comma 2 2 7 2 2 2 2" xfId="8494"/>
    <cellStyle name="Comma 2 2 7 2 2 2 3" xfId="8495"/>
    <cellStyle name="Comma 2 2 7 2 2 3" xfId="8496"/>
    <cellStyle name="Comma 2 2 7 2 2 4" xfId="8497"/>
    <cellStyle name="Comma 2 2 7 2 2 5" xfId="8498"/>
    <cellStyle name="Comma 2 2 7 2 2 6" xfId="8499"/>
    <cellStyle name="Comma 2 2 7 2 3" xfId="8500"/>
    <cellStyle name="Comma 2 2 7 2 3 2" xfId="8501"/>
    <cellStyle name="Comma 2 2 7 2 3 2 2" xfId="8502"/>
    <cellStyle name="Comma 2 2 7 2 3 3" xfId="8503"/>
    <cellStyle name="Comma 2 2 7 2 3 4" xfId="8504"/>
    <cellStyle name="Comma 2 2 7 2 3 5" xfId="8505"/>
    <cellStyle name="Comma 2 2 7 2 4" xfId="8506"/>
    <cellStyle name="Comma 2 2 7 2 4 2" xfId="8507"/>
    <cellStyle name="Comma 2 2 7 2 4 3" xfId="8508"/>
    <cellStyle name="Comma 2 2 7 2 4 4" xfId="8509"/>
    <cellStyle name="Comma 2 2 7 2 5" xfId="8510"/>
    <cellStyle name="Comma 2 2 7 2 5 2" xfId="8511"/>
    <cellStyle name="Comma 2 2 7 2 6" xfId="8512"/>
    <cellStyle name="Comma 2 2 7 2 7" xfId="8513"/>
    <cellStyle name="Comma 2 2 7 2 8" xfId="8514"/>
    <cellStyle name="Comma 2 2 7 2 9" xfId="8515"/>
    <cellStyle name="Comma 2 2 7 3" xfId="8516"/>
    <cellStyle name="Comma 2 2 7 3 2" xfId="8517"/>
    <cellStyle name="Comma 2 2 7 3 2 2" xfId="8518"/>
    <cellStyle name="Comma 2 2 7 3 2 2 2" xfId="8519"/>
    <cellStyle name="Comma 2 2 7 3 2 2 3" xfId="8520"/>
    <cellStyle name="Comma 2 2 7 3 2 3" xfId="8521"/>
    <cellStyle name="Comma 2 2 7 3 2 4" xfId="8522"/>
    <cellStyle name="Comma 2 2 7 3 2 5" xfId="8523"/>
    <cellStyle name="Comma 2 2 7 3 2 6" xfId="8524"/>
    <cellStyle name="Comma 2 2 7 3 3" xfId="8525"/>
    <cellStyle name="Comma 2 2 7 3 3 2" xfId="8526"/>
    <cellStyle name="Comma 2 2 7 3 3 2 2" xfId="8527"/>
    <cellStyle name="Comma 2 2 7 3 3 3" xfId="8528"/>
    <cellStyle name="Comma 2 2 7 3 3 4" xfId="8529"/>
    <cellStyle name="Comma 2 2 7 3 3 5" xfId="8530"/>
    <cellStyle name="Comma 2 2 7 3 4" xfId="8531"/>
    <cellStyle name="Comma 2 2 7 3 4 2" xfId="8532"/>
    <cellStyle name="Comma 2 2 7 3 4 3" xfId="8533"/>
    <cellStyle name="Comma 2 2 7 3 4 4" xfId="8534"/>
    <cellStyle name="Comma 2 2 7 3 5" xfId="8535"/>
    <cellStyle name="Comma 2 2 7 3 5 2" xfId="8536"/>
    <cellStyle name="Comma 2 2 7 3 6" xfId="8537"/>
    <cellStyle name="Comma 2 2 7 3 7" xfId="8538"/>
    <cellStyle name="Comma 2 2 7 3 8" xfId="8539"/>
    <cellStyle name="Comma 2 2 7 3 9" xfId="8540"/>
    <cellStyle name="Comma 2 2 7 4" xfId="8541"/>
    <cellStyle name="Comma 2 2 7 4 2" xfId="8542"/>
    <cellStyle name="Comma 2 2 7 4 2 2" xfId="8543"/>
    <cellStyle name="Comma 2 2 7 4 2 3" xfId="8544"/>
    <cellStyle name="Comma 2 2 7 4 3" xfId="8545"/>
    <cellStyle name="Comma 2 2 7 4 4" xfId="8546"/>
    <cellStyle name="Comma 2 2 7 4 5" xfId="8547"/>
    <cellStyle name="Comma 2 2 7 4 6" xfId="8548"/>
    <cellStyle name="Comma 2 2 7 5" xfId="8549"/>
    <cellStyle name="Comma 2 2 7 5 2" xfId="8550"/>
    <cellStyle name="Comma 2 2 7 5 2 2" xfId="8551"/>
    <cellStyle name="Comma 2 2 7 5 3" xfId="8552"/>
    <cellStyle name="Comma 2 2 7 5 4" xfId="8553"/>
    <cellStyle name="Comma 2 2 7 5 5" xfId="8554"/>
    <cellStyle name="Comma 2 2 7 6" xfId="8555"/>
    <cellStyle name="Comma 2 2 7 6 2" xfId="8556"/>
    <cellStyle name="Comma 2 2 7 6 3" xfId="8557"/>
    <cellStyle name="Comma 2 2 7 6 4" xfId="8558"/>
    <cellStyle name="Comma 2 2 7 7" xfId="8559"/>
    <cellStyle name="Comma 2 2 7 7 2" xfId="8560"/>
    <cellStyle name="Comma 2 2 7 8" xfId="8561"/>
    <cellStyle name="Comma 2 2 7 9" xfId="8562"/>
    <cellStyle name="Comma 2 2 8" xfId="8563"/>
    <cellStyle name="Comma 2 2 8 10" xfId="8564"/>
    <cellStyle name="Comma 2 2 8 11" xfId="8565"/>
    <cellStyle name="Comma 2 2 8 2" xfId="8566"/>
    <cellStyle name="Comma 2 2 8 2 2" xfId="8567"/>
    <cellStyle name="Comma 2 2 8 2 2 2" xfId="8568"/>
    <cellStyle name="Comma 2 2 8 2 2 2 2" xfId="8569"/>
    <cellStyle name="Comma 2 2 8 2 2 2 3" xfId="8570"/>
    <cellStyle name="Comma 2 2 8 2 2 3" xfId="8571"/>
    <cellStyle name="Comma 2 2 8 2 2 4" xfId="8572"/>
    <cellStyle name="Comma 2 2 8 2 2 5" xfId="8573"/>
    <cellStyle name="Comma 2 2 8 2 2 6" xfId="8574"/>
    <cellStyle name="Comma 2 2 8 2 3" xfId="8575"/>
    <cellStyle name="Comma 2 2 8 2 3 2" xfId="8576"/>
    <cellStyle name="Comma 2 2 8 2 3 2 2" xfId="8577"/>
    <cellStyle name="Comma 2 2 8 2 3 3" xfId="8578"/>
    <cellStyle name="Comma 2 2 8 2 3 4" xfId="8579"/>
    <cellStyle name="Comma 2 2 8 2 3 5" xfId="8580"/>
    <cellStyle name="Comma 2 2 8 2 4" xfId="8581"/>
    <cellStyle name="Comma 2 2 8 2 4 2" xfId="8582"/>
    <cellStyle name="Comma 2 2 8 2 4 3" xfId="8583"/>
    <cellStyle name="Comma 2 2 8 2 4 4" xfId="8584"/>
    <cellStyle name="Comma 2 2 8 2 5" xfId="8585"/>
    <cellStyle name="Comma 2 2 8 2 5 2" xfId="8586"/>
    <cellStyle name="Comma 2 2 8 2 6" xfId="8587"/>
    <cellStyle name="Comma 2 2 8 2 7" xfId="8588"/>
    <cellStyle name="Comma 2 2 8 2 8" xfId="8589"/>
    <cellStyle name="Comma 2 2 8 2 9" xfId="8590"/>
    <cellStyle name="Comma 2 2 8 3" xfId="8591"/>
    <cellStyle name="Comma 2 2 8 3 2" xfId="8592"/>
    <cellStyle name="Comma 2 2 8 3 2 2" xfId="8593"/>
    <cellStyle name="Comma 2 2 8 3 2 2 2" xfId="8594"/>
    <cellStyle name="Comma 2 2 8 3 2 2 3" xfId="8595"/>
    <cellStyle name="Comma 2 2 8 3 2 3" xfId="8596"/>
    <cellStyle name="Comma 2 2 8 3 2 4" xfId="8597"/>
    <cellStyle name="Comma 2 2 8 3 2 5" xfId="8598"/>
    <cellStyle name="Comma 2 2 8 3 2 6" xfId="8599"/>
    <cellStyle name="Comma 2 2 8 3 3" xfId="8600"/>
    <cellStyle name="Comma 2 2 8 3 3 2" xfId="8601"/>
    <cellStyle name="Comma 2 2 8 3 3 2 2" xfId="8602"/>
    <cellStyle name="Comma 2 2 8 3 3 3" xfId="8603"/>
    <cellStyle name="Comma 2 2 8 3 3 4" xfId="8604"/>
    <cellStyle name="Comma 2 2 8 3 3 5" xfId="8605"/>
    <cellStyle name="Comma 2 2 8 3 4" xfId="8606"/>
    <cellStyle name="Comma 2 2 8 3 4 2" xfId="8607"/>
    <cellStyle name="Comma 2 2 8 3 4 3" xfId="8608"/>
    <cellStyle name="Comma 2 2 8 3 4 4" xfId="8609"/>
    <cellStyle name="Comma 2 2 8 3 5" xfId="8610"/>
    <cellStyle name="Comma 2 2 8 3 5 2" xfId="8611"/>
    <cellStyle name="Comma 2 2 8 3 6" xfId="8612"/>
    <cellStyle name="Comma 2 2 8 3 7" xfId="8613"/>
    <cellStyle name="Comma 2 2 8 3 8" xfId="8614"/>
    <cellStyle name="Comma 2 2 8 3 9" xfId="8615"/>
    <cellStyle name="Comma 2 2 8 4" xfId="8616"/>
    <cellStyle name="Comma 2 2 8 4 2" xfId="8617"/>
    <cellStyle name="Comma 2 2 8 4 2 2" xfId="8618"/>
    <cellStyle name="Comma 2 2 8 4 2 3" xfId="8619"/>
    <cellStyle name="Comma 2 2 8 4 3" xfId="8620"/>
    <cellStyle name="Comma 2 2 8 4 4" xfId="8621"/>
    <cellStyle name="Comma 2 2 8 4 5" xfId="8622"/>
    <cellStyle name="Comma 2 2 8 4 6" xfId="8623"/>
    <cellStyle name="Comma 2 2 8 5" xfId="8624"/>
    <cellStyle name="Comma 2 2 8 5 2" xfId="8625"/>
    <cellStyle name="Comma 2 2 8 5 2 2" xfId="8626"/>
    <cellStyle name="Comma 2 2 8 5 3" xfId="8627"/>
    <cellStyle name="Comma 2 2 8 5 4" xfId="8628"/>
    <cellStyle name="Comma 2 2 8 5 5" xfId="8629"/>
    <cellStyle name="Comma 2 2 8 6" xfId="8630"/>
    <cellStyle name="Comma 2 2 8 6 2" xfId="8631"/>
    <cellStyle name="Comma 2 2 8 6 3" xfId="8632"/>
    <cellStyle name="Comma 2 2 8 6 4" xfId="8633"/>
    <cellStyle name="Comma 2 2 8 7" xfId="8634"/>
    <cellStyle name="Comma 2 2 8 7 2" xfId="8635"/>
    <cellStyle name="Comma 2 2 8 8" xfId="8636"/>
    <cellStyle name="Comma 2 2 8 9" xfId="8637"/>
    <cellStyle name="Comma 2 2 9" xfId="8638"/>
    <cellStyle name="Comma 2 2 9 10" xfId="8639"/>
    <cellStyle name="Comma 2 2 9 11" xfId="8640"/>
    <cellStyle name="Comma 2 2 9 2" xfId="8641"/>
    <cellStyle name="Comma 2 2 9 2 2" xfId="8642"/>
    <cellStyle name="Comma 2 2 9 2 2 2" xfId="8643"/>
    <cellStyle name="Comma 2 2 9 2 2 2 2" xfId="8644"/>
    <cellStyle name="Comma 2 2 9 2 2 2 3" xfId="8645"/>
    <cellStyle name="Comma 2 2 9 2 2 3" xfId="8646"/>
    <cellStyle name="Comma 2 2 9 2 2 4" xfId="8647"/>
    <cellStyle name="Comma 2 2 9 2 2 5" xfId="8648"/>
    <cellStyle name="Comma 2 2 9 2 2 6" xfId="8649"/>
    <cellStyle name="Comma 2 2 9 2 3" xfId="8650"/>
    <cellStyle name="Comma 2 2 9 2 3 2" xfId="8651"/>
    <cellStyle name="Comma 2 2 9 2 3 2 2" xfId="8652"/>
    <cellStyle name="Comma 2 2 9 2 3 3" xfId="8653"/>
    <cellStyle name="Comma 2 2 9 2 3 4" xfId="8654"/>
    <cellStyle name="Comma 2 2 9 2 3 5" xfId="8655"/>
    <cellStyle name="Comma 2 2 9 2 4" xfId="8656"/>
    <cellStyle name="Comma 2 2 9 2 4 2" xfId="8657"/>
    <cellStyle name="Comma 2 2 9 2 4 3" xfId="8658"/>
    <cellStyle name="Comma 2 2 9 2 4 4" xfId="8659"/>
    <cellStyle name="Comma 2 2 9 2 5" xfId="8660"/>
    <cellStyle name="Comma 2 2 9 2 5 2" xfId="8661"/>
    <cellStyle name="Comma 2 2 9 2 6" xfId="8662"/>
    <cellStyle name="Comma 2 2 9 2 7" xfId="8663"/>
    <cellStyle name="Comma 2 2 9 2 8" xfId="8664"/>
    <cellStyle name="Comma 2 2 9 2 9" xfId="8665"/>
    <cellStyle name="Comma 2 2 9 3" xfId="8666"/>
    <cellStyle name="Comma 2 2 9 3 2" xfId="8667"/>
    <cellStyle name="Comma 2 2 9 3 2 2" xfId="8668"/>
    <cellStyle name="Comma 2 2 9 3 2 2 2" xfId="8669"/>
    <cellStyle name="Comma 2 2 9 3 2 2 3" xfId="8670"/>
    <cellStyle name="Comma 2 2 9 3 2 3" xfId="8671"/>
    <cellStyle name="Comma 2 2 9 3 2 4" xfId="8672"/>
    <cellStyle name="Comma 2 2 9 3 2 5" xfId="8673"/>
    <cellStyle name="Comma 2 2 9 3 2 6" xfId="8674"/>
    <cellStyle name="Comma 2 2 9 3 3" xfId="8675"/>
    <cellStyle name="Comma 2 2 9 3 3 2" xfId="8676"/>
    <cellStyle name="Comma 2 2 9 3 3 2 2" xfId="8677"/>
    <cellStyle name="Comma 2 2 9 3 3 3" xfId="8678"/>
    <cellStyle name="Comma 2 2 9 3 3 4" xfId="8679"/>
    <cellStyle name="Comma 2 2 9 3 3 5" xfId="8680"/>
    <cellStyle name="Comma 2 2 9 3 4" xfId="8681"/>
    <cellStyle name="Comma 2 2 9 3 4 2" xfId="8682"/>
    <cellStyle name="Comma 2 2 9 3 4 3" xfId="8683"/>
    <cellStyle name="Comma 2 2 9 3 4 4" xfId="8684"/>
    <cellStyle name="Comma 2 2 9 3 5" xfId="8685"/>
    <cellStyle name="Comma 2 2 9 3 5 2" xfId="8686"/>
    <cellStyle name="Comma 2 2 9 3 6" xfId="8687"/>
    <cellStyle name="Comma 2 2 9 3 7" xfId="8688"/>
    <cellStyle name="Comma 2 2 9 3 8" xfId="8689"/>
    <cellStyle name="Comma 2 2 9 3 9" xfId="8690"/>
    <cellStyle name="Comma 2 2 9 4" xfId="8691"/>
    <cellStyle name="Comma 2 2 9 4 2" xfId="8692"/>
    <cellStyle name="Comma 2 2 9 4 2 2" xfId="8693"/>
    <cellStyle name="Comma 2 2 9 4 2 3" xfId="8694"/>
    <cellStyle name="Comma 2 2 9 4 3" xfId="8695"/>
    <cellStyle name="Comma 2 2 9 4 4" xfId="8696"/>
    <cellStyle name="Comma 2 2 9 4 5" xfId="8697"/>
    <cellStyle name="Comma 2 2 9 4 6" xfId="8698"/>
    <cellStyle name="Comma 2 2 9 5" xfId="8699"/>
    <cellStyle name="Comma 2 2 9 5 2" xfId="8700"/>
    <cellStyle name="Comma 2 2 9 5 2 2" xfId="8701"/>
    <cellStyle name="Comma 2 2 9 5 3" xfId="8702"/>
    <cellStyle name="Comma 2 2 9 5 4" xfId="8703"/>
    <cellStyle name="Comma 2 2 9 5 5" xfId="8704"/>
    <cellStyle name="Comma 2 2 9 6" xfId="8705"/>
    <cellStyle name="Comma 2 2 9 6 2" xfId="8706"/>
    <cellStyle name="Comma 2 2 9 6 3" xfId="8707"/>
    <cellStyle name="Comma 2 2 9 6 4" xfId="8708"/>
    <cellStyle name="Comma 2 2 9 7" xfId="8709"/>
    <cellStyle name="Comma 2 2 9 7 2" xfId="8710"/>
    <cellStyle name="Comma 2 2 9 8" xfId="8711"/>
    <cellStyle name="Comma 2 2 9 9" xfId="8712"/>
    <cellStyle name="Comma 2 20" xfId="8713"/>
    <cellStyle name="Comma 2 20 10" xfId="8714"/>
    <cellStyle name="Comma 2 20 2" xfId="8715"/>
    <cellStyle name="Comma 2 20 2 2" xfId="8716"/>
    <cellStyle name="Comma 2 20 2 2 2" xfId="8717"/>
    <cellStyle name="Comma 2 20 2 2 3" xfId="8718"/>
    <cellStyle name="Comma 2 20 2 3" xfId="8719"/>
    <cellStyle name="Comma 2 20 2 4" xfId="8720"/>
    <cellStyle name="Comma 2 20 2 5" xfId="8721"/>
    <cellStyle name="Comma 2 20 2 6" xfId="8722"/>
    <cellStyle name="Comma 2 20 3" xfId="8723"/>
    <cellStyle name="Comma 2 20 3 2" xfId="8724"/>
    <cellStyle name="Comma 2 20 3 2 2" xfId="8725"/>
    <cellStyle name="Comma 2 20 3 2 3" xfId="8726"/>
    <cellStyle name="Comma 2 20 3 3" xfId="8727"/>
    <cellStyle name="Comma 2 20 3 4" xfId="8728"/>
    <cellStyle name="Comma 2 20 3 5" xfId="8729"/>
    <cellStyle name="Comma 2 20 3 6" xfId="8730"/>
    <cellStyle name="Comma 2 20 4" xfId="8731"/>
    <cellStyle name="Comma 2 20 4 2" xfId="8732"/>
    <cellStyle name="Comma 2 20 4 2 2" xfId="8733"/>
    <cellStyle name="Comma 2 20 4 3" xfId="8734"/>
    <cellStyle name="Comma 2 20 4 4" xfId="8735"/>
    <cellStyle name="Comma 2 20 4 5" xfId="8736"/>
    <cellStyle name="Comma 2 20 4 6" xfId="8737"/>
    <cellStyle name="Comma 2 20 5" xfId="8738"/>
    <cellStyle name="Comma 2 20 5 2" xfId="8739"/>
    <cellStyle name="Comma 2 20 5 3" xfId="8740"/>
    <cellStyle name="Comma 2 20 5 4" xfId="8741"/>
    <cellStyle name="Comma 2 20 5 5" xfId="8742"/>
    <cellStyle name="Comma 2 20 6" xfId="8743"/>
    <cellStyle name="Comma 2 20 6 2" xfId="8744"/>
    <cellStyle name="Comma 2 20 6 3" xfId="8745"/>
    <cellStyle name="Comma 2 20 7" xfId="8746"/>
    <cellStyle name="Comma 2 20 7 2" xfId="8747"/>
    <cellStyle name="Comma 2 20 8" xfId="8748"/>
    <cellStyle name="Comma 2 20 9" xfId="8749"/>
    <cellStyle name="Comma 2 21" xfId="8750"/>
    <cellStyle name="Comma 2 21 10" xfId="8751"/>
    <cellStyle name="Comma 2 21 2" xfId="8752"/>
    <cellStyle name="Comma 2 21 2 2" xfId="8753"/>
    <cellStyle name="Comma 2 21 2 2 2" xfId="8754"/>
    <cellStyle name="Comma 2 21 2 2 3" xfId="8755"/>
    <cellStyle name="Comma 2 21 2 3" xfId="8756"/>
    <cellStyle name="Comma 2 21 2 4" xfId="8757"/>
    <cellStyle name="Comma 2 21 2 5" xfId="8758"/>
    <cellStyle name="Comma 2 21 2 6" xfId="8759"/>
    <cellStyle name="Comma 2 21 3" xfId="8760"/>
    <cellStyle name="Comma 2 21 3 2" xfId="8761"/>
    <cellStyle name="Comma 2 21 3 2 2" xfId="8762"/>
    <cellStyle name="Comma 2 21 3 2 3" xfId="8763"/>
    <cellStyle name="Comma 2 21 3 3" xfId="8764"/>
    <cellStyle name="Comma 2 21 3 4" xfId="8765"/>
    <cellStyle name="Comma 2 21 3 5" xfId="8766"/>
    <cellStyle name="Comma 2 21 3 6" xfId="8767"/>
    <cellStyle name="Comma 2 21 4" xfId="8768"/>
    <cellStyle name="Comma 2 21 4 2" xfId="8769"/>
    <cellStyle name="Comma 2 21 4 2 2" xfId="8770"/>
    <cellStyle name="Comma 2 21 4 3" xfId="8771"/>
    <cellStyle name="Comma 2 21 4 4" xfId="8772"/>
    <cellStyle name="Comma 2 21 4 5" xfId="8773"/>
    <cellStyle name="Comma 2 21 4 6" xfId="8774"/>
    <cellStyle name="Comma 2 21 5" xfId="8775"/>
    <cellStyle name="Comma 2 21 5 2" xfId="8776"/>
    <cellStyle name="Comma 2 21 5 3" xfId="8777"/>
    <cellStyle name="Comma 2 21 5 4" xfId="8778"/>
    <cellStyle name="Comma 2 21 5 5" xfId="8779"/>
    <cellStyle name="Comma 2 21 6" xfId="8780"/>
    <cellStyle name="Comma 2 21 6 2" xfId="8781"/>
    <cellStyle name="Comma 2 21 6 3" xfId="8782"/>
    <cellStyle name="Comma 2 21 7" xfId="8783"/>
    <cellStyle name="Comma 2 21 7 2" xfId="8784"/>
    <cellStyle name="Comma 2 21 8" xfId="8785"/>
    <cellStyle name="Comma 2 21 9" xfId="8786"/>
    <cellStyle name="Comma 2 22" xfId="8787"/>
    <cellStyle name="Comma 2 22 10" xfId="8788"/>
    <cellStyle name="Comma 2 22 2" xfId="8789"/>
    <cellStyle name="Comma 2 22 2 2" xfId="8790"/>
    <cellStyle name="Comma 2 22 2 2 2" xfId="8791"/>
    <cellStyle name="Comma 2 22 2 2 3" xfId="8792"/>
    <cellStyle name="Comma 2 22 2 3" xfId="8793"/>
    <cellStyle name="Comma 2 22 2 4" xfId="8794"/>
    <cellStyle name="Comma 2 22 2 5" xfId="8795"/>
    <cellStyle name="Comma 2 22 2 6" xfId="8796"/>
    <cellStyle name="Comma 2 22 3" xfId="8797"/>
    <cellStyle name="Comma 2 22 3 2" xfId="8798"/>
    <cellStyle name="Comma 2 22 3 2 2" xfId="8799"/>
    <cellStyle name="Comma 2 22 3 2 3" xfId="8800"/>
    <cellStyle name="Comma 2 22 3 3" xfId="8801"/>
    <cellStyle name="Comma 2 22 3 4" xfId="8802"/>
    <cellStyle name="Comma 2 22 3 5" xfId="8803"/>
    <cellStyle name="Comma 2 22 3 6" xfId="8804"/>
    <cellStyle name="Comma 2 22 4" xfId="8805"/>
    <cellStyle name="Comma 2 22 4 2" xfId="8806"/>
    <cellStyle name="Comma 2 22 4 2 2" xfId="8807"/>
    <cellStyle name="Comma 2 22 4 3" xfId="8808"/>
    <cellStyle name="Comma 2 22 4 4" xfId="8809"/>
    <cellStyle name="Comma 2 22 4 5" xfId="8810"/>
    <cellStyle name="Comma 2 22 4 6" xfId="8811"/>
    <cellStyle name="Comma 2 22 5" xfId="8812"/>
    <cellStyle name="Comma 2 22 5 2" xfId="8813"/>
    <cellStyle name="Comma 2 22 5 3" xfId="8814"/>
    <cellStyle name="Comma 2 22 5 4" xfId="8815"/>
    <cellStyle name="Comma 2 22 5 5" xfId="8816"/>
    <cellStyle name="Comma 2 22 6" xfId="8817"/>
    <cellStyle name="Comma 2 22 6 2" xfId="8818"/>
    <cellStyle name="Comma 2 22 6 3" xfId="8819"/>
    <cellStyle name="Comma 2 22 7" xfId="8820"/>
    <cellStyle name="Comma 2 22 7 2" xfId="8821"/>
    <cellStyle name="Comma 2 22 8" xfId="8822"/>
    <cellStyle name="Comma 2 22 9" xfId="8823"/>
    <cellStyle name="Comma 2 23" xfId="8824"/>
    <cellStyle name="Comma 2 23 10" xfId="8825"/>
    <cellStyle name="Comma 2 23 2" xfId="8826"/>
    <cellStyle name="Comma 2 23 2 2" xfId="8827"/>
    <cellStyle name="Comma 2 23 2 2 2" xfId="8828"/>
    <cellStyle name="Comma 2 23 2 2 3" xfId="8829"/>
    <cellStyle name="Comma 2 23 2 3" xfId="8830"/>
    <cellStyle name="Comma 2 23 2 4" xfId="8831"/>
    <cellStyle name="Comma 2 23 2 5" xfId="8832"/>
    <cellStyle name="Comma 2 23 2 6" xfId="8833"/>
    <cellStyle name="Comma 2 23 3" xfId="8834"/>
    <cellStyle name="Comma 2 23 3 2" xfId="8835"/>
    <cellStyle name="Comma 2 23 3 2 2" xfId="8836"/>
    <cellStyle name="Comma 2 23 3 2 3" xfId="8837"/>
    <cellStyle name="Comma 2 23 3 3" xfId="8838"/>
    <cellStyle name="Comma 2 23 3 4" xfId="8839"/>
    <cellStyle name="Comma 2 23 3 5" xfId="8840"/>
    <cellStyle name="Comma 2 23 3 6" xfId="8841"/>
    <cellStyle name="Comma 2 23 4" xfId="8842"/>
    <cellStyle name="Comma 2 23 4 2" xfId="8843"/>
    <cellStyle name="Comma 2 23 4 2 2" xfId="8844"/>
    <cellStyle name="Comma 2 23 4 3" xfId="8845"/>
    <cellStyle name="Comma 2 23 4 4" xfId="8846"/>
    <cellStyle name="Comma 2 23 4 5" xfId="8847"/>
    <cellStyle name="Comma 2 23 4 6" xfId="8848"/>
    <cellStyle name="Comma 2 23 5" xfId="8849"/>
    <cellStyle name="Comma 2 23 5 2" xfId="8850"/>
    <cellStyle name="Comma 2 23 5 3" xfId="8851"/>
    <cellStyle name="Comma 2 23 5 4" xfId="8852"/>
    <cellStyle name="Comma 2 23 5 5" xfId="8853"/>
    <cellStyle name="Comma 2 23 6" xfId="8854"/>
    <cellStyle name="Comma 2 23 6 2" xfId="8855"/>
    <cellStyle name="Comma 2 23 6 3" xfId="8856"/>
    <cellStyle name="Comma 2 23 7" xfId="8857"/>
    <cellStyle name="Comma 2 23 7 2" xfId="8858"/>
    <cellStyle name="Comma 2 23 8" xfId="8859"/>
    <cellStyle name="Comma 2 23 9" xfId="8860"/>
    <cellStyle name="Comma 2 24" xfId="8861"/>
    <cellStyle name="Comma 2 24 10" xfId="8862"/>
    <cellStyle name="Comma 2 24 2" xfId="8863"/>
    <cellStyle name="Comma 2 24 2 2" xfId="8864"/>
    <cellStyle name="Comma 2 24 2 2 2" xfId="8865"/>
    <cellStyle name="Comma 2 24 2 2 3" xfId="8866"/>
    <cellStyle name="Comma 2 24 2 3" xfId="8867"/>
    <cellStyle name="Comma 2 24 2 4" xfId="8868"/>
    <cellStyle name="Comma 2 24 2 5" xfId="8869"/>
    <cellStyle name="Comma 2 24 2 6" xfId="8870"/>
    <cellStyle name="Comma 2 24 3" xfId="8871"/>
    <cellStyle name="Comma 2 24 3 2" xfId="8872"/>
    <cellStyle name="Comma 2 24 3 2 2" xfId="8873"/>
    <cellStyle name="Comma 2 24 3 2 3" xfId="8874"/>
    <cellStyle name="Comma 2 24 3 3" xfId="8875"/>
    <cellStyle name="Comma 2 24 3 4" xfId="8876"/>
    <cellStyle name="Comma 2 24 3 5" xfId="8877"/>
    <cellStyle name="Comma 2 24 3 6" xfId="8878"/>
    <cellStyle name="Comma 2 24 4" xfId="8879"/>
    <cellStyle name="Comma 2 24 4 2" xfId="8880"/>
    <cellStyle name="Comma 2 24 4 2 2" xfId="8881"/>
    <cellStyle name="Comma 2 24 4 3" xfId="8882"/>
    <cellStyle name="Comma 2 24 4 4" xfId="8883"/>
    <cellStyle name="Comma 2 24 4 5" xfId="8884"/>
    <cellStyle name="Comma 2 24 4 6" xfId="8885"/>
    <cellStyle name="Comma 2 24 5" xfId="8886"/>
    <cellStyle name="Comma 2 24 5 2" xfId="8887"/>
    <cellStyle name="Comma 2 24 5 3" xfId="8888"/>
    <cellStyle name="Comma 2 24 5 4" xfId="8889"/>
    <cellStyle name="Comma 2 24 5 5" xfId="8890"/>
    <cellStyle name="Comma 2 24 6" xfId="8891"/>
    <cellStyle name="Comma 2 24 6 2" xfId="8892"/>
    <cellStyle name="Comma 2 24 6 3" xfId="8893"/>
    <cellStyle name="Comma 2 24 7" xfId="8894"/>
    <cellStyle name="Comma 2 24 7 2" xfId="8895"/>
    <cellStyle name="Comma 2 24 8" xfId="8896"/>
    <cellStyle name="Comma 2 24 9" xfId="8897"/>
    <cellStyle name="Comma 2 25" xfId="8898"/>
    <cellStyle name="Comma 2 25 10" xfId="8899"/>
    <cellStyle name="Comma 2 25 2" xfId="8900"/>
    <cellStyle name="Comma 2 25 2 2" xfId="8901"/>
    <cellStyle name="Comma 2 25 2 2 2" xfId="8902"/>
    <cellStyle name="Comma 2 25 2 2 3" xfId="8903"/>
    <cellStyle name="Comma 2 25 2 3" xfId="8904"/>
    <cellStyle name="Comma 2 25 2 4" xfId="8905"/>
    <cellStyle name="Comma 2 25 2 5" xfId="8906"/>
    <cellStyle name="Comma 2 25 2 6" xfId="8907"/>
    <cellStyle name="Comma 2 25 3" xfId="8908"/>
    <cellStyle name="Comma 2 25 3 2" xfId="8909"/>
    <cellStyle name="Comma 2 25 3 2 2" xfId="8910"/>
    <cellStyle name="Comma 2 25 3 2 3" xfId="8911"/>
    <cellStyle name="Comma 2 25 3 3" xfId="8912"/>
    <cellStyle name="Comma 2 25 3 4" xfId="8913"/>
    <cellStyle name="Comma 2 25 3 5" xfId="8914"/>
    <cellStyle name="Comma 2 25 3 6" xfId="8915"/>
    <cellStyle name="Comma 2 25 4" xfId="8916"/>
    <cellStyle name="Comma 2 25 4 2" xfId="8917"/>
    <cellStyle name="Comma 2 25 4 2 2" xfId="8918"/>
    <cellStyle name="Comma 2 25 4 3" xfId="8919"/>
    <cellStyle name="Comma 2 25 4 4" xfId="8920"/>
    <cellStyle name="Comma 2 25 4 5" xfId="8921"/>
    <cellStyle name="Comma 2 25 4 6" xfId="8922"/>
    <cellStyle name="Comma 2 25 5" xfId="8923"/>
    <cellStyle name="Comma 2 25 5 2" xfId="8924"/>
    <cellStyle name="Comma 2 25 5 3" xfId="8925"/>
    <cellStyle name="Comma 2 25 5 4" xfId="8926"/>
    <cellStyle name="Comma 2 25 5 5" xfId="8927"/>
    <cellStyle name="Comma 2 25 6" xfId="8928"/>
    <cellStyle name="Comma 2 25 6 2" xfId="8929"/>
    <cellStyle name="Comma 2 25 6 3" xfId="8930"/>
    <cellStyle name="Comma 2 25 7" xfId="8931"/>
    <cellStyle name="Comma 2 25 7 2" xfId="8932"/>
    <cellStyle name="Comma 2 25 8" xfId="8933"/>
    <cellStyle name="Comma 2 25 9" xfId="8934"/>
    <cellStyle name="Comma 2 26" xfId="8935"/>
    <cellStyle name="Comma 2 26 10" xfId="8936"/>
    <cellStyle name="Comma 2 26 2" xfId="8937"/>
    <cellStyle name="Comma 2 26 2 2" xfId="8938"/>
    <cellStyle name="Comma 2 26 2 2 2" xfId="8939"/>
    <cellStyle name="Comma 2 26 2 2 3" xfId="8940"/>
    <cellStyle name="Comma 2 26 2 3" xfId="8941"/>
    <cellStyle name="Comma 2 26 2 4" xfId="8942"/>
    <cellStyle name="Comma 2 26 2 5" xfId="8943"/>
    <cellStyle name="Comma 2 26 2 6" xfId="8944"/>
    <cellStyle name="Comma 2 26 3" xfId="8945"/>
    <cellStyle name="Comma 2 26 3 2" xfId="8946"/>
    <cellStyle name="Comma 2 26 3 2 2" xfId="8947"/>
    <cellStyle name="Comma 2 26 3 2 3" xfId="8948"/>
    <cellStyle name="Comma 2 26 3 3" xfId="8949"/>
    <cellStyle name="Comma 2 26 3 4" xfId="8950"/>
    <cellStyle name="Comma 2 26 3 5" xfId="8951"/>
    <cellStyle name="Comma 2 26 3 6" xfId="8952"/>
    <cellStyle name="Comma 2 26 4" xfId="8953"/>
    <cellStyle name="Comma 2 26 4 2" xfId="8954"/>
    <cellStyle name="Comma 2 26 4 2 2" xfId="8955"/>
    <cellStyle name="Comma 2 26 4 3" xfId="8956"/>
    <cellStyle name="Comma 2 26 4 4" xfId="8957"/>
    <cellStyle name="Comma 2 26 4 5" xfId="8958"/>
    <cellStyle name="Comma 2 26 4 6" xfId="8959"/>
    <cellStyle name="Comma 2 26 5" xfId="8960"/>
    <cellStyle name="Comma 2 26 5 2" xfId="8961"/>
    <cellStyle name="Comma 2 26 5 3" xfId="8962"/>
    <cellStyle name="Comma 2 26 5 4" xfId="8963"/>
    <cellStyle name="Comma 2 26 5 5" xfId="8964"/>
    <cellStyle name="Comma 2 26 6" xfId="8965"/>
    <cellStyle name="Comma 2 26 6 2" xfId="8966"/>
    <cellStyle name="Comma 2 26 6 3" xfId="8967"/>
    <cellStyle name="Comma 2 26 7" xfId="8968"/>
    <cellStyle name="Comma 2 26 7 2" xfId="8969"/>
    <cellStyle name="Comma 2 26 8" xfId="8970"/>
    <cellStyle name="Comma 2 26 9" xfId="8971"/>
    <cellStyle name="Comma 2 27" xfId="8972"/>
    <cellStyle name="Comma 2 27 10" xfId="8973"/>
    <cellStyle name="Comma 2 27 2" xfId="8974"/>
    <cellStyle name="Comma 2 27 2 2" xfId="8975"/>
    <cellStyle name="Comma 2 27 2 2 2" xfId="8976"/>
    <cellStyle name="Comma 2 27 2 2 3" xfId="8977"/>
    <cellStyle name="Comma 2 27 2 3" xfId="8978"/>
    <cellStyle name="Comma 2 27 2 4" xfId="8979"/>
    <cellStyle name="Comma 2 27 2 5" xfId="8980"/>
    <cellStyle name="Comma 2 27 2 6" xfId="8981"/>
    <cellStyle name="Comma 2 27 3" xfId="8982"/>
    <cellStyle name="Comma 2 27 3 2" xfId="8983"/>
    <cellStyle name="Comma 2 27 3 2 2" xfId="8984"/>
    <cellStyle name="Comma 2 27 3 2 3" xfId="8985"/>
    <cellStyle name="Comma 2 27 3 3" xfId="8986"/>
    <cellStyle name="Comma 2 27 3 4" xfId="8987"/>
    <cellStyle name="Comma 2 27 3 5" xfId="8988"/>
    <cellStyle name="Comma 2 27 3 6" xfId="8989"/>
    <cellStyle name="Comma 2 27 4" xfId="8990"/>
    <cellStyle name="Comma 2 27 4 2" xfId="8991"/>
    <cellStyle name="Comma 2 27 4 2 2" xfId="8992"/>
    <cellStyle name="Comma 2 27 4 3" xfId="8993"/>
    <cellStyle name="Comma 2 27 4 4" xfId="8994"/>
    <cellStyle name="Comma 2 27 4 5" xfId="8995"/>
    <cellStyle name="Comma 2 27 4 6" xfId="8996"/>
    <cellStyle name="Comma 2 27 5" xfId="8997"/>
    <cellStyle name="Comma 2 27 5 2" xfId="8998"/>
    <cellStyle name="Comma 2 27 5 3" xfId="8999"/>
    <cellStyle name="Comma 2 27 5 4" xfId="9000"/>
    <cellStyle name="Comma 2 27 5 5" xfId="9001"/>
    <cellStyle name="Comma 2 27 6" xfId="9002"/>
    <cellStyle name="Comma 2 27 6 2" xfId="9003"/>
    <cellStyle name="Comma 2 27 6 3" xfId="9004"/>
    <cellStyle name="Comma 2 27 7" xfId="9005"/>
    <cellStyle name="Comma 2 27 7 2" xfId="9006"/>
    <cellStyle name="Comma 2 27 8" xfId="9007"/>
    <cellStyle name="Comma 2 27 9" xfId="9008"/>
    <cellStyle name="Comma 2 28" xfId="9009"/>
    <cellStyle name="Comma 2 28 10" xfId="9010"/>
    <cellStyle name="Comma 2 28 2" xfId="9011"/>
    <cellStyle name="Comma 2 28 2 2" xfId="9012"/>
    <cellStyle name="Comma 2 28 2 2 2" xfId="9013"/>
    <cellStyle name="Comma 2 28 2 2 3" xfId="9014"/>
    <cellStyle name="Comma 2 28 2 3" xfId="9015"/>
    <cellStyle name="Comma 2 28 2 4" xfId="9016"/>
    <cellStyle name="Comma 2 28 2 5" xfId="9017"/>
    <cellStyle name="Comma 2 28 2 6" xfId="9018"/>
    <cellStyle name="Comma 2 28 3" xfId="9019"/>
    <cellStyle name="Comma 2 28 3 2" xfId="9020"/>
    <cellStyle name="Comma 2 28 3 2 2" xfId="9021"/>
    <cellStyle name="Comma 2 28 3 2 3" xfId="9022"/>
    <cellStyle name="Comma 2 28 3 3" xfId="9023"/>
    <cellStyle name="Comma 2 28 3 4" xfId="9024"/>
    <cellStyle name="Comma 2 28 3 5" xfId="9025"/>
    <cellStyle name="Comma 2 28 3 6" xfId="9026"/>
    <cellStyle name="Comma 2 28 4" xfId="9027"/>
    <cellStyle name="Comma 2 28 4 2" xfId="9028"/>
    <cellStyle name="Comma 2 28 4 2 2" xfId="9029"/>
    <cellStyle name="Comma 2 28 4 3" xfId="9030"/>
    <cellStyle name="Comma 2 28 4 4" xfId="9031"/>
    <cellStyle name="Comma 2 28 4 5" xfId="9032"/>
    <cellStyle name="Comma 2 28 4 6" xfId="9033"/>
    <cellStyle name="Comma 2 28 5" xfId="9034"/>
    <cellStyle name="Comma 2 28 5 2" xfId="9035"/>
    <cellStyle name="Comma 2 28 5 3" xfId="9036"/>
    <cellStyle name="Comma 2 28 5 4" xfId="9037"/>
    <cellStyle name="Comma 2 28 5 5" xfId="9038"/>
    <cellStyle name="Comma 2 28 6" xfId="9039"/>
    <cellStyle name="Comma 2 28 6 2" xfId="9040"/>
    <cellStyle name="Comma 2 28 6 3" xfId="9041"/>
    <cellStyle name="Comma 2 28 7" xfId="9042"/>
    <cellStyle name="Comma 2 28 7 2" xfId="9043"/>
    <cellStyle name="Comma 2 28 8" xfId="9044"/>
    <cellStyle name="Comma 2 28 9" xfId="9045"/>
    <cellStyle name="Comma 2 29" xfId="9046"/>
    <cellStyle name="Comma 2 29 10" xfId="9047"/>
    <cellStyle name="Comma 2 29 2" xfId="9048"/>
    <cellStyle name="Comma 2 29 2 2" xfId="9049"/>
    <cellStyle name="Comma 2 29 2 2 2" xfId="9050"/>
    <cellStyle name="Comma 2 29 2 2 3" xfId="9051"/>
    <cellStyle name="Comma 2 29 2 3" xfId="9052"/>
    <cellStyle name="Comma 2 29 2 4" xfId="9053"/>
    <cellStyle name="Comma 2 29 2 5" xfId="9054"/>
    <cellStyle name="Comma 2 29 2 6" xfId="9055"/>
    <cellStyle name="Comma 2 29 3" xfId="9056"/>
    <cellStyle name="Comma 2 29 3 2" xfId="9057"/>
    <cellStyle name="Comma 2 29 3 2 2" xfId="9058"/>
    <cellStyle name="Comma 2 29 3 2 3" xfId="9059"/>
    <cellStyle name="Comma 2 29 3 3" xfId="9060"/>
    <cellStyle name="Comma 2 29 3 4" xfId="9061"/>
    <cellStyle name="Comma 2 29 3 5" xfId="9062"/>
    <cellStyle name="Comma 2 29 3 6" xfId="9063"/>
    <cellStyle name="Comma 2 29 4" xfId="9064"/>
    <cellStyle name="Comma 2 29 4 2" xfId="9065"/>
    <cellStyle name="Comma 2 29 4 2 2" xfId="9066"/>
    <cellStyle name="Comma 2 29 4 3" xfId="9067"/>
    <cellStyle name="Comma 2 29 4 4" xfId="9068"/>
    <cellStyle name="Comma 2 29 4 5" xfId="9069"/>
    <cellStyle name="Comma 2 29 4 6" xfId="9070"/>
    <cellStyle name="Comma 2 29 5" xfId="9071"/>
    <cellStyle name="Comma 2 29 5 2" xfId="9072"/>
    <cellStyle name="Comma 2 29 5 3" xfId="9073"/>
    <cellStyle name="Comma 2 29 5 4" xfId="9074"/>
    <cellStyle name="Comma 2 29 5 5" xfId="9075"/>
    <cellStyle name="Comma 2 29 6" xfId="9076"/>
    <cellStyle name="Comma 2 29 6 2" xfId="9077"/>
    <cellStyle name="Comma 2 29 6 3" xfId="9078"/>
    <cellStyle name="Comma 2 29 7" xfId="9079"/>
    <cellStyle name="Comma 2 29 7 2" xfId="9080"/>
    <cellStyle name="Comma 2 29 8" xfId="9081"/>
    <cellStyle name="Comma 2 29 9" xfId="9082"/>
    <cellStyle name="Comma 2 3" xfId="9083"/>
    <cellStyle name="Comma 2 3 10" xfId="9084"/>
    <cellStyle name="Comma 2 3 10 10" xfId="9085"/>
    <cellStyle name="Comma 2 3 10 2" xfId="9086"/>
    <cellStyle name="Comma 2 3 10 2 2" xfId="9087"/>
    <cellStyle name="Comma 2 3 10 2 2 2" xfId="9088"/>
    <cellStyle name="Comma 2 3 10 2 2 3" xfId="9089"/>
    <cellStyle name="Comma 2 3 10 2 3" xfId="9090"/>
    <cellStyle name="Comma 2 3 10 2 4" xfId="9091"/>
    <cellStyle name="Comma 2 3 10 2 5" xfId="9092"/>
    <cellStyle name="Comma 2 3 10 2 6" xfId="9093"/>
    <cellStyle name="Comma 2 3 10 3" xfId="9094"/>
    <cellStyle name="Comma 2 3 10 3 2" xfId="9095"/>
    <cellStyle name="Comma 2 3 10 3 2 2" xfId="9096"/>
    <cellStyle name="Comma 2 3 10 3 2 3" xfId="9097"/>
    <cellStyle name="Comma 2 3 10 3 3" xfId="9098"/>
    <cellStyle name="Comma 2 3 10 3 4" xfId="9099"/>
    <cellStyle name="Comma 2 3 10 3 5" xfId="9100"/>
    <cellStyle name="Comma 2 3 10 3 6" xfId="9101"/>
    <cellStyle name="Comma 2 3 10 4" xfId="9102"/>
    <cellStyle name="Comma 2 3 10 4 2" xfId="9103"/>
    <cellStyle name="Comma 2 3 10 4 2 2" xfId="9104"/>
    <cellStyle name="Comma 2 3 10 4 3" xfId="9105"/>
    <cellStyle name="Comma 2 3 10 4 4" xfId="9106"/>
    <cellStyle name="Comma 2 3 10 4 5" xfId="9107"/>
    <cellStyle name="Comma 2 3 10 5" xfId="9108"/>
    <cellStyle name="Comma 2 3 10 5 2" xfId="9109"/>
    <cellStyle name="Comma 2 3 10 5 3" xfId="9110"/>
    <cellStyle name="Comma 2 3 10 5 4" xfId="9111"/>
    <cellStyle name="Comma 2 3 10 6" xfId="9112"/>
    <cellStyle name="Comma 2 3 10 6 2" xfId="9113"/>
    <cellStyle name="Comma 2 3 10 7" xfId="9114"/>
    <cellStyle name="Comma 2 3 10 8" xfId="9115"/>
    <cellStyle name="Comma 2 3 10 9" xfId="9116"/>
    <cellStyle name="Comma 2 3 11" xfId="9117"/>
    <cellStyle name="Comma 2 3 11 10" xfId="9118"/>
    <cellStyle name="Comma 2 3 11 2" xfId="9119"/>
    <cellStyle name="Comma 2 3 11 2 2" xfId="9120"/>
    <cellStyle name="Comma 2 3 11 2 2 2" xfId="9121"/>
    <cellStyle name="Comma 2 3 11 2 2 3" xfId="9122"/>
    <cellStyle name="Comma 2 3 11 2 3" xfId="9123"/>
    <cellStyle name="Comma 2 3 11 2 4" xfId="9124"/>
    <cellStyle name="Comma 2 3 11 2 5" xfId="9125"/>
    <cellStyle name="Comma 2 3 11 2 6" xfId="9126"/>
    <cellStyle name="Comma 2 3 11 3" xfId="9127"/>
    <cellStyle name="Comma 2 3 11 3 2" xfId="9128"/>
    <cellStyle name="Comma 2 3 11 3 2 2" xfId="9129"/>
    <cellStyle name="Comma 2 3 11 3 2 3" xfId="9130"/>
    <cellStyle name="Comma 2 3 11 3 3" xfId="9131"/>
    <cellStyle name="Comma 2 3 11 3 4" xfId="9132"/>
    <cellStyle name="Comma 2 3 11 3 5" xfId="9133"/>
    <cellStyle name="Comma 2 3 11 3 6" xfId="9134"/>
    <cellStyle name="Comma 2 3 11 4" xfId="9135"/>
    <cellStyle name="Comma 2 3 11 4 2" xfId="9136"/>
    <cellStyle name="Comma 2 3 11 4 2 2" xfId="9137"/>
    <cellStyle name="Comma 2 3 11 4 3" xfId="9138"/>
    <cellStyle name="Comma 2 3 11 4 4" xfId="9139"/>
    <cellStyle name="Comma 2 3 11 4 5" xfId="9140"/>
    <cellStyle name="Comma 2 3 11 5" xfId="9141"/>
    <cellStyle name="Comma 2 3 11 5 2" xfId="9142"/>
    <cellStyle name="Comma 2 3 11 5 3" xfId="9143"/>
    <cellStyle name="Comma 2 3 11 5 4" xfId="9144"/>
    <cellStyle name="Comma 2 3 11 6" xfId="9145"/>
    <cellStyle name="Comma 2 3 11 6 2" xfId="9146"/>
    <cellStyle name="Comma 2 3 11 7" xfId="9147"/>
    <cellStyle name="Comma 2 3 11 8" xfId="9148"/>
    <cellStyle name="Comma 2 3 11 9" xfId="9149"/>
    <cellStyle name="Comma 2 3 12" xfId="9150"/>
    <cellStyle name="Comma 2 3 12 10" xfId="9151"/>
    <cellStyle name="Comma 2 3 12 2" xfId="9152"/>
    <cellStyle name="Comma 2 3 12 2 2" xfId="9153"/>
    <cellStyle name="Comma 2 3 12 2 2 2" xfId="9154"/>
    <cellStyle name="Comma 2 3 12 2 2 3" xfId="9155"/>
    <cellStyle name="Comma 2 3 12 2 3" xfId="9156"/>
    <cellStyle name="Comma 2 3 12 2 4" xfId="9157"/>
    <cellStyle name="Comma 2 3 12 2 5" xfId="9158"/>
    <cellStyle name="Comma 2 3 12 2 6" xfId="9159"/>
    <cellStyle name="Comma 2 3 12 3" xfId="9160"/>
    <cellStyle name="Comma 2 3 12 3 2" xfId="9161"/>
    <cellStyle name="Comma 2 3 12 3 2 2" xfId="9162"/>
    <cellStyle name="Comma 2 3 12 3 2 3" xfId="9163"/>
    <cellStyle name="Comma 2 3 12 3 3" xfId="9164"/>
    <cellStyle name="Comma 2 3 12 3 4" xfId="9165"/>
    <cellStyle name="Comma 2 3 12 3 5" xfId="9166"/>
    <cellStyle name="Comma 2 3 12 3 6" xfId="9167"/>
    <cellStyle name="Comma 2 3 12 4" xfId="9168"/>
    <cellStyle name="Comma 2 3 12 4 2" xfId="9169"/>
    <cellStyle name="Comma 2 3 12 4 2 2" xfId="9170"/>
    <cellStyle name="Comma 2 3 12 4 3" xfId="9171"/>
    <cellStyle name="Comma 2 3 12 4 4" xfId="9172"/>
    <cellStyle name="Comma 2 3 12 4 5" xfId="9173"/>
    <cellStyle name="Comma 2 3 12 5" xfId="9174"/>
    <cellStyle name="Comma 2 3 12 5 2" xfId="9175"/>
    <cellStyle name="Comma 2 3 12 5 3" xfId="9176"/>
    <cellStyle name="Comma 2 3 12 5 4" xfId="9177"/>
    <cellStyle name="Comma 2 3 12 6" xfId="9178"/>
    <cellStyle name="Comma 2 3 12 6 2" xfId="9179"/>
    <cellStyle name="Comma 2 3 12 7" xfId="9180"/>
    <cellStyle name="Comma 2 3 12 8" xfId="9181"/>
    <cellStyle name="Comma 2 3 12 9" xfId="9182"/>
    <cellStyle name="Comma 2 3 13" xfId="9183"/>
    <cellStyle name="Comma 2 3 13 10" xfId="9184"/>
    <cellStyle name="Comma 2 3 13 2" xfId="9185"/>
    <cellStyle name="Comma 2 3 13 2 2" xfId="9186"/>
    <cellStyle name="Comma 2 3 13 2 2 2" xfId="9187"/>
    <cellStyle name="Comma 2 3 13 2 2 3" xfId="9188"/>
    <cellStyle name="Comma 2 3 13 2 3" xfId="9189"/>
    <cellStyle name="Comma 2 3 13 2 4" xfId="9190"/>
    <cellStyle name="Comma 2 3 13 2 5" xfId="9191"/>
    <cellStyle name="Comma 2 3 13 2 6" xfId="9192"/>
    <cellStyle name="Comma 2 3 13 3" xfId="9193"/>
    <cellStyle name="Comma 2 3 13 3 2" xfId="9194"/>
    <cellStyle name="Comma 2 3 13 3 2 2" xfId="9195"/>
    <cellStyle name="Comma 2 3 13 3 2 3" xfId="9196"/>
    <cellStyle name="Comma 2 3 13 3 3" xfId="9197"/>
    <cellStyle name="Comma 2 3 13 3 4" xfId="9198"/>
    <cellStyle name="Comma 2 3 13 3 5" xfId="9199"/>
    <cellStyle name="Comma 2 3 13 3 6" xfId="9200"/>
    <cellStyle name="Comma 2 3 13 4" xfId="9201"/>
    <cellStyle name="Comma 2 3 13 4 2" xfId="9202"/>
    <cellStyle name="Comma 2 3 13 4 2 2" xfId="9203"/>
    <cellStyle name="Comma 2 3 13 4 3" xfId="9204"/>
    <cellStyle name="Comma 2 3 13 4 4" xfId="9205"/>
    <cellStyle name="Comma 2 3 13 4 5" xfId="9206"/>
    <cellStyle name="Comma 2 3 13 5" xfId="9207"/>
    <cellStyle name="Comma 2 3 13 5 2" xfId="9208"/>
    <cellStyle name="Comma 2 3 13 5 3" xfId="9209"/>
    <cellStyle name="Comma 2 3 13 5 4" xfId="9210"/>
    <cellStyle name="Comma 2 3 13 6" xfId="9211"/>
    <cellStyle name="Comma 2 3 13 6 2" xfId="9212"/>
    <cellStyle name="Comma 2 3 13 7" xfId="9213"/>
    <cellStyle name="Comma 2 3 13 8" xfId="9214"/>
    <cellStyle name="Comma 2 3 13 9" xfId="9215"/>
    <cellStyle name="Comma 2 3 14" xfId="9216"/>
    <cellStyle name="Comma 2 3 14 10" xfId="9217"/>
    <cellStyle name="Comma 2 3 14 2" xfId="9218"/>
    <cellStyle name="Comma 2 3 14 2 2" xfId="9219"/>
    <cellStyle name="Comma 2 3 14 2 2 2" xfId="9220"/>
    <cellStyle name="Comma 2 3 14 2 2 3" xfId="9221"/>
    <cellStyle name="Comma 2 3 14 2 3" xfId="9222"/>
    <cellStyle name="Comma 2 3 14 2 4" xfId="9223"/>
    <cellStyle name="Comma 2 3 14 2 5" xfId="9224"/>
    <cellStyle name="Comma 2 3 14 2 6" xfId="9225"/>
    <cellStyle name="Comma 2 3 14 3" xfId="9226"/>
    <cellStyle name="Comma 2 3 14 3 2" xfId="9227"/>
    <cellStyle name="Comma 2 3 14 3 2 2" xfId="9228"/>
    <cellStyle name="Comma 2 3 14 3 2 3" xfId="9229"/>
    <cellStyle name="Comma 2 3 14 3 3" xfId="9230"/>
    <cellStyle name="Comma 2 3 14 3 4" xfId="9231"/>
    <cellStyle name="Comma 2 3 14 3 5" xfId="9232"/>
    <cellStyle name="Comma 2 3 14 3 6" xfId="9233"/>
    <cellStyle name="Comma 2 3 14 4" xfId="9234"/>
    <cellStyle name="Comma 2 3 14 4 2" xfId="9235"/>
    <cellStyle name="Comma 2 3 14 4 2 2" xfId="9236"/>
    <cellStyle name="Comma 2 3 14 4 3" xfId="9237"/>
    <cellStyle name="Comma 2 3 14 4 4" xfId="9238"/>
    <cellStyle name="Comma 2 3 14 4 5" xfId="9239"/>
    <cellStyle name="Comma 2 3 14 5" xfId="9240"/>
    <cellStyle name="Comma 2 3 14 5 2" xfId="9241"/>
    <cellStyle name="Comma 2 3 14 5 3" xfId="9242"/>
    <cellStyle name="Comma 2 3 14 5 4" xfId="9243"/>
    <cellStyle name="Comma 2 3 14 6" xfId="9244"/>
    <cellStyle name="Comma 2 3 14 6 2" xfId="9245"/>
    <cellStyle name="Comma 2 3 14 7" xfId="9246"/>
    <cellStyle name="Comma 2 3 14 8" xfId="9247"/>
    <cellStyle name="Comma 2 3 14 9" xfId="9248"/>
    <cellStyle name="Comma 2 3 15" xfId="9249"/>
    <cellStyle name="Comma 2 3 15 10" xfId="9250"/>
    <cellStyle name="Comma 2 3 15 2" xfId="9251"/>
    <cellStyle name="Comma 2 3 15 2 2" xfId="9252"/>
    <cellStyle name="Comma 2 3 15 2 2 2" xfId="9253"/>
    <cellStyle name="Comma 2 3 15 2 2 3" xfId="9254"/>
    <cellStyle name="Comma 2 3 15 2 3" xfId="9255"/>
    <cellStyle name="Comma 2 3 15 2 4" xfId="9256"/>
    <cellStyle name="Comma 2 3 15 2 5" xfId="9257"/>
    <cellStyle name="Comma 2 3 15 2 6" xfId="9258"/>
    <cellStyle name="Comma 2 3 15 3" xfId="9259"/>
    <cellStyle name="Comma 2 3 15 3 2" xfId="9260"/>
    <cellStyle name="Comma 2 3 15 3 2 2" xfId="9261"/>
    <cellStyle name="Comma 2 3 15 3 2 3" xfId="9262"/>
    <cellStyle name="Comma 2 3 15 3 3" xfId="9263"/>
    <cellStyle name="Comma 2 3 15 3 4" xfId="9264"/>
    <cellStyle name="Comma 2 3 15 3 5" xfId="9265"/>
    <cellStyle name="Comma 2 3 15 3 6" xfId="9266"/>
    <cellStyle name="Comma 2 3 15 4" xfId="9267"/>
    <cellStyle name="Comma 2 3 15 4 2" xfId="9268"/>
    <cellStyle name="Comma 2 3 15 4 2 2" xfId="9269"/>
    <cellStyle name="Comma 2 3 15 4 3" xfId="9270"/>
    <cellStyle name="Comma 2 3 15 4 4" xfId="9271"/>
    <cellStyle name="Comma 2 3 15 4 5" xfId="9272"/>
    <cellStyle name="Comma 2 3 15 5" xfId="9273"/>
    <cellStyle name="Comma 2 3 15 5 2" xfId="9274"/>
    <cellStyle name="Comma 2 3 15 5 3" xfId="9275"/>
    <cellStyle name="Comma 2 3 15 5 4" xfId="9276"/>
    <cellStyle name="Comma 2 3 15 6" xfId="9277"/>
    <cellStyle name="Comma 2 3 15 6 2" xfId="9278"/>
    <cellStyle name="Comma 2 3 15 7" xfId="9279"/>
    <cellStyle name="Comma 2 3 15 8" xfId="9280"/>
    <cellStyle name="Comma 2 3 15 9" xfId="9281"/>
    <cellStyle name="Comma 2 3 16" xfId="9282"/>
    <cellStyle name="Comma 2 3 16 10" xfId="9283"/>
    <cellStyle name="Comma 2 3 16 2" xfId="9284"/>
    <cellStyle name="Comma 2 3 16 2 2" xfId="9285"/>
    <cellStyle name="Comma 2 3 16 2 2 2" xfId="9286"/>
    <cellStyle name="Comma 2 3 16 2 2 3" xfId="9287"/>
    <cellStyle name="Comma 2 3 16 2 3" xfId="9288"/>
    <cellStyle name="Comma 2 3 16 2 4" xfId="9289"/>
    <cellStyle name="Comma 2 3 16 2 5" xfId="9290"/>
    <cellStyle name="Comma 2 3 16 2 6" xfId="9291"/>
    <cellStyle name="Comma 2 3 16 3" xfId="9292"/>
    <cellStyle name="Comma 2 3 16 3 2" xfId="9293"/>
    <cellStyle name="Comma 2 3 16 3 2 2" xfId="9294"/>
    <cellStyle name="Comma 2 3 16 3 2 3" xfId="9295"/>
    <cellStyle name="Comma 2 3 16 3 3" xfId="9296"/>
    <cellStyle name="Comma 2 3 16 3 4" xfId="9297"/>
    <cellStyle name="Comma 2 3 16 3 5" xfId="9298"/>
    <cellStyle name="Comma 2 3 16 3 6" xfId="9299"/>
    <cellStyle name="Comma 2 3 16 4" xfId="9300"/>
    <cellStyle name="Comma 2 3 16 4 2" xfId="9301"/>
    <cellStyle name="Comma 2 3 16 4 2 2" xfId="9302"/>
    <cellStyle name="Comma 2 3 16 4 3" xfId="9303"/>
    <cellStyle name="Comma 2 3 16 4 4" xfId="9304"/>
    <cellStyle name="Comma 2 3 16 4 5" xfId="9305"/>
    <cellStyle name="Comma 2 3 16 5" xfId="9306"/>
    <cellStyle name="Comma 2 3 16 5 2" xfId="9307"/>
    <cellStyle name="Comma 2 3 16 5 3" xfId="9308"/>
    <cellStyle name="Comma 2 3 16 5 4" xfId="9309"/>
    <cellStyle name="Comma 2 3 16 6" xfId="9310"/>
    <cellStyle name="Comma 2 3 16 6 2" xfId="9311"/>
    <cellStyle name="Comma 2 3 16 7" xfId="9312"/>
    <cellStyle name="Comma 2 3 16 8" xfId="9313"/>
    <cellStyle name="Comma 2 3 16 9" xfId="9314"/>
    <cellStyle name="Comma 2 3 17" xfId="9315"/>
    <cellStyle name="Comma 2 3 17 10" xfId="9316"/>
    <cellStyle name="Comma 2 3 17 2" xfId="9317"/>
    <cellStyle name="Comma 2 3 17 2 2" xfId="9318"/>
    <cellStyle name="Comma 2 3 17 2 2 2" xfId="9319"/>
    <cellStyle name="Comma 2 3 17 2 2 3" xfId="9320"/>
    <cellStyle name="Comma 2 3 17 2 3" xfId="9321"/>
    <cellStyle name="Comma 2 3 17 2 4" xfId="9322"/>
    <cellStyle name="Comma 2 3 17 2 5" xfId="9323"/>
    <cellStyle name="Comma 2 3 17 2 6" xfId="9324"/>
    <cellStyle name="Comma 2 3 17 3" xfId="9325"/>
    <cellStyle name="Comma 2 3 17 3 2" xfId="9326"/>
    <cellStyle name="Comma 2 3 17 3 2 2" xfId="9327"/>
    <cellStyle name="Comma 2 3 17 3 2 3" xfId="9328"/>
    <cellStyle name="Comma 2 3 17 3 3" xfId="9329"/>
    <cellStyle name="Comma 2 3 17 3 4" xfId="9330"/>
    <cellStyle name="Comma 2 3 17 3 5" xfId="9331"/>
    <cellStyle name="Comma 2 3 17 3 6" xfId="9332"/>
    <cellStyle name="Comma 2 3 17 4" xfId="9333"/>
    <cellStyle name="Comma 2 3 17 4 2" xfId="9334"/>
    <cellStyle name="Comma 2 3 17 4 2 2" xfId="9335"/>
    <cellStyle name="Comma 2 3 17 4 3" xfId="9336"/>
    <cellStyle name="Comma 2 3 17 4 4" xfId="9337"/>
    <cellStyle name="Comma 2 3 17 4 5" xfId="9338"/>
    <cellStyle name="Comma 2 3 17 5" xfId="9339"/>
    <cellStyle name="Comma 2 3 17 5 2" xfId="9340"/>
    <cellStyle name="Comma 2 3 17 5 3" xfId="9341"/>
    <cellStyle name="Comma 2 3 17 5 4" xfId="9342"/>
    <cellStyle name="Comma 2 3 17 6" xfId="9343"/>
    <cellStyle name="Comma 2 3 17 6 2" xfId="9344"/>
    <cellStyle name="Comma 2 3 17 7" xfId="9345"/>
    <cellStyle name="Comma 2 3 17 8" xfId="9346"/>
    <cellStyle name="Comma 2 3 17 9" xfId="9347"/>
    <cellStyle name="Comma 2 3 18" xfId="9348"/>
    <cellStyle name="Comma 2 3 18 10" xfId="9349"/>
    <cellStyle name="Comma 2 3 18 2" xfId="9350"/>
    <cellStyle name="Comma 2 3 18 2 2" xfId="9351"/>
    <cellStyle name="Comma 2 3 18 2 2 2" xfId="9352"/>
    <cellStyle name="Comma 2 3 18 2 2 3" xfId="9353"/>
    <cellStyle name="Comma 2 3 18 2 3" xfId="9354"/>
    <cellStyle name="Comma 2 3 18 2 4" xfId="9355"/>
    <cellStyle name="Comma 2 3 18 2 5" xfId="9356"/>
    <cellStyle name="Comma 2 3 18 2 6" xfId="9357"/>
    <cellStyle name="Comma 2 3 18 3" xfId="9358"/>
    <cellStyle name="Comma 2 3 18 3 2" xfId="9359"/>
    <cellStyle name="Comma 2 3 18 3 2 2" xfId="9360"/>
    <cellStyle name="Comma 2 3 18 3 2 3" xfId="9361"/>
    <cellStyle name="Comma 2 3 18 3 3" xfId="9362"/>
    <cellStyle name="Comma 2 3 18 3 4" xfId="9363"/>
    <cellStyle name="Comma 2 3 18 3 5" xfId="9364"/>
    <cellStyle name="Comma 2 3 18 3 6" xfId="9365"/>
    <cellStyle name="Comma 2 3 18 4" xfId="9366"/>
    <cellStyle name="Comma 2 3 18 4 2" xfId="9367"/>
    <cellStyle name="Comma 2 3 18 4 2 2" xfId="9368"/>
    <cellStyle name="Comma 2 3 18 4 3" xfId="9369"/>
    <cellStyle name="Comma 2 3 18 4 4" xfId="9370"/>
    <cellStyle name="Comma 2 3 18 4 5" xfId="9371"/>
    <cellStyle name="Comma 2 3 18 5" xfId="9372"/>
    <cellStyle name="Comma 2 3 18 5 2" xfId="9373"/>
    <cellStyle name="Comma 2 3 18 5 3" xfId="9374"/>
    <cellStyle name="Comma 2 3 18 5 4" xfId="9375"/>
    <cellStyle name="Comma 2 3 18 6" xfId="9376"/>
    <cellStyle name="Comma 2 3 18 6 2" xfId="9377"/>
    <cellStyle name="Comma 2 3 18 7" xfId="9378"/>
    <cellStyle name="Comma 2 3 18 8" xfId="9379"/>
    <cellStyle name="Comma 2 3 18 9" xfId="9380"/>
    <cellStyle name="Comma 2 3 19" xfId="9381"/>
    <cellStyle name="Comma 2 3 19 10" xfId="9382"/>
    <cellStyle name="Comma 2 3 19 2" xfId="9383"/>
    <cellStyle name="Comma 2 3 19 2 2" xfId="9384"/>
    <cellStyle name="Comma 2 3 19 2 2 2" xfId="9385"/>
    <cellStyle name="Comma 2 3 19 2 2 3" xfId="9386"/>
    <cellStyle name="Comma 2 3 19 2 3" xfId="9387"/>
    <cellStyle name="Comma 2 3 19 2 4" xfId="9388"/>
    <cellStyle name="Comma 2 3 19 2 5" xfId="9389"/>
    <cellStyle name="Comma 2 3 19 2 6" xfId="9390"/>
    <cellStyle name="Comma 2 3 19 3" xfId="9391"/>
    <cellStyle name="Comma 2 3 19 3 2" xfId="9392"/>
    <cellStyle name="Comma 2 3 19 3 2 2" xfId="9393"/>
    <cellStyle name="Comma 2 3 19 3 2 3" xfId="9394"/>
    <cellStyle name="Comma 2 3 19 3 3" xfId="9395"/>
    <cellStyle name="Comma 2 3 19 3 4" xfId="9396"/>
    <cellStyle name="Comma 2 3 19 3 5" xfId="9397"/>
    <cellStyle name="Comma 2 3 19 3 6" xfId="9398"/>
    <cellStyle name="Comma 2 3 19 4" xfId="9399"/>
    <cellStyle name="Comma 2 3 19 4 2" xfId="9400"/>
    <cellStyle name="Comma 2 3 19 4 2 2" xfId="9401"/>
    <cellStyle name="Comma 2 3 19 4 3" xfId="9402"/>
    <cellStyle name="Comma 2 3 19 4 4" xfId="9403"/>
    <cellStyle name="Comma 2 3 19 4 5" xfId="9404"/>
    <cellStyle name="Comma 2 3 19 5" xfId="9405"/>
    <cellStyle name="Comma 2 3 19 5 2" xfId="9406"/>
    <cellStyle name="Comma 2 3 19 5 3" xfId="9407"/>
    <cellStyle name="Comma 2 3 19 5 4" xfId="9408"/>
    <cellStyle name="Comma 2 3 19 6" xfId="9409"/>
    <cellStyle name="Comma 2 3 19 6 2" xfId="9410"/>
    <cellStyle name="Comma 2 3 19 7" xfId="9411"/>
    <cellStyle name="Comma 2 3 19 8" xfId="9412"/>
    <cellStyle name="Comma 2 3 19 9" xfId="9413"/>
    <cellStyle name="Comma 2 3 2" xfId="9414"/>
    <cellStyle name="Comma 2 3 2 10" xfId="9415"/>
    <cellStyle name="Comma 2 3 2 10 10" xfId="9416"/>
    <cellStyle name="Comma 2 3 2 10 2" xfId="9417"/>
    <cellStyle name="Comma 2 3 2 10 2 2" xfId="9418"/>
    <cellStyle name="Comma 2 3 2 10 2 2 2" xfId="9419"/>
    <cellStyle name="Comma 2 3 2 10 2 2 3" xfId="9420"/>
    <cellStyle name="Comma 2 3 2 10 2 3" xfId="9421"/>
    <cellStyle name="Comma 2 3 2 10 2 4" xfId="9422"/>
    <cellStyle name="Comma 2 3 2 10 2 5" xfId="9423"/>
    <cellStyle name="Comma 2 3 2 10 2 6" xfId="9424"/>
    <cellStyle name="Comma 2 3 2 10 3" xfId="9425"/>
    <cellStyle name="Comma 2 3 2 10 3 2" xfId="9426"/>
    <cellStyle name="Comma 2 3 2 10 3 2 2" xfId="9427"/>
    <cellStyle name="Comma 2 3 2 10 3 2 3" xfId="9428"/>
    <cellStyle name="Comma 2 3 2 10 3 3" xfId="9429"/>
    <cellStyle name="Comma 2 3 2 10 3 4" xfId="9430"/>
    <cellStyle name="Comma 2 3 2 10 3 5" xfId="9431"/>
    <cellStyle name="Comma 2 3 2 10 3 6" xfId="9432"/>
    <cellStyle name="Comma 2 3 2 10 4" xfId="9433"/>
    <cellStyle name="Comma 2 3 2 10 4 2" xfId="9434"/>
    <cellStyle name="Comma 2 3 2 10 4 2 2" xfId="9435"/>
    <cellStyle name="Comma 2 3 2 10 4 3" xfId="9436"/>
    <cellStyle name="Comma 2 3 2 10 4 4" xfId="9437"/>
    <cellStyle name="Comma 2 3 2 10 4 5" xfId="9438"/>
    <cellStyle name="Comma 2 3 2 10 5" xfId="9439"/>
    <cellStyle name="Comma 2 3 2 10 5 2" xfId="9440"/>
    <cellStyle name="Comma 2 3 2 10 5 3" xfId="9441"/>
    <cellStyle name="Comma 2 3 2 10 5 4" xfId="9442"/>
    <cellStyle name="Comma 2 3 2 10 6" xfId="9443"/>
    <cellStyle name="Comma 2 3 2 10 6 2" xfId="9444"/>
    <cellStyle name="Comma 2 3 2 10 7" xfId="9445"/>
    <cellStyle name="Comma 2 3 2 10 8" xfId="9446"/>
    <cellStyle name="Comma 2 3 2 10 9" xfId="9447"/>
    <cellStyle name="Comma 2 3 2 11" xfId="9448"/>
    <cellStyle name="Comma 2 3 2 11 10" xfId="9449"/>
    <cellStyle name="Comma 2 3 2 11 2" xfId="9450"/>
    <cellStyle name="Comma 2 3 2 11 2 2" xfId="9451"/>
    <cellStyle name="Comma 2 3 2 11 2 2 2" xfId="9452"/>
    <cellStyle name="Comma 2 3 2 11 2 2 3" xfId="9453"/>
    <cellStyle name="Comma 2 3 2 11 2 3" xfId="9454"/>
    <cellStyle name="Comma 2 3 2 11 2 4" xfId="9455"/>
    <cellStyle name="Comma 2 3 2 11 2 5" xfId="9456"/>
    <cellStyle name="Comma 2 3 2 11 2 6" xfId="9457"/>
    <cellStyle name="Comma 2 3 2 11 3" xfId="9458"/>
    <cellStyle name="Comma 2 3 2 11 3 2" xfId="9459"/>
    <cellStyle name="Comma 2 3 2 11 3 2 2" xfId="9460"/>
    <cellStyle name="Comma 2 3 2 11 3 2 3" xfId="9461"/>
    <cellStyle name="Comma 2 3 2 11 3 3" xfId="9462"/>
    <cellStyle name="Comma 2 3 2 11 3 4" xfId="9463"/>
    <cellStyle name="Comma 2 3 2 11 3 5" xfId="9464"/>
    <cellStyle name="Comma 2 3 2 11 3 6" xfId="9465"/>
    <cellStyle name="Comma 2 3 2 11 4" xfId="9466"/>
    <cellStyle name="Comma 2 3 2 11 4 2" xfId="9467"/>
    <cellStyle name="Comma 2 3 2 11 4 2 2" xfId="9468"/>
    <cellStyle name="Comma 2 3 2 11 4 3" xfId="9469"/>
    <cellStyle name="Comma 2 3 2 11 4 4" xfId="9470"/>
    <cellStyle name="Comma 2 3 2 11 4 5" xfId="9471"/>
    <cellStyle name="Comma 2 3 2 11 5" xfId="9472"/>
    <cellStyle name="Comma 2 3 2 11 5 2" xfId="9473"/>
    <cellStyle name="Comma 2 3 2 11 5 3" xfId="9474"/>
    <cellStyle name="Comma 2 3 2 11 5 4" xfId="9475"/>
    <cellStyle name="Comma 2 3 2 11 6" xfId="9476"/>
    <cellStyle name="Comma 2 3 2 11 6 2" xfId="9477"/>
    <cellStyle name="Comma 2 3 2 11 7" xfId="9478"/>
    <cellStyle name="Comma 2 3 2 11 8" xfId="9479"/>
    <cellStyle name="Comma 2 3 2 11 9" xfId="9480"/>
    <cellStyle name="Comma 2 3 2 12" xfId="9481"/>
    <cellStyle name="Comma 2 3 2 12 10" xfId="9482"/>
    <cellStyle name="Comma 2 3 2 12 2" xfId="9483"/>
    <cellStyle name="Comma 2 3 2 12 2 2" xfId="9484"/>
    <cellStyle name="Comma 2 3 2 12 2 2 2" xfId="9485"/>
    <cellStyle name="Comma 2 3 2 12 2 2 3" xfId="9486"/>
    <cellStyle name="Comma 2 3 2 12 2 3" xfId="9487"/>
    <cellStyle name="Comma 2 3 2 12 2 4" xfId="9488"/>
    <cellStyle name="Comma 2 3 2 12 2 5" xfId="9489"/>
    <cellStyle name="Comma 2 3 2 12 2 6" xfId="9490"/>
    <cellStyle name="Comma 2 3 2 12 3" xfId="9491"/>
    <cellStyle name="Comma 2 3 2 12 3 2" xfId="9492"/>
    <cellStyle name="Comma 2 3 2 12 3 2 2" xfId="9493"/>
    <cellStyle name="Comma 2 3 2 12 3 2 3" xfId="9494"/>
    <cellStyle name="Comma 2 3 2 12 3 3" xfId="9495"/>
    <cellStyle name="Comma 2 3 2 12 3 4" xfId="9496"/>
    <cellStyle name="Comma 2 3 2 12 3 5" xfId="9497"/>
    <cellStyle name="Comma 2 3 2 12 3 6" xfId="9498"/>
    <cellStyle name="Comma 2 3 2 12 4" xfId="9499"/>
    <cellStyle name="Comma 2 3 2 12 4 2" xfId="9500"/>
    <cellStyle name="Comma 2 3 2 12 4 2 2" xfId="9501"/>
    <cellStyle name="Comma 2 3 2 12 4 3" xfId="9502"/>
    <cellStyle name="Comma 2 3 2 12 4 4" xfId="9503"/>
    <cellStyle name="Comma 2 3 2 12 4 5" xfId="9504"/>
    <cellStyle name="Comma 2 3 2 12 5" xfId="9505"/>
    <cellStyle name="Comma 2 3 2 12 5 2" xfId="9506"/>
    <cellStyle name="Comma 2 3 2 12 5 3" xfId="9507"/>
    <cellStyle name="Comma 2 3 2 12 5 4" xfId="9508"/>
    <cellStyle name="Comma 2 3 2 12 6" xfId="9509"/>
    <cellStyle name="Comma 2 3 2 12 6 2" xfId="9510"/>
    <cellStyle name="Comma 2 3 2 12 7" xfId="9511"/>
    <cellStyle name="Comma 2 3 2 12 8" xfId="9512"/>
    <cellStyle name="Comma 2 3 2 12 9" xfId="9513"/>
    <cellStyle name="Comma 2 3 2 13" xfId="9514"/>
    <cellStyle name="Comma 2 3 2 13 2" xfId="9515"/>
    <cellStyle name="Comma 2 3 2 13 2 2" xfId="9516"/>
    <cellStyle name="Comma 2 3 2 13 2 2 2" xfId="9517"/>
    <cellStyle name="Comma 2 3 2 13 2 2 3" xfId="9518"/>
    <cellStyle name="Comma 2 3 2 13 2 3" xfId="9519"/>
    <cellStyle name="Comma 2 3 2 13 2 4" xfId="9520"/>
    <cellStyle name="Comma 2 3 2 13 2 5" xfId="9521"/>
    <cellStyle name="Comma 2 3 2 13 2 6" xfId="9522"/>
    <cellStyle name="Comma 2 3 2 13 3" xfId="9523"/>
    <cellStyle name="Comma 2 3 2 13 3 2" xfId="9524"/>
    <cellStyle name="Comma 2 3 2 13 3 2 2" xfId="9525"/>
    <cellStyle name="Comma 2 3 2 13 3 3" xfId="9526"/>
    <cellStyle name="Comma 2 3 2 13 3 4" xfId="9527"/>
    <cellStyle name="Comma 2 3 2 13 3 5" xfId="9528"/>
    <cellStyle name="Comma 2 3 2 13 4" xfId="9529"/>
    <cellStyle name="Comma 2 3 2 13 4 2" xfId="9530"/>
    <cellStyle name="Comma 2 3 2 13 4 3" xfId="9531"/>
    <cellStyle name="Comma 2 3 2 13 4 4" xfId="9532"/>
    <cellStyle name="Comma 2 3 2 13 5" xfId="9533"/>
    <cellStyle name="Comma 2 3 2 13 5 2" xfId="9534"/>
    <cellStyle name="Comma 2 3 2 13 6" xfId="9535"/>
    <cellStyle name="Comma 2 3 2 13 7" xfId="9536"/>
    <cellStyle name="Comma 2 3 2 13 8" xfId="9537"/>
    <cellStyle name="Comma 2 3 2 13 9" xfId="9538"/>
    <cellStyle name="Comma 2 3 2 14" xfId="9539"/>
    <cellStyle name="Comma 2 3 2 14 2" xfId="9540"/>
    <cellStyle name="Comma 2 3 2 14 2 2" xfId="9541"/>
    <cellStyle name="Comma 2 3 2 14 2 2 2" xfId="9542"/>
    <cellStyle name="Comma 2 3 2 14 2 2 3" xfId="9543"/>
    <cellStyle name="Comma 2 3 2 14 2 3" xfId="9544"/>
    <cellStyle name="Comma 2 3 2 14 2 4" xfId="9545"/>
    <cellStyle name="Comma 2 3 2 14 2 5" xfId="9546"/>
    <cellStyle name="Comma 2 3 2 14 2 6" xfId="9547"/>
    <cellStyle name="Comma 2 3 2 14 3" xfId="9548"/>
    <cellStyle name="Comma 2 3 2 14 3 2" xfId="9549"/>
    <cellStyle name="Comma 2 3 2 14 3 2 2" xfId="9550"/>
    <cellStyle name="Comma 2 3 2 14 3 3" xfId="9551"/>
    <cellStyle name="Comma 2 3 2 14 3 4" xfId="9552"/>
    <cellStyle name="Comma 2 3 2 14 3 5" xfId="9553"/>
    <cellStyle name="Comma 2 3 2 14 4" xfId="9554"/>
    <cellStyle name="Comma 2 3 2 14 4 2" xfId="9555"/>
    <cellStyle name="Comma 2 3 2 14 4 3" xfId="9556"/>
    <cellStyle name="Comma 2 3 2 14 4 4" xfId="9557"/>
    <cellStyle name="Comma 2 3 2 14 5" xfId="9558"/>
    <cellStyle name="Comma 2 3 2 14 5 2" xfId="9559"/>
    <cellStyle name="Comma 2 3 2 14 6" xfId="9560"/>
    <cellStyle name="Comma 2 3 2 14 7" xfId="9561"/>
    <cellStyle name="Comma 2 3 2 14 8" xfId="9562"/>
    <cellStyle name="Comma 2 3 2 14 9" xfId="9563"/>
    <cellStyle name="Comma 2 3 2 15" xfId="9564"/>
    <cellStyle name="Comma 2 3 2 15 2" xfId="9565"/>
    <cellStyle name="Comma 2 3 2 15 2 2" xfId="9566"/>
    <cellStyle name="Comma 2 3 2 15 2 3" xfId="9567"/>
    <cellStyle name="Comma 2 3 2 15 3" xfId="9568"/>
    <cellStyle name="Comma 2 3 2 15 4" xfId="9569"/>
    <cellStyle name="Comma 2 3 2 15 5" xfId="9570"/>
    <cellStyle name="Comma 2 3 2 15 6" xfId="9571"/>
    <cellStyle name="Comma 2 3 2 16" xfId="9572"/>
    <cellStyle name="Comma 2 3 2 16 2" xfId="9573"/>
    <cellStyle name="Comma 2 3 2 16 2 2" xfId="9574"/>
    <cellStyle name="Comma 2 3 2 16 3" xfId="9575"/>
    <cellStyle name="Comma 2 3 2 16 4" xfId="9576"/>
    <cellStyle name="Comma 2 3 2 16 5" xfId="9577"/>
    <cellStyle name="Comma 2 3 2 17" xfId="9578"/>
    <cellStyle name="Comma 2 3 2 17 2" xfId="9579"/>
    <cellStyle name="Comma 2 3 2 17 2 2" xfId="9580"/>
    <cellStyle name="Comma 2 3 2 17 3" xfId="9581"/>
    <cellStyle name="Comma 2 3 2 17 4" xfId="9582"/>
    <cellStyle name="Comma 2 3 2 17 5" xfId="9583"/>
    <cellStyle name="Comma 2 3 2 18" xfId="9584"/>
    <cellStyle name="Comma 2 3 2 18 2" xfId="9585"/>
    <cellStyle name="Comma 2 3 2 19" xfId="9586"/>
    <cellStyle name="Comma 2 3 2 2" xfId="9587"/>
    <cellStyle name="Comma 2 3 2 2 10" xfId="9588"/>
    <cellStyle name="Comma 2 3 2 2 11" xfId="9589"/>
    <cellStyle name="Comma 2 3 2 2 2" xfId="9590"/>
    <cellStyle name="Comma 2 3 2 2 2 2" xfId="9591"/>
    <cellStyle name="Comma 2 3 2 2 2 2 2" xfId="9592"/>
    <cellStyle name="Comma 2 3 2 2 2 2 2 2" xfId="9593"/>
    <cellStyle name="Comma 2 3 2 2 2 2 2 3" xfId="9594"/>
    <cellStyle name="Comma 2 3 2 2 2 2 3" xfId="9595"/>
    <cellStyle name="Comma 2 3 2 2 2 2 4" xfId="9596"/>
    <cellStyle name="Comma 2 3 2 2 2 2 5" xfId="9597"/>
    <cellStyle name="Comma 2 3 2 2 2 2 6" xfId="9598"/>
    <cellStyle name="Comma 2 3 2 2 2 3" xfId="9599"/>
    <cellStyle name="Comma 2 3 2 2 2 3 2" xfId="9600"/>
    <cellStyle name="Comma 2 3 2 2 2 3 2 2" xfId="9601"/>
    <cellStyle name="Comma 2 3 2 2 2 3 3" xfId="9602"/>
    <cellStyle name="Comma 2 3 2 2 2 3 4" xfId="9603"/>
    <cellStyle name="Comma 2 3 2 2 2 3 5" xfId="9604"/>
    <cellStyle name="Comma 2 3 2 2 2 4" xfId="9605"/>
    <cellStyle name="Comma 2 3 2 2 2 4 2" xfId="9606"/>
    <cellStyle name="Comma 2 3 2 2 2 4 3" xfId="9607"/>
    <cellStyle name="Comma 2 3 2 2 2 4 4" xfId="9608"/>
    <cellStyle name="Comma 2 3 2 2 2 5" xfId="9609"/>
    <cellStyle name="Comma 2 3 2 2 2 5 2" xfId="9610"/>
    <cellStyle name="Comma 2 3 2 2 2 6" xfId="9611"/>
    <cellStyle name="Comma 2 3 2 2 2 7" xfId="9612"/>
    <cellStyle name="Comma 2 3 2 2 2 8" xfId="9613"/>
    <cellStyle name="Comma 2 3 2 2 2 9" xfId="9614"/>
    <cellStyle name="Comma 2 3 2 2 3" xfId="9615"/>
    <cellStyle name="Comma 2 3 2 2 3 2" xfId="9616"/>
    <cellStyle name="Comma 2 3 2 2 3 2 2" xfId="9617"/>
    <cellStyle name="Comma 2 3 2 2 3 2 2 2" xfId="9618"/>
    <cellStyle name="Comma 2 3 2 2 3 2 2 3" xfId="9619"/>
    <cellStyle name="Comma 2 3 2 2 3 2 3" xfId="9620"/>
    <cellStyle name="Comma 2 3 2 2 3 2 4" xfId="9621"/>
    <cellStyle name="Comma 2 3 2 2 3 2 5" xfId="9622"/>
    <cellStyle name="Comma 2 3 2 2 3 2 6" xfId="9623"/>
    <cellStyle name="Comma 2 3 2 2 3 3" xfId="9624"/>
    <cellStyle name="Comma 2 3 2 2 3 3 2" xfId="9625"/>
    <cellStyle name="Comma 2 3 2 2 3 3 2 2" xfId="9626"/>
    <cellStyle name="Comma 2 3 2 2 3 3 3" xfId="9627"/>
    <cellStyle name="Comma 2 3 2 2 3 3 4" xfId="9628"/>
    <cellStyle name="Comma 2 3 2 2 3 3 5" xfId="9629"/>
    <cellStyle name="Comma 2 3 2 2 3 4" xfId="9630"/>
    <cellStyle name="Comma 2 3 2 2 3 4 2" xfId="9631"/>
    <cellStyle name="Comma 2 3 2 2 3 4 3" xfId="9632"/>
    <cellStyle name="Comma 2 3 2 2 3 4 4" xfId="9633"/>
    <cellStyle name="Comma 2 3 2 2 3 5" xfId="9634"/>
    <cellStyle name="Comma 2 3 2 2 3 5 2" xfId="9635"/>
    <cellStyle name="Comma 2 3 2 2 3 6" xfId="9636"/>
    <cellStyle name="Comma 2 3 2 2 3 7" xfId="9637"/>
    <cellStyle name="Comma 2 3 2 2 3 8" xfId="9638"/>
    <cellStyle name="Comma 2 3 2 2 3 9" xfId="9639"/>
    <cellStyle name="Comma 2 3 2 2 4" xfId="9640"/>
    <cellStyle name="Comma 2 3 2 2 4 2" xfId="9641"/>
    <cellStyle name="Comma 2 3 2 2 4 2 2" xfId="9642"/>
    <cellStyle name="Comma 2 3 2 2 4 2 3" xfId="9643"/>
    <cellStyle name="Comma 2 3 2 2 4 3" xfId="9644"/>
    <cellStyle name="Comma 2 3 2 2 4 4" xfId="9645"/>
    <cellStyle name="Comma 2 3 2 2 4 5" xfId="9646"/>
    <cellStyle name="Comma 2 3 2 2 4 6" xfId="9647"/>
    <cellStyle name="Comma 2 3 2 2 5" xfId="9648"/>
    <cellStyle name="Comma 2 3 2 2 5 2" xfId="9649"/>
    <cellStyle name="Comma 2 3 2 2 5 2 2" xfId="9650"/>
    <cellStyle name="Comma 2 3 2 2 5 3" xfId="9651"/>
    <cellStyle name="Comma 2 3 2 2 5 4" xfId="9652"/>
    <cellStyle name="Comma 2 3 2 2 5 5" xfId="9653"/>
    <cellStyle name="Comma 2 3 2 2 6" xfId="9654"/>
    <cellStyle name="Comma 2 3 2 2 6 2" xfId="9655"/>
    <cellStyle name="Comma 2 3 2 2 6 3" xfId="9656"/>
    <cellStyle name="Comma 2 3 2 2 6 4" xfId="9657"/>
    <cellStyle name="Comma 2 3 2 2 7" xfId="9658"/>
    <cellStyle name="Comma 2 3 2 2 7 2" xfId="9659"/>
    <cellStyle name="Comma 2 3 2 2 8" xfId="9660"/>
    <cellStyle name="Comma 2 3 2 2 9" xfId="9661"/>
    <cellStyle name="Comma 2 3 2 20" xfId="9662"/>
    <cellStyle name="Comma 2 3 2 21" xfId="9663"/>
    <cellStyle name="Comma 2 3 2 22" xfId="9664"/>
    <cellStyle name="Comma 2 3 2 3" xfId="9665"/>
    <cellStyle name="Comma 2 3 2 3 10" xfId="9666"/>
    <cellStyle name="Comma 2 3 2 3 11" xfId="9667"/>
    <cellStyle name="Comma 2 3 2 3 2" xfId="9668"/>
    <cellStyle name="Comma 2 3 2 3 2 2" xfId="9669"/>
    <cellStyle name="Comma 2 3 2 3 2 2 2" xfId="9670"/>
    <cellStyle name="Comma 2 3 2 3 2 2 2 2" xfId="9671"/>
    <cellStyle name="Comma 2 3 2 3 2 2 2 3" xfId="9672"/>
    <cellStyle name="Comma 2 3 2 3 2 2 3" xfId="9673"/>
    <cellStyle name="Comma 2 3 2 3 2 2 4" xfId="9674"/>
    <cellStyle name="Comma 2 3 2 3 2 2 5" xfId="9675"/>
    <cellStyle name="Comma 2 3 2 3 2 2 6" xfId="9676"/>
    <cellStyle name="Comma 2 3 2 3 2 3" xfId="9677"/>
    <cellStyle name="Comma 2 3 2 3 2 3 2" xfId="9678"/>
    <cellStyle name="Comma 2 3 2 3 2 3 2 2" xfId="9679"/>
    <cellStyle name="Comma 2 3 2 3 2 3 3" xfId="9680"/>
    <cellStyle name="Comma 2 3 2 3 2 3 4" xfId="9681"/>
    <cellStyle name="Comma 2 3 2 3 2 3 5" xfId="9682"/>
    <cellStyle name="Comma 2 3 2 3 2 4" xfId="9683"/>
    <cellStyle name="Comma 2 3 2 3 2 4 2" xfId="9684"/>
    <cellStyle name="Comma 2 3 2 3 2 4 3" xfId="9685"/>
    <cellStyle name="Comma 2 3 2 3 2 4 4" xfId="9686"/>
    <cellStyle name="Comma 2 3 2 3 2 5" xfId="9687"/>
    <cellStyle name="Comma 2 3 2 3 2 5 2" xfId="9688"/>
    <cellStyle name="Comma 2 3 2 3 2 6" xfId="9689"/>
    <cellStyle name="Comma 2 3 2 3 2 7" xfId="9690"/>
    <cellStyle name="Comma 2 3 2 3 2 8" xfId="9691"/>
    <cellStyle name="Comma 2 3 2 3 2 9" xfId="9692"/>
    <cellStyle name="Comma 2 3 2 3 3" xfId="9693"/>
    <cellStyle name="Comma 2 3 2 3 3 2" xfId="9694"/>
    <cellStyle name="Comma 2 3 2 3 3 2 2" xfId="9695"/>
    <cellStyle name="Comma 2 3 2 3 3 2 2 2" xfId="9696"/>
    <cellStyle name="Comma 2 3 2 3 3 2 2 3" xfId="9697"/>
    <cellStyle name="Comma 2 3 2 3 3 2 3" xfId="9698"/>
    <cellStyle name="Comma 2 3 2 3 3 2 4" xfId="9699"/>
    <cellStyle name="Comma 2 3 2 3 3 2 5" xfId="9700"/>
    <cellStyle name="Comma 2 3 2 3 3 2 6" xfId="9701"/>
    <cellStyle name="Comma 2 3 2 3 3 3" xfId="9702"/>
    <cellStyle name="Comma 2 3 2 3 3 3 2" xfId="9703"/>
    <cellStyle name="Comma 2 3 2 3 3 3 2 2" xfId="9704"/>
    <cellStyle name="Comma 2 3 2 3 3 3 3" xfId="9705"/>
    <cellStyle name="Comma 2 3 2 3 3 3 4" xfId="9706"/>
    <cellStyle name="Comma 2 3 2 3 3 3 5" xfId="9707"/>
    <cellStyle name="Comma 2 3 2 3 3 4" xfId="9708"/>
    <cellStyle name="Comma 2 3 2 3 3 4 2" xfId="9709"/>
    <cellStyle name="Comma 2 3 2 3 3 4 3" xfId="9710"/>
    <cellStyle name="Comma 2 3 2 3 3 4 4" xfId="9711"/>
    <cellStyle name="Comma 2 3 2 3 3 5" xfId="9712"/>
    <cellStyle name="Comma 2 3 2 3 3 5 2" xfId="9713"/>
    <cellStyle name="Comma 2 3 2 3 3 6" xfId="9714"/>
    <cellStyle name="Comma 2 3 2 3 3 7" xfId="9715"/>
    <cellStyle name="Comma 2 3 2 3 3 8" xfId="9716"/>
    <cellStyle name="Comma 2 3 2 3 3 9" xfId="9717"/>
    <cellStyle name="Comma 2 3 2 3 4" xfId="9718"/>
    <cellStyle name="Comma 2 3 2 3 4 2" xfId="9719"/>
    <cellStyle name="Comma 2 3 2 3 4 2 2" xfId="9720"/>
    <cellStyle name="Comma 2 3 2 3 4 2 3" xfId="9721"/>
    <cellStyle name="Comma 2 3 2 3 4 3" xfId="9722"/>
    <cellStyle name="Comma 2 3 2 3 4 4" xfId="9723"/>
    <cellStyle name="Comma 2 3 2 3 4 5" xfId="9724"/>
    <cellStyle name="Comma 2 3 2 3 4 6" xfId="9725"/>
    <cellStyle name="Comma 2 3 2 3 5" xfId="9726"/>
    <cellStyle name="Comma 2 3 2 3 5 2" xfId="9727"/>
    <cellStyle name="Comma 2 3 2 3 5 2 2" xfId="9728"/>
    <cellStyle name="Comma 2 3 2 3 5 3" xfId="9729"/>
    <cellStyle name="Comma 2 3 2 3 5 4" xfId="9730"/>
    <cellStyle name="Comma 2 3 2 3 5 5" xfId="9731"/>
    <cellStyle name="Comma 2 3 2 3 6" xfId="9732"/>
    <cellStyle name="Comma 2 3 2 3 6 2" xfId="9733"/>
    <cellStyle name="Comma 2 3 2 3 6 3" xfId="9734"/>
    <cellStyle name="Comma 2 3 2 3 6 4" xfId="9735"/>
    <cellStyle name="Comma 2 3 2 3 7" xfId="9736"/>
    <cellStyle name="Comma 2 3 2 3 7 2" xfId="9737"/>
    <cellStyle name="Comma 2 3 2 3 8" xfId="9738"/>
    <cellStyle name="Comma 2 3 2 3 9" xfId="9739"/>
    <cellStyle name="Comma 2 3 2 4" xfId="9740"/>
    <cellStyle name="Comma 2 3 2 4 10" xfId="9741"/>
    <cellStyle name="Comma 2 3 2 4 11" xfId="9742"/>
    <cellStyle name="Comma 2 3 2 4 2" xfId="9743"/>
    <cellStyle name="Comma 2 3 2 4 2 2" xfId="9744"/>
    <cellStyle name="Comma 2 3 2 4 2 2 2" xfId="9745"/>
    <cellStyle name="Comma 2 3 2 4 2 2 2 2" xfId="9746"/>
    <cellStyle name="Comma 2 3 2 4 2 2 2 3" xfId="9747"/>
    <cellStyle name="Comma 2 3 2 4 2 2 3" xfId="9748"/>
    <cellStyle name="Comma 2 3 2 4 2 2 4" xfId="9749"/>
    <cellStyle name="Comma 2 3 2 4 2 2 5" xfId="9750"/>
    <cellStyle name="Comma 2 3 2 4 2 2 6" xfId="9751"/>
    <cellStyle name="Comma 2 3 2 4 2 3" xfId="9752"/>
    <cellStyle name="Comma 2 3 2 4 2 3 2" xfId="9753"/>
    <cellStyle name="Comma 2 3 2 4 2 3 2 2" xfId="9754"/>
    <cellStyle name="Comma 2 3 2 4 2 3 3" xfId="9755"/>
    <cellStyle name="Comma 2 3 2 4 2 3 4" xfId="9756"/>
    <cellStyle name="Comma 2 3 2 4 2 3 5" xfId="9757"/>
    <cellStyle name="Comma 2 3 2 4 2 4" xfId="9758"/>
    <cellStyle name="Comma 2 3 2 4 2 4 2" xfId="9759"/>
    <cellStyle name="Comma 2 3 2 4 2 4 3" xfId="9760"/>
    <cellStyle name="Comma 2 3 2 4 2 4 4" xfId="9761"/>
    <cellStyle name="Comma 2 3 2 4 2 5" xfId="9762"/>
    <cellStyle name="Comma 2 3 2 4 2 5 2" xfId="9763"/>
    <cellStyle name="Comma 2 3 2 4 2 6" xfId="9764"/>
    <cellStyle name="Comma 2 3 2 4 2 7" xfId="9765"/>
    <cellStyle name="Comma 2 3 2 4 2 8" xfId="9766"/>
    <cellStyle name="Comma 2 3 2 4 2 9" xfId="9767"/>
    <cellStyle name="Comma 2 3 2 4 3" xfId="9768"/>
    <cellStyle name="Comma 2 3 2 4 3 2" xfId="9769"/>
    <cellStyle name="Comma 2 3 2 4 3 2 2" xfId="9770"/>
    <cellStyle name="Comma 2 3 2 4 3 2 2 2" xfId="9771"/>
    <cellStyle name="Comma 2 3 2 4 3 2 2 3" xfId="9772"/>
    <cellStyle name="Comma 2 3 2 4 3 2 3" xfId="9773"/>
    <cellStyle name="Comma 2 3 2 4 3 2 4" xfId="9774"/>
    <cellStyle name="Comma 2 3 2 4 3 2 5" xfId="9775"/>
    <cellStyle name="Comma 2 3 2 4 3 2 6" xfId="9776"/>
    <cellStyle name="Comma 2 3 2 4 3 3" xfId="9777"/>
    <cellStyle name="Comma 2 3 2 4 3 3 2" xfId="9778"/>
    <cellStyle name="Comma 2 3 2 4 3 3 2 2" xfId="9779"/>
    <cellStyle name="Comma 2 3 2 4 3 3 3" xfId="9780"/>
    <cellStyle name="Comma 2 3 2 4 3 3 4" xfId="9781"/>
    <cellStyle name="Comma 2 3 2 4 3 3 5" xfId="9782"/>
    <cellStyle name="Comma 2 3 2 4 3 4" xfId="9783"/>
    <cellStyle name="Comma 2 3 2 4 3 4 2" xfId="9784"/>
    <cellStyle name="Comma 2 3 2 4 3 4 3" xfId="9785"/>
    <cellStyle name="Comma 2 3 2 4 3 4 4" xfId="9786"/>
    <cellStyle name="Comma 2 3 2 4 3 5" xfId="9787"/>
    <cellStyle name="Comma 2 3 2 4 3 5 2" xfId="9788"/>
    <cellStyle name="Comma 2 3 2 4 3 6" xfId="9789"/>
    <cellStyle name="Comma 2 3 2 4 3 7" xfId="9790"/>
    <cellStyle name="Comma 2 3 2 4 3 8" xfId="9791"/>
    <cellStyle name="Comma 2 3 2 4 3 9" xfId="9792"/>
    <cellStyle name="Comma 2 3 2 4 4" xfId="9793"/>
    <cellStyle name="Comma 2 3 2 4 4 2" xfId="9794"/>
    <cellStyle name="Comma 2 3 2 4 4 2 2" xfId="9795"/>
    <cellStyle name="Comma 2 3 2 4 4 2 3" xfId="9796"/>
    <cellStyle name="Comma 2 3 2 4 4 3" xfId="9797"/>
    <cellStyle name="Comma 2 3 2 4 4 4" xfId="9798"/>
    <cellStyle name="Comma 2 3 2 4 4 5" xfId="9799"/>
    <cellStyle name="Comma 2 3 2 4 4 6" xfId="9800"/>
    <cellStyle name="Comma 2 3 2 4 5" xfId="9801"/>
    <cellStyle name="Comma 2 3 2 4 5 2" xfId="9802"/>
    <cellStyle name="Comma 2 3 2 4 5 2 2" xfId="9803"/>
    <cellStyle name="Comma 2 3 2 4 5 3" xfId="9804"/>
    <cellStyle name="Comma 2 3 2 4 5 4" xfId="9805"/>
    <cellStyle name="Comma 2 3 2 4 5 5" xfId="9806"/>
    <cellStyle name="Comma 2 3 2 4 6" xfId="9807"/>
    <cellStyle name="Comma 2 3 2 4 6 2" xfId="9808"/>
    <cellStyle name="Comma 2 3 2 4 6 3" xfId="9809"/>
    <cellStyle name="Comma 2 3 2 4 6 4" xfId="9810"/>
    <cellStyle name="Comma 2 3 2 4 7" xfId="9811"/>
    <cellStyle name="Comma 2 3 2 4 7 2" xfId="9812"/>
    <cellStyle name="Comma 2 3 2 4 8" xfId="9813"/>
    <cellStyle name="Comma 2 3 2 4 9" xfId="9814"/>
    <cellStyle name="Comma 2 3 2 5" xfId="9815"/>
    <cellStyle name="Comma 2 3 2 5 10" xfId="9816"/>
    <cellStyle name="Comma 2 3 2 5 11" xfId="9817"/>
    <cellStyle name="Comma 2 3 2 5 2" xfId="9818"/>
    <cellStyle name="Comma 2 3 2 5 2 2" xfId="9819"/>
    <cellStyle name="Comma 2 3 2 5 2 2 2" xfId="9820"/>
    <cellStyle name="Comma 2 3 2 5 2 2 2 2" xfId="9821"/>
    <cellStyle name="Comma 2 3 2 5 2 2 2 3" xfId="9822"/>
    <cellStyle name="Comma 2 3 2 5 2 2 3" xfId="9823"/>
    <cellStyle name="Comma 2 3 2 5 2 2 4" xfId="9824"/>
    <cellStyle name="Comma 2 3 2 5 2 2 5" xfId="9825"/>
    <cellStyle name="Comma 2 3 2 5 2 2 6" xfId="9826"/>
    <cellStyle name="Comma 2 3 2 5 2 3" xfId="9827"/>
    <cellStyle name="Comma 2 3 2 5 2 3 2" xfId="9828"/>
    <cellStyle name="Comma 2 3 2 5 2 3 2 2" xfId="9829"/>
    <cellStyle name="Comma 2 3 2 5 2 3 3" xfId="9830"/>
    <cellStyle name="Comma 2 3 2 5 2 3 4" xfId="9831"/>
    <cellStyle name="Comma 2 3 2 5 2 3 5" xfId="9832"/>
    <cellStyle name="Comma 2 3 2 5 2 4" xfId="9833"/>
    <cellStyle name="Comma 2 3 2 5 2 4 2" xfId="9834"/>
    <cellStyle name="Comma 2 3 2 5 2 4 3" xfId="9835"/>
    <cellStyle name="Comma 2 3 2 5 2 4 4" xfId="9836"/>
    <cellStyle name="Comma 2 3 2 5 2 5" xfId="9837"/>
    <cellStyle name="Comma 2 3 2 5 2 5 2" xfId="9838"/>
    <cellStyle name="Comma 2 3 2 5 2 6" xfId="9839"/>
    <cellStyle name="Comma 2 3 2 5 2 7" xfId="9840"/>
    <cellStyle name="Comma 2 3 2 5 2 8" xfId="9841"/>
    <cellStyle name="Comma 2 3 2 5 2 9" xfId="9842"/>
    <cellStyle name="Comma 2 3 2 5 3" xfId="9843"/>
    <cellStyle name="Comma 2 3 2 5 3 2" xfId="9844"/>
    <cellStyle name="Comma 2 3 2 5 3 2 2" xfId="9845"/>
    <cellStyle name="Comma 2 3 2 5 3 2 2 2" xfId="9846"/>
    <cellStyle name="Comma 2 3 2 5 3 2 2 3" xfId="9847"/>
    <cellStyle name="Comma 2 3 2 5 3 2 3" xfId="9848"/>
    <cellStyle name="Comma 2 3 2 5 3 2 4" xfId="9849"/>
    <cellStyle name="Comma 2 3 2 5 3 2 5" xfId="9850"/>
    <cellStyle name="Comma 2 3 2 5 3 2 6" xfId="9851"/>
    <cellStyle name="Comma 2 3 2 5 3 3" xfId="9852"/>
    <cellStyle name="Comma 2 3 2 5 3 3 2" xfId="9853"/>
    <cellStyle name="Comma 2 3 2 5 3 3 2 2" xfId="9854"/>
    <cellStyle name="Comma 2 3 2 5 3 3 3" xfId="9855"/>
    <cellStyle name="Comma 2 3 2 5 3 3 4" xfId="9856"/>
    <cellStyle name="Comma 2 3 2 5 3 3 5" xfId="9857"/>
    <cellStyle name="Comma 2 3 2 5 3 4" xfId="9858"/>
    <cellStyle name="Comma 2 3 2 5 3 4 2" xfId="9859"/>
    <cellStyle name="Comma 2 3 2 5 3 4 3" xfId="9860"/>
    <cellStyle name="Comma 2 3 2 5 3 4 4" xfId="9861"/>
    <cellStyle name="Comma 2 3 2 5 3 5" xfId="9862"/>
    <cellStyle name="Comma 2 3 2 5 3 5 2" xfId="9863"/>
    <cellStyle name="Comma 2 3 2 5 3 6" xfId="9864"/>
    <cellStyle name="Comma 2 3 2 5 3 7" xfId="9865"/>
    <cellStyle name="Comma 2 3 2 5 3 8" xfId="9866"/>
    <cellStyle name="Comma 2 3 2 5 3 9" xfId="9867"/>
    <cellStyle name="Comma 2 3 2 5 4" xfId="9868"/>
    <cellStyle name="Comma 2 3 2 5 4 2" xfId="9869"/>
    <cellStyle name="Comma 2 3 2 5 4 2 2" xfId="9870"/>
    <cellStyle name="Comma 2 3 2 5 4 2 3" xfId="9871"/>
    <cellStyle name="Comma 2 3 2 5 4 3" xfId="9872"/>
    <cellStyle name="Comma 2 3 2 5 4 4" xfId="9873"/>
    <cellStyle name="Comma 2 3 2 5 4 5" xfId="9874"/>
    <cellStyle name="Comma 2 3 2 5 4 6" xfId="9875"/>
    <cellStyle name="Comma 2 3 2 5 5" xfId="9876"/>
    <cellStyle name="Comma 2 3 2 5 5 2" xfId="9877"/>
    <cellStyle name="Comma 2 3 2 5 5 2 2" xfId="9878"/>
    <cellStyle name="Comma 2 3 2 5 5 3" xfId="9879"/>
    <cellStyle name="Comma 2 3 2 5 5 4" xfId="9880"/>
    <cellStyle name="Comma 2 3 2 5 5 5" xfId="9881"/>
    <cellStyle name="Comma 2 3 2 5 6" xfId="9882"/>
    <cellStyle name="Comma 2 3 2 5 6 2" xfId="9883"/>
    <cellStyle name="Comma 2 3 2 5 6 3" xfId="9884"/>
    <cellStyle name="Comma 2 3 2 5 6 4" xfId="9885"/>
    <cellStyle name="Comma 2 3 2 5 7" xfId="9886"/>
    <cellStyle name="Comma 2 3 2 5 7 2" xfId="9887"/>
    <cellStyle name="Comma 2 3 2 5 8" xfId="9888"/>
    <cellStyle name="Comma 2 3 2 5 9" xfId="9889"/>
    <cellStyle name="Comma 2 3 2 6" xfId="9890"/>
    <cellStyle name="Comma 2 3 2 6 10" xfId="9891"/>
    <cellStyle name="Comma 2 3 2 6 11" xfId="9892"/>
    <cellStyle name="Comma 2 3 2 6 2" xfId="9893"/>
    <cellStyle name="Comma 2 3 2 6 2 2" xfId="9894"/>
    <cellStyle name="Comma 2 3 2 6 2 2 2" xfId="9895"/>
    <cellStyle name="Comma 2 3 2 6 2 2 2 2" xfId="9896"/>
    <cellStyle name="Comma 2 3 2 6 2 2 2 3" xfId="9897"/>
    <cellStyle name="Comma 2 3 2 6 2 2 3" xfId="9898"/>
    <cellStyle name="Comma 2 3 2 6 2 2 4" xfId="9899"/>
    <cellStyle name="Comma 2 3 2 6 2 2 5" xfId="9900"/>
    <cellStyle name="Comma 2 3 2 6 2 2 6" xfId="9901"/>
    <cellStyle name="Comma 2 3 2 6 2 3" xfId="9902"/>
    <cellStyle name="Comma 2 3 2 6 2 3 2" xfId="9903"/>
    <cellStyle name="Comma 2 3 2 6 2 3 2 2" xfId="9904"/>
    <cellStyle name="Comma 2 3 2 6 2 3 3" xfId="9905"/>
    <cellStyle name="Comma 2 3 2 6 2 3 4" xfId="9906"/>
    <cellStyle name="Comma 2 3 2 6 2 3 5" xfId="9907"/>
    <cellStyle name="Comma 2 3 2 6 2 4" xfId="9908"/>
    <cellStyle name="Comma 2 3 2 6 2 4 2" xfId="9909"/>
    <cellStyle name="Comma 2 3 2 6 2 4 3" xfId="9910"/>
    <cellStyle name="Comma 2 3 2 6 2 4 4" xfId="9911"/>
    <cellStyle name="Comma 2 3 2 6 2 5" xfId="9912"/>
    <cellStyle name="Comma 2 3 2 6 2 5 2" xfId="9913"/>
    <cellStyle name="Comma 2 3 2 6 2 6" xfId="9914"/>
    <cellStyle name="Comma 2 3 2 6 2 7" xfId="9915"/>
    <cellStyle name="Comma 2 3 2 6 2 8" xfId="9916"/>
    <cellStyle name="Comma 2 3 2 6 2 9" xfId="9917"/>
    <cellStyle name="Comma 2 3 2 6 3" xfId="9918"/>
    <cellStyle name="Comma 2 3 2 6 3 2" xfId="9919"/>
    <cellStyle name="Comma 2 3 2 6 3 2 2" xfId="9920"/>
    <cellStyle name="Comma 2 3 2 6 3 2 2 2" xfId="9921"/>
    <cellStyle name="Comma 2 3 2 6 3 2 2 3" xfId="9922"/>
    <cellStyle name="Comma 2 3 2 6 3 2 3" xfId="9923"/>
    <cellStyle name="Comma 2 3 2 6 3 2 4" xfId="9924"/>
    <cellStyle name="Comma 2 3 2 6 3 2 5" xfId="9925"/>
    <cellStyle name="Comma 2 3 2 6 3 2 6" xfId="9926"/>
    <cellStyle name="Comma 2 3 2 6 3 3" xfId="9927"/>
    <cellStyle name="Comma 2 3 2 6 3 3 2" xfId="9928"/>
    <cellStyle name="Comma 2 3 2 6 3 3 2 2" xfId="9929"/>
    <cellStyle name="Comma 2 3 2 6 3 3 3" xfId="9930"/>
    <cellStyle name="Comma 2 3 2 6 3 3 4" xfId="9931"/>
    <cellStyle name="Comma 2 3 2 6 3 3 5" xfId="9932"/>
    <cellStyle name="Comma 2 3 2 6 3 4" xfId="9933"/>
    <cellStyle name="Comma 2 3 2 6 3 4 2" xfId="9934"/>
    <cellStyle name="Comma 2 3 2 6 3 4 3" xfId="9935"/>
    <cellStyle name="Comma 2 3 2 6 3 4 4" xfId="9936"/>
    <cellStyle name="Comma 2 3 2 6 3 5" xfId="9937"/>
    <cellStyle name="Comma 2 3 2 6 3 5 2" xfId="9938"/>
    <cellStyle name="Comma 2 3 2 6 3 6" xfId="9939"/>
    <cellStyle name="Comma 2 3 2 6 3 7" xfId="9940"/>
    <cellStyle name="Comma 2 3 2 6 3 8" xfId="9941"/>
    <cellStyle name="Comma 2 3 2 6 3 9" xfId="9942"/>
    <cellStyle name="Comma 2 3 2 6 4" xfId="9943"/>
    <cellStyle name="Comma 2 3 2 6 4 2" xfId="9944"/>
    <cellStyle name="Comma 2 3 2 6 4 2 2" xfId="9945"/>
    <cellStyle name="Comma 2 3 2 6 4 2 3" xfId="9946"/>
    <cellStyle name="Comma 2 3 2 6 4 3" xfId="9947"/>
    <cellStyle name="Comma 2 3 2 6 4 4" xfId="9948"/>
    <cellStyle name="Comma 2 3 2 6 4 5" xfId="9949"/>
    <cellStyle name="Comma 2 3 2 6 4 6" xfId="9950"/>
    <cellStyle name="Comma 2 3 2 6 5" xfId="9951"/>
    <cellStyle name="Comma 2 3 2 6 5 2" xfId="9952"/>
    <cellStyle name="Comma 2 3 2 6 5 2 2" xfId="9953"/>
    <cellStyle name="Comma 2 3 2 6 5 3" xfId="9954"/>
    <cellStyle name="Comma 2 3 2 6 5 4" xfId="9955"/>
    <cellStyle name="Comma 2 3 2 6 5 5" xfId="9956"/>
    <cellStyle name="Comma 2 3 2 6 6" xfId="9957"/>
    <cellStyle name="Comma 2 3 2 6 6 2" xfId="9958"/>
    <cellStyle name="Comma 2 3 2 6 6 3" xfId="9959"/>
    <cellStyle name="Comma 2 3 2 6 6 4" xfId="9960"/>
    <cellStyle name="Comma 2 3 2 6 7" xfId="9961"/>
    <cellStyle name="Comma 2 3 2 6 7 2" xfId="9962"/>
    <cellStyle name="Comma 2 3 2 6 8" xfId="9963"/>
    <cellStyle name="Comma 2 3 2 6 9" xfId="9964"/>
    <cellStyle name="Comma 2 3 2 7" xfId="9965"/>
    <cellStyle name="Comma 2 3 2 7 10" xfId="9966"/>
    <cellStyle name="Comma 2 3 2 7 11" xfId="9967"/>
    <cellStyle name="Comma 2 3 2 7 2" xfId="9968"/>
    <cellStyle name="Comma 2 3 2 7 2 2" xfId="9969"/>
    <cellStyle name="Comma 2 3 2 7 2 2 2" xfId="9970"/>
    <cellStyle name="Comma 2 3 2 7 2 2 2 2" xfId="9971"/>
    <cellStyle name="Comma 2 3 2 7 2 2 2 3" xfId="9972"/>
    <cellStyle name="Comma 2 3 2 7 2 2 3" xfId="9973"/>
    <cellStyle name="Comma 2 3 2 7 2 2 4" xfId="9974"/>
    <cellStyle name="Comma 2 3 2 7 2 2 5" xfId="9975"/>
    <cellStyle name="Comma 2 3 2 7 2 2 6" xfId="9976"/>
    <cellStyle name="Comma 2 3 2 7 2 3" xfId="9977"/>
    <cellStyle name="Comma 2 3 2 7 2 3 2" xfId="9978"/>
    <cellStyle name="Comma 2 3 2 7 2 3 2 2" xfId="9979"/>
    <cellStyle name="Comma 2 3 2 7 2 3 3" xfId="9980"/>
    <cellStyle name="Comma 2 3 2 7 2 3 4" xfId="9981"/>
    <cellStyle name="Comma 2 3 2 7 2 3 5" xfId="9982"/>
    <cellStyle name="Comma 2 3 2 7 2 4" xfId="9983"/>
    <cellStyle name="Comma 2 3 2 7 2 4 2" xfId="9984"/>
    <cellStyle name="Comma 2 3 2 7 2 4 3" xfId="9985"/>
    <cellStyle name="Comma 2 3 2 7 2 4 4" xfId="9986"/>
    <cellStyle name="Comma 2 3 2 7 2 5" xfId="9987"/>
    <cellStyle name="Comma 2 3 2 7 2 5 2" xfId="9988"/>
    <cellStyle name="Comma 2 3 2 7 2 6" xfId="9989"/>
    <cellStyle name="Comma 2 3 2 7 2 7" xfId="9990"/>
    <cellStyle name="Comma 2 3 2 7 2 8" xfId="9991"/>
    <cellStyle name="Comma 2 3 2 7 2 9" xfId="9992"/>
    <cellStyle name="Comma 2 3 2 7 3" xfId="9993"/>
    <cellStyle name="Comma 2 3 2 7 3 2" xfId="9994"/>
    <cellStyle name="Comma 2 3 2 7 3 2 2" xfId="9995"/>
    <cellStyle name="Comma 2 3 2 7 3 2 2 2" xfId="9996"/>
    <cellStyle name="Comma 2 3 2 7 3 2 2 3" xfId="9997"/>
    <cellStyle name="Comma 2 3 2 7 3 2 3" xfId="9998"/>
    <cellStyle name="Comma 2 3 2 7 3 2 4" xfId="9999"/>
    <cellStyle name="Comma 2 3 2 7 3 2 5" xfId="10000"/>
    <cellStyle name="Comma 2 3 2 7 3 2 6" xfId="10001"/>
    <cellStyle name="Comma 2 3 2 7 3 3" xfId="10002"/>
    <cellStyle name="Comma 2 3 2 7 3 3 2" xfId="10003"/>
    <cellStyle name="Comma 2 3 2 7 3 3 2 2" xfId="10004"/>
    <cellStyle name="Comma 2 3 2 7 3 3 3" xfId="10005"/>
    <cellStyle name="Comma 2 3 2 7 3 3 4" xfId="10006"/>
    <cellStyle name="Comma 2 3 2 7 3 3 5" xfId="10007"/>
    <cellStyle name="Comma 2 3 2 7 3 4" xfId="10008"/>
    <cellStyle name="Comma 2 3 2 7 3 4 2" xfId="10009"/>
    <cellStyle name="Comma 2 3 2 7 3 4 3" xfId="10010"/>
    <cellStyle name="Comma 2 3 2 7 3 4 4" xfId="10011"/>
    <cellStyle name="Comma 2 3 2 7 3 5" xfId="10012"/>
    <cellStyle name="Comma 2 3 2 7 3 5 2" xfId="10013"/>
    <cellStyle name="Comma 2 3 2 7 3 6" xfId="10014"/>
    <cellStyle name="Comma 2 3 2 7 3 7" xfId="10015"/>
    <cellStyle name="Comma 2 3 2 7 3 8" xfId="10016"/>
    <cellStyle name="Comma 2 3 2 7 3 9" xfId="10017"/>
    <cellStyle name="Comma 2 3 2 7 4" xfId="10018"/>
    <cellStyle name="Comma 2 3 2 7 4 2" xfId="10019"/>
    <cellStyle name="Comma 2 3 2 7 4 2 2" xfId="10020"/>
    <cellStyle name="Comma 2 3 2 7 4 2 3" xfId="10021"/>
    <cellStyle name="Comma 2 3 2 7 4 3" xfId="10022"/>
    <cellStyle name="Comma 2 3 2 7 4 4" xfId="10023"/>
    <cellStyle name="Comma 2 3 2 7 4 5" xfId="10024"/>
    <cellStyle name="Comma 2 3 2 7 4 6" xfId="10025"/>
    <cellStyle name="Comma 2 3 2 7 5" xfId="10026"/>
    <cellStyle name="Comma 2 3 2 7 5 2" xfId="10027"/>
    <cellStyle name="Comma 2 3 2 7 5 2 2" xfId="10028"/>
    <cellStyle name="Comma 2 3 2 7 5 3" xfId="10029"/>
    <cellStyle name="Comma 2 3 2 7 5 4" xfId="10030"/>
    <cellStyle name="Comma 2 3 2 7 5 5" xfId="10031"/>
    <cellStyle name="Comma 2 3 2 7 6" xfId="10032"/>
    <cellStyle name="Comma 2 3 2 7 6 2" xfId="10033"/>
    <cellStyle name="Comma 2 3 2 7 6 3" xfId="10034"/>
    <cellStyle name="Comma 2 3 2 7 6 4" xfId="10035"/>
    <cellStyle name="Comma 2 3 2 7 7" xfId="10036"/>
    <cellStyle name="Comma 2 3 2 7 7 2" xfId="10037"/>
    <cellStyle name="Comma 2 3 2 7 8" xfId="10038"/>
    <cellStyle name="Comma 2 3 2 7 9" xfId="10039"/>
    <cellStyle name="Comma 2 3 2 8" xfId="10040"/>
    <cellStyle name="Comma 2 3 2 8 10" xfId="10041"/>
    <cellStyle name="Comma 2 3 2 8 2" xfId="10042"/>
    <cellStyle name="Comma 2 3 2 8 2 2" xfId="10043"/>
    <cellStyle name="Comma 2 3 2 8 2 2 2" xfId="10044"/>
    <cellStyle name="Comma 2 3 2 8 2 2 3" xfId="10045"/>
    <cellStyle name="Comma 2 3 2 8 2 3" xfId="10046"/>
    <cellStyle name="Comma 2 3 2 8 2 4" xfId="10047"/>
    <cellStyle name="Comma 2 3 2 8 2 5" xfId="10048"/>
    <cellStyle name="Comma 2 3 2 8 2 6" xfId="10049"/>
    <cellStyle name="Comma 2 3 2 8 3" xfId="10050"/>
    <cellStyle name="Comma 2 3 2 8 3 2" xfId="10051"/>
    <cellStyle name="Comma 2 3 2 8 3 2 2" xfId="10052"/>
    <cellStyle name="Comma 2 3 2 8 3 2 3" xfId="10053"/>
    <cellStyle name="Comma 2 3 2 8 3 3" xfId="10054"/>
    <cellStyle name="Comma 2 3 2 8 3 4" xfId="10055"/>
    <cellStyle name="Comma 2 3 2 8 3 5" xfId="10056"/>
    <cellStyle name="Comma 2 3 2 8 3 6" xfId="10057"/>
    <cellStyle name="Comma 2 3 2 8 4" xfId="10058"/>
    <cellStyle name="Comma 2 3 2 8 4 2" xfId="10059"/>
    <cellStyle name="Comma 2 3 2 8 4 2 2" xfId="10060"/>
    <cellStyle name="Comma 2 3 2 8 4 3" xfId="10061"/>
    <cellStyle name="Comma 2 3 2 8 4 4" xfId="10062"/>
    <cellStyle name="Comma 2 3 2 8 4 5" xfId="10063"/>
    <cellStyle name="Comma 2 3 2 8 5" xfId="10064"/>
    <cellStyle name="Comma 2 3 2 8 5 2" xfId="10065"/>
    <cellStyle name="Comma 2 3 2 8 5 3" xfId="10066"/>
    <cellStyle name="Comma 2 3 2 8 5 4" xfId="10067"/>
    <cellStyle name="Comma 2 3 2 8 6" xfId="10068"/>
    <cellStyle name="Comma 2 3 2 8 6 2" xfId="10069"/>
    <cellStyle name="Comma 2 3 2 8 7" xfId="10070"/>
    <cellStyle name="Comma 2 3 2 8 8" xfId="10071"/>
    <cellStyle name="Comma 2 3 2 8 9" xfId="10072"/>
    <cellStyle name="Comma 2 3 2 9" xfId="10073"/>
    <cellStyle name="Comma 2 3 2 9 10" xfId="10074"/>
    <cellStyle name="Comma 2 3 2 9 2" xfId="10075"/>
    <cellStyle name="Comma 2 3 2 9 2 2" xfId="10076"/>
    <cellStyle name="Comma 2 3 2 9 2 2 2" xfId="10077"/>
    <cellStyle name="Comma 2 3 2 9 2 2 3" xfId="10078"/>
    <cellStyle name="Comma 2 3 2 9 2 3" xfId="10079"/>
    <cellStyle name="Comma 2 3 2 9 2 4" xfId="10080"/>
    <cellStyle name="Comma 2 3 2 9 2 5" xfId="10081"/>
    <cellStyle name="Comma 2 3 2 9 2 6" xfId="10082"/>
    <cellStyle name="Comma 2 3 2 9 3" xfId="10083"/>
    <cellStyle name="Comma 2 3 2 9 3 2" xfId="10084"/>
    <cellStyle name="Comma 2 3 2 9 3 2 2" xfId="10085"/>
    <cellStyle name="Comma 2 3 2 9 3 2 3" xfId="10086"/>
    <cellStyle name="Comma 2 3 2 9 3 3" xfId="10087"/>
    <cellStyle name="Comma 2 3 2 9 3 4" xfId="10088"/>
    <cellStyle name="Comma 2 3 2 9 3 5" xfId="10089"/>
    <cellStyle name="Comma 2 3 2 9 3 6" xfId="10090"/>
    <cellStyle name="Comma 2 3 2 9 4" xfId="10091"/>
    <cellStyle name="Comma 2 3 2 9 4 2" xfId="10092"/>
    <cellStyle name="Comma 2 3 2 9 4 2 2" xfId="10093"/>
    <cellStyle name="Comma 2 3 2 9 4 3" xfId="10094"/>
    <cellStyle name="Comma 2 3 2 9 4 4" xfId="10095"/>
    <cellStyle name="Comma 2 3 2 9 4 5" xfId="10096"/>
    <cellStyle name="Comma 2 3 2 9 5" xfId="10097"/>
    <cellStyle name="Comma 2 3 2 9 5 2" xfId="10098"/>
    <cellStyle name="Comma 2 3 2 9 5 3" xfId="10099"/>
    <cellStyle name="Comma 2 3 2 9 5 4" xfId="10100"/>
    <cellStyle name="Comma 2 3 2 9 6" xfId="10101"/>
    <cellStyle name="Comma 2 3 2 9 6 2" xfId="10102"/>
    <cellStyle name="Comma 2 3 2 9 7" xfId="10103"/>
    <cellStyle name="Comma 2 3 2 9 8" xfId="10104"/>
    <cellStyle name="Comma 2 3 2 9 9" xfId="10105"/>
    <cellStyle name="Comma 2 3 20" xfId="10106"/>
    <cellStyle name="Comma 2 3 20 10" xfId="10107"/>
    <cellStyle name="Comma 2 3 20 2" xfId="10108"/>
    <cellStyle name="Comma 2 3 20 2 2" xfId="10109"/>
    <cellStyle name="Comma 2 3 20 2 2 2" xfId="10110"/>
    <cellStyle name="Comma 2 3 20 2 2 3" xfId="10111"/>
    <cellStyle name="Comma 2 3 20 2 3" xfId="10112"/>
    <cellStyle name="Comma 2 3 20 2 4" xfId="10113"/>
    <cellStyle name="Comma 2 3 20 2 5" xfId="10114"/>
    <cellStyle name="Comma 2 3 20 2 6" xfId="10115"/>
    <cellStyle name="Comma 2 3 20 3" xfId="10116"/>
    <cellStyle name="Comma 2 3 20 3 2" xfId="10117"/>
    <cellStyle name="Comma 2 3 20 3 2 2" xfId="10118"/>
    <cellStyle name="Comma 2 3 20 3 2 3" xfId="10119"/>
    <cellStyle name="Comma 2 3 20 3 3" xfId="10120"/>
    <cellStyle name="Comma 2 3 20 3 4" xfId="10121"/>
    <cellStyle name="Comma 2 3 20 3 5" xfId="10122"/>
    <cellStyle name="Comma 2 3 20 3 6" xfId="10123"/>
    <cellStyle name="Comma 2 3 20 4" xfId="10124"/>
    <cellStyle name="Comma 2 3 20 4 2" xfId="10125"/>
    <cellStyle name="Comma 2 3 20 4 2 2" xfId="10126"/>
    <cellStyle name="Comma 2 3 20 4 3" xfId="10127"/>
    <cellStyle name="Comma 2 3 20 4 4" xfId="10128"/>
    <cellStyle name="Comma 2 3 20 4 5" xfId="10129"/>
    <cellStyle name="Comma 2 3 20 5" xfId="10130"/>
    <cellStyle name="Comma 2 3 20 5 2" xfId="10131"/>
    <cellStyle name="Comma 2 3 20 5 3" xfId="10132"/>
    <cellStyle name="Comma 2 3 20 5 4" xfId="10133"/>
    <cellStyle name="Comma 2 3 20 6" xfId="10134"/>
    <cellStyle name="Comma 2 3 20 6 2" xfId="10135"/>
    <cellStyle name="Comma 2 3 20 7" xfId="10136"/>
    <cellStyle name="Comma 2 3 20 8" xfId="10137"/>
    <cellStyle name="Comma 2 3 20 9" xfId="10138"/>
    <cellStyle name="Comma 2 3 21" xfId="10139"/>
    <cellStyle name="Comma 2 3 21 10" xfId="10140"/>
    <cellStyle name="Comma 2 3 21 2" xfId="10141"/>
    <cellStyle name="Comma 2 3 21 2 2" xfId="10142"/>
    <cellStyle name="Comma 2 3 21 2 2 2" xfId="10143"/>
    <cellStyle name="Comma 2 3 21 2 2 3" xfId="10144"/>
    <cellStyle name="Comma 2 3 21 2 3" xfId="10145"/>
    <cellStyle name="Comma 2 3 21 2 4" xfId="10146"/>
    <cellStyle name="Comma 2 3 21 2 5" xfId="10147"/>
    <cellStyle name="Comma 2 3 21 2 6" xfId="10148"/>
    <cellStyle name="Comma 2 3 21 3" xfId="10149"/>
    <cellStyle name="Comma 2 3 21 3 2" xfId="10150"/>
    <cellStyle name="Comma 2 3 21 3 2 2" xfId="10151"/>
    <cellStyle name="Comma 2 3 21 3 2 3" xfId="10152"/>
    <cellStyle name="Comma 2 3 21 3 3" xfId="10153"/>
    <cellStyle name="Comma 2 3 21 3 4" xfId="10154"/>
    <cellStyle name="Comma 2 3 21 3 5" xfId="10155"/>
    <cellStyle name="Comma 2 3 21 3 6" xfId="10156"/>
    <cellStyle name="Comma 2 3 21 4" xfId="10157"/>
    <cellStyle name="Comma 2 3 21 4 2" xfId="10158"/>
    <cellStyle name="Comma 2 3 21 4 2 2" xfId="10159"/>
    <cellStyle name="Comma 2 3 21 4 3" xfId="10160"/>
    <cellStyle name="Comma 2 3 21 4 4" xfId="10161"/>
    <cellStyle name="Comma 2 3 21 4 5" xfId="10162"/>
    <cellStyle name="Comma 2 3 21 5" xfId="10163"/>
    <cellStyle name="Comma 2 3 21 5 2" xfId="10164"/>
    <cellStyle name="Comma 2 3 21 5 3" xfId="10165"/>
    <cellStyle name="Comma 2 3 21 5 4" xfId="10166"/>
    <cellStyle name="Comma 2 3 21 6" xfId="10167"/>
    <cellStyle name="Comma 2 3 21 6 2" xfId="10168"/>
    <cellStyle name="Comma 2 3 21 7" xfId="10169"/>
    <cellStyle name="Comma 2 3 21 8" xfId="10170"/>
    <cellStyle name="Comma 2 3 21 9" xfId="10171"/>
    <cellStyle name="Comma 2 3 22" xfId="10172"/>
    <cellStyle name="Comma 2 3 22 10" xfId="10173"/>
    <cellStyle name="Comma 2 3 22 2" xfId="10174"/>
    <cellStyle name="Comma 2 3 22 2 2" xfId="10175"/>
    <cellStyle name="Comma 2 3 22 2 2 2" xfId="10176"/>
    <cellStyle name="Comma 2 3 22 2 2 3" xfId="10177"/>
    <cellStyle name="Comma 2 3 22 2 3" xfId="10178"/>
    <cellStyle name="Comma 2 3 22 2 4" xfId="10179"/>
    <cellStyle name="Comma 2 3 22 2 5" xfId="10180"/>
    <cellStyle name="Comma 2 3 22 2 6" xfId="10181"/>
    <cellStyle name="Comma 2 3 22 3" xfId="10182"/>
    <cellStyle name="Comma 2 3 22 3 2" xfId="10183"/>
    <cellStyle name="Comma 2 3 22 3 2 2" xfId="10184"/>
    <cellStyle name="Comma 2 3 22 3 2 3" xfId="10185"/>
    <cellStyle name="Comma 2 3 22 3 3" xfId="10186"/>
    <cellStyle name="Comma 2 3 22 3 4" xfId="10187"/>
    <cellStyle name="Comma 2 3 22 3 5" xfId="10188"/>
    <cellStyle name="Comma 2 3 22 3 6" xfId="10189"/>
    <cellStyle name="Comma 2 3 22 4" xfId="10190"/>
    <cellStyle name="Comma 2 3 22 4 2" xfId="10191"/>
    <cellStyle name="Comma 2 3 22 4 2 2" xfId="10192"/>
    <cellStyle name="Comma 2 3 22 4 3" xfId="10193"/>
    <cellStyle name="Comma 2 3 22 4 4" xfId="10194"/>
    <cellStyle name="Comma 2 3 22 4 5" xfId="10195"/>
    <cellStyle name="Comma 2 3 22 5" xfId="10196"/>
    <cellStyle name="Comma 2 3 22 5 2" xfId="10197"/>
    <cellStyle name="Comma 2 3 22 5 3" xfId="10198"/>
    <cellStyle name="Comma 2 3 22 5 4" xfId="10199"/>
    <cellStyle name="Comma 2 3 22 6" xfId="10200"/>
    <cellStyle name="Comma 2 3 22 6 2" xfId="10201"/>
    <cellStyle name="Comma 2 3 22 7" xfId="10202"/>
    <cellStyle name="Comma 2 3 22 8" xfId="10203"/>
    <cellStyle name="Comma 2 3 22 9" xfId="10204"/>
    <cellStyle name="Comma 2 3 23" xfId="10205"/>
    <cellStyle name="Comma 2 3 23 10" xfId="10206"/>
    <cellStyle name="Comma 2 3 23 2" xfId="10207"/>
    <cellStyle name="Comma 2 3 23 2 2" xfId="10208"/>
    <cellStyle name="Comma 2 3 23 2 2 2" xfId="10209"/>
    <cellStyle name="Comma 2 3 23 2 2 3" xfId="10210"/>
    <cellStyle name="Comma 2 3 23 2 3" xfId="10211"/>
    <cellStyle name="Comma 2 3 23 2 4" xfId="10212"/>
    <cellStyle name="Comma 2 3 23 2 5" xfId="10213"/>
    <cellStyle name="Comma 2 3 23 2 6" xfId="10214"/>
    <cellStyle name="Comma 2 3 23 3" xfId="10215"/>
    <cellStyle name="Comma 2 3 23 3 2" xfId="10216"/>
    <cellStyle name="Comma 2 3 23 3 2 2" xfId="10217"/>
    <cellStyle name="Comma 2 3 23 3 2 3" xfId="10218"/>
    <cellStyle name="Comma 2 3 23 3 3" xfId="10219"/>
    <cellStyle name="Comma 2 3 23 3 4" xfId="10220"/>
    <cellStyle name="Comma 2 3 23 3 5" xfId="10221"/>
    <cellStyle name="Comma 2 3 23 3 6" xfId="10222"/>
    <cellStyle name="Comma 2 3 23 4" xfId="10223"/>
    <cellStyle name="Comma 2 3 23 4 2" xfId="10224"/>
    <cellStyle name="Comma 2 3 23 4 2 2" xfId="10225"/>
    <cellStyle name="Comma 2 3 23 4 3" xfId="10226"/>
    <cellStyle name="Comma 2 3 23 4 4" xfId="10227"/>
    <cellStyle name="Comma 2 3 23 4 5" xfId="10228"/>
    <cellStyle name="Comma 2 3 23 5" xfId="10229"/>
    <cellStyle name="Comma 2 3 23 5 2" xfId="10230"/>
    <cellStyle name="Comma 2 3 23 5 3" xfId="10231"/>
    <cellStyle name="Comma 2 3 23 5 4" xfId="10232"/>
    <cellStyle name="Comma 2 3 23 6" xfId="10233"/>
    <cellStyle name="Comma 2 3 23 6 2" xfId="10234"/>
    <cellStyle name="Comma 2 3 23 7" xfId="10235"/>
    <cellStyle name="Comma 2 3 23 8" xfId="10236"/>
    <cellStyle name="Comma 2 3 23 9" xfId="10237"/>
    <cellStyle name="Comma 2 3 24" xfId="10238"/>
    <cellStyle name="Comma 2 3 24 10" xfId="10239"/>
    <cellStyle name="Comma 2 3 24 2" xfId="10240"/>
    <cellStyle name="Comma 2 3 24 2 2" xfId="10241"/>
    <cellStyle name="Comma 2 3 24 2 2 2" xfId="10242"/>
    <cellStyle name="Comma 2 3 24 2 2 3" xfId="10243"/>
    <cellStyle name="Comma 2 3 24 2 3" xfId="10244"/>
    <cellStyle name="Comma 2 3 24 2 4" xfId="10245"/>
    <cellStyle name="Comma 2 3 24 2 5" xfId="10246"/>
    <cellStyle name="Comma 2 3 24 2 6" xfId="10247"/>
    <cellStyle name="Comma 2 3 24 3" xfId="10248"/>
    <cellStyle name="Comma 2 3 24 3 2" xfId="10249"/>
    <cellStyle name="Comma 2 3 24 3 2 2" xfId="10250"/>
    <cellStyle name="Comma 2 3 24 3 2 3" xfId="10251"/>
    <cellStyle name="Comma 2 3 24 3 3" xfId="10252"/>
    <cellStyle name="Comma 2 3 24 3 4" xfId="10253"/>
    <cellStyle name="Comma 2 3 24 3 5" xfId="10254"/>
    <cellStyle name="Comma 2 3 24 3 6" xfId="10255"/>
    <cellStyle name="Comma 2 3 24 4" xfId="10256"/>
    <cellStyle name="Comma 2 3 24 4 2" xfId="10257"/>
    <cellStyle name="Comma 2 3 24 4 2 2" xfId="10258"/>
    <cellStyle name="Comma 2 3 24 4 3" xfId="10259"/>
    <cellStyle name="Comma 2 3 24 4 4" xfId="10260"/>
    <cellStyle name="Comma 2 3 24 4 5" xfId="10261"/>
    <cellStyle name="Comma 2 3 24 5" xfId="10262"/>
    <cellStyle name="Comma 2 3 24 5 2" xfId="10263"/>
    <cellStyle name="Comma 2 3 24 5 3" xfId="10264"/>
    <cellStyle name="Comma 2 3 24 5 4" xfId="10265"/>
    <cellStyle name="Comma 2 3 24 6" xfId="10266"/>
    <cellStyle name="Comma 2 3 24 6 2" xfId="10267"/>
    <cellStyle name="Comma 2 3 24 7" xfId="10268"/>
    <cellStyle name="Comma 2 3 24 8" xfId="10269"/>
    <cellStyle name="Comma 2 3 24 9" xfId="10270"/>
    <cellStyle name="Comma 2 3 25" xfId="10271"/>
    <cellStyle name="Comma 2 3 25 10" xfId="10272"/>
    <cellStyle name="Comma 2 3 25 2" xfId="10273"/>
    <cellStyle name="Comma 2 3 25 2 2" xfId="10274"/>
    <cellStyle name="Comma 2 3 25 2 2 2" xfId="10275"/>
    <cellStyle name="Comma 2 3 25 2 2 3" xfId="10276"/>
    <cellStyle name="Comma 2 3 25 2 3" xfId="10277"/>
    <cellStyle name="Comma 2 3 25 2 4" xfId="10278"/>
    <cellStyle name="Comma 2 3 25 2 5" xfId="10279"/>
    <cellStyle name="Comma 2 3 25 2 6" xfId="10280"/>
    <cellStyle name="Comma 2 3 25 3" xfId="10281"/>
    <cellStyle name="Comma 2 3 25 3 2" xfId="10282"/>
    <cellStyle name="Comma 2 3 25 3 2 2" xfId="10283"/>
    <cellStyle name="Comma 2 3 25 3 2 3" xfId="10284"/>
    <cellStyle name="Comma 2 3 25 3 3" xfId="10285"/>
    <cellStyle name="Comma 2 3 25 3 4" xfId="10286"/>
    <cellStyle name="Comma 2 3 25 3 5" xfId="10287"/>
    <cellStyle name="Comma 2 3 25 3 6" xfId="10288"/>
    <cellStyle name="Comma 2 3 25 4" xfId="10289"/>
    <cellStyle name="Comma 2 3 25 4 2" xfId="10290"/>
    <cellStyle name="Comma 2 3 25 4 2 2" xfId="10291"/>
    <cellStyle name="Comma 2 3 25 4 3" xfId="10292"/>
    <cellStyle name="Comma 2 3 25 4 4" xfId="10293"/>
    <cellStyle name="Comma 2 3 25 4 5" xfId="10294"/>
    <cellStyle name="Comma 2 3 25 5" xfId="10295"/>
    <cellStyle name="Comma 2 3 25 5 2" xfId="10296"/>
    <cellStyle name="Comma 2 3 25 5 3" xfId="10297"/>
    <cellStyle name="Comma 2 3 25 5 4" xfId="10298"/>
    <cellStyle name="Comma 2 3 25 6" xfId="10299"/>
    <cellStyle name="Comma 2 3 25 6 2" xfId="10300"/>
    <cellStyle name="Comma 2 3 25 7" xfId="10301"/>
    <cellStyle name="Comma 2 3 25 8" xfId="10302"/>
    <cellStyle name="Comma 2 3 25 9" xfId="10303"/>
    <cellStyle name="Comma 2 3 26" xfId="10304"/>
    <cellStyle name="Comma 2 3 26 10" xfId="10305"/>
    <cellStyle name="Comma 2 3 26 2" xfId="10306"/>
    <cellStyle name="Comma 2 3 26 2 2" xfId="10307"/>
    <cellStyle name="Comma 2 3 26 2 2 2" xfId="10308"/>
    <cellStyle name="Comma 2 3 26 2 2 3" xfId="10309"/>
    <cellStyle name="Comma 2 3 26 2 3" xfId="10310"/>
    <cellStyle name="Comma 2 3 26 2 4" xfId="10311"/>
    <cellStyle name="Comma 2 3 26 2 5" xfId="10312"/>
    <cellStyle name="Comma 2 3 26 2 6" xfId="10313"/>
    <cellStyle name="Comma 2 3 26 3" xfId="10314"/>
    <cellStyle name="Comma 2 3 26 3 2" xfId="10315"/>
    <cellStyle name="Comma 2 3 26 3 2 2" xfId="10316"/>
    <cellStyle name="Comma 2 3 26 3 2 3" xfId="10317"/>
    <cellStyle name="Comma 2 3 26 3 3" xfId="10318"/>
    <cellStyle name="Comma 2 3 26 3 4" xfId="10319"/>
    <cellStyle name="Comma 2 3 26 3 5" xfId="10320"/>
    <cellStyle name="Comma 2 3 26 3 6" xfId="10321"/>
    <cellStyle name="Comma 2 3 26 4" xfId="10322"/>
    <cellStyle name="Comma 2 3 26 4 2" xfId="10323"/>
    <cellStyle name="Comma 2 3 26 4 2 2" xfId="10324"/>
    <cellStyle name="Comma 2 3 26 4 3" xfId="10325"/>
    <cellStyle name="Comma 2 3 26 4 4" xfId="10326"/>
    <cellStyle name="Comma 2 3 26 4 5" xfId="10327"/>
    <cellStyle name="Comma 2 3 26 5" xfId="10328"/>
    <cellStyle name="Comma 2 3 26 5 2" xfId="10329"/>
    <cellStyle name="Comma 2 3 26 5 3" xfId="10330"/>
    <cellStyle name="Comma 2 3 26 5 4" xfId="10331"/>
    <cellStyle name="Comma 2 3 26 6" xfId="10332"/>
    <cellStyle name="Comma 2 3 26 6 2" xfId="10333"/>
    <cellStyle name="Comma 2 3 26 7" xfId="10334"/>
    <cellStyle name="Comma 2 3 26 8" xfId="10335"/>
    <cellStyle name="Comma 2 3 26 9" xfId="10336"/>
    <cellStyle name="Comma 2 3 27" xfId="10337"/>
    <cellStyle name="Comma 2 3 27 10" xfId="10338"/>
    <cellStyle name="Comma 2 3 27 2" xfId="10339"/>
    <cellStyle name="Comma 2 3 27 2 2" xfId="10340"/>
    <cellStyle name="Comma 2 3 27 2 2 2" xfId="10341"/>
    <cellStyle name="Comma 2 3 27 2 2 3" xfId="10342"/>
    <cellStyle name="Comma 2 3 27 2 3" xfId="10343"/>
    <cellStyle name="Comma 2 3 27 2 4" xfId="10344"/>
    <cellStyle name="Comma 2 3 27 2 5" xfId="10345"/>
    <cellStyle name="Comma 2 3 27 2 6" xfId="10346"/>
    <cellStyle name="Comma 2 3 27 3" xfId="10347"/>
    <cellStyle name="Comma 2 3 27 3 2" xfId="10348"/>
    <cellStyle name="Comma 2 3 27 3 2 2" xfId="10349"/>
    <cellStyle name="Comma 2 3 27 3 2 3" xfId="10350"/>
    <cellStyle name="Comma 2 3 27 3 3" xfId="10351"/>
    <cellStyle name="Comma 2 3 27 3 4" xfId="10352"/>
    <cellStyle name="Comma 2 3 27 3 5" xfId="10353"/>
    <cellStyle name="Comma 2 3 27 3 6" xfId="10354"/>
    <cellStyle name="Comma 2 3 27 4" xfId="10355"/>
    <cellStyle name="Comma 2 3 27 4 2" xfId="10356"/>
    <cellStyle name="Comma 2 3 27 4 2 2" xfId="10357"/>
    <cellStyle name="Comma 2 3 27 4 3" xfId="10358"/>
    <cellStyle name="Comma 2 3 27 4 4" xfId="10359"/>
    <cellStyle name="Comma 2 3 27 4 5" xfId="10360"/>
    <cellStyle name="Comma 2 3 27 5" xfId="10361"/>
    <cellStyle name="Comma 2 3 27 5 2" xfId="10362"/>
    <cellStyle name="Comma 2 3 27 5 3" xfId="10363"/>
    <cellStyle name="Comma 2 3 27 5 4" xfId="10364"/>
    <cellStyle name="Comma 2 3 27 6" xfId="10365"/>
    <cellStyle name="Comma 2 3 27 6 2" xfId="10366"/>
    <cellStyle name="Comma 2 3 27 7" xfId="10367"/>
    <cellStyle name="Comma 2 3 27 8" xfId="10368"/>
    <cellStyle name="Comma 2 3 27 9" xfId="10369"/>
    <cellStyle name="Comma 2 3 28" xfId="10370"/>
    <cellStyle name="Comma 2 3 28 10" xfId="10371"/>
    <cellStyle name="Comma 2 3 28 2" xfId="10372"/>
    <cellStyle name="Comma 2 3 28 2 2" xfId="10373"/>
    <cellStyle name="Comma 2 3 28 2 2 2" xfId="10374"/>
    <cellStyle name="Comma 2 3 28 2 2 3" xfId="10375"/>
    <cellStyle name="Comma 2 3 28 2 3" xfId="10376"/>
    <cellStyle name="Comma 2 3 28 2 4" xfId="10377"/>
    <cellStyle name="Comma 2 3 28 2 5" xfId="10378"/>
    <cellStyle name="Comma 2 3 28 2 6" xfId="10379"/>
    <cellStyle name="Comma 2 3 28 3" xfId="10380"/>
    <cellStyle name="Comma 2 3 28 3 2" xfId="10381"/>
    <cellStyle name="Comma 2 3 28 3 2 2" xfId="10382"/>
    <cellStyle name="Comma 2 3 28 3 2 3" xfId="10383"/>
    <cellStyle name="Comma 2 3 28 3 3" xfId="10384"/>
    <cellStyle name="Comma 2 3 28 3 4" xfId="10385"/>
    <cellStyle name="Comma 2 3 28 3 5" xfId="10386"/>
    <cellStyle name="Comma 2 3 28 3 6" xfId="10387"/>
    <cellStyle name="Comma 2 3 28 4" xfId="10388"/>
    <cellStyle name="Comma 2 3 28 4 2" xfId="10389"/>
    <cellStyle name="Comma 2 3 28 4 2 2" xfId="10390"/>
    <cellStyle name="Comma 2 3 28 4 3" xfId="10391"/>
    <cellStyle name="Comma 2 3 28 4 4" xfId="10392"/>
    <cellStyle name="Comma 2 3 28 4 5" xfId="10393"/>
    <cellStyle name="Comma 2 3 28 5" xfId="10394"/>
    <cellStyle name="Comma 2 3 28 5 2" xfId="10395"/>
    <cellStyle name="Comma 2 3 28 5 3" xfId="10396"/>
    <cellStyle name="Comma 2 3 28 5 4" xfId="10397"/>
    <cellStyle name="Comma 2 3 28 6" xfId="10398"/>
    <cellStyle name="Comma 2 3 28 6 2" xfId="10399"/>
    <cellStyle name="Comma 2 3 28 7" xfId="10400"/>
    <cellStyle name="Comma 2 3 28 8" xfId="10401"/>
    <cellStyle name="Comma 2 3 28 9" xfId="10402"/>
    <cellStyle name="Comma 2 3 29" xfId="10403"/>
    <cellStyle name="Comma 2 3 29 2" xfId="10404"/>
    <cellStyle name="Comma 2 3 29 2 2" xfId="10405"/>
    <cellStyle name="Comma 2 3 29 2 2 2" xfId="10406"/>
    <cellStyle name="Comma 2 3 29 2 2 3" xfId="10407"/>
    <cellStyle name="Comma 2 3 29 2 3" xfId="10408"/>
    <cellStyle name="Comma 2 3 29 2 4" xfId="10409"/>
    <cellStyle name="Comma 2 3 29 2 5" xfId="10410"/>
    <cellStyle name="Comma 2 3 29 2 6" xfId="10411"/>
    <cellStyle name="Comma 2 3 29 3" xfId="10412"/>
    <cellStyle name="Comma 2 3 29 3 2" xfId="10413"/>
    <cellStyle name="Comma 2 3 29 3 2 2" xfId="10414"/>
    <cellStyle name="Comma 2 3 29 3 3" xfId="10415"/>
    <cellStyle name="Comma 2 3 29 3 4" xfId="10416"/>
    <cellStyle name="Comma 2 3 29 3 5" xfId="10417"/>
    <cellStyle name="Comma 2 3 29 4" xfId="10418"/>
    <cellStyle name="Comma 2 3 29 4 2" xfId="10419"/>
    <cellStyle name="Comma 2 3 29 4 3" xfId="10420"/>
    <cellStyle name="Comma 2 3 29 4 4" xfId="10421"/>
    <cellStyle name="Comma 2 3 29 5" xfId="10422"/>
    <cellStyle name="Comma 2 3 29 5 2" xfId="10423"/>
    <cellStyle name="Comma 2 3 29 6" xfId="10424"/>
    <cellStyle name="Comma 2 3 29 7" xfId="10425"/>
    <cellStyle name="Comma 2 3 29 8" xfId="10426"/>
    <cellStyle name="Comma 2 3 29 9" xfId="10427"/>
    <cellStyle name="Comma 2 3 3" xfId="10428"/>
    <cellStyle name="Comma 2 3 3 10" xfId="10429"/>
    <cellStyle name="Comma 2 3 3 10 10" xfId="10430"/>
    <cellStyle name="Comma 2 3 3 10 2" xfId="10431"/>
    <cellStyle name="Comma 2 3 3 10 2 2" xfId="10432"/>
    <cellStyle name="Comma 2 3 3 10 2 2 2" xfId="10433"/>
    <cellStyle name="Comma 2 3 3 10 2 2 3" xfId="10434"/>
    <cellStyle name="Comma 2 3 3 10 2 3" xfId="10435"/>
    <cellStyle name="Comma 2 3 3 10 2 4" xfId="10436"/>
    <cellStyle name="Comma 2 3 3 10 2 5" xfId="10437"/>
    <cellStyle name="Comma 2 3 3 10 2 6" xfId="10438"/>
    <cellStyle name="Comma 2 3 3 10 3" xfId="10439"/>
    <cellStyle name="Comma 2 3 3 10 3 2" xfId="10440"/>
    <cellStyle name="Comma 2 3 3 10 3 2 2" xfId="10441"/>
    <cellStyle name="Comma 2 3 3 10 3 2 3" xfId="10442"/>
    <cellStyle name="Comma 2 3 3 10 3 3" xfId="10443"/>
    <cellStyle name="Comma 2 3 3 10 3 4" xfId="10444"/>
    <cellStyle name="Comma 2 3 3 10 3 5" xfId="10445"/>
    <cellStyle name="Comma 2 3 3 10 3 6" xfId="10446"/>
    <cellStyle name="Comma 2 3 3 10 4" xfId="10447"/>
    <cellStyle name="Comma 2 3 3 10 4 2" xfId="10448"/>
    <cellStyle name="Comma 2 3 3 10 4 2 2" xfId="10449"/>
    <cellStyle name="Comma 2 3 3 10 4 3" xfId="10450"/>
    <cellStyle name="Comma 2 3 3 10 4 4" xfId="10451"/>
    <cellStyle name="Comma 2 3 3 10 4 5" xfId="10452"/>
    <cellStyle name="Comma 2 3 3 10 5" xfId="10453"/>
    <cellStyle name="Comma 2 3 3 10 5 2" xfId="10454"/>
    <cellStyle name="Comma 2 3 3 10 5 3" xfId="10455"/>
    <cellStyle name="Comma 2 3 3 10 5 4" xfId="10456"/>
    <cellStyle name="Comma 2 3 3 10 6" xfId="10457"/>
    <cellStyle name="Comma 2 3 3 10 6 2" xfId="10458"/>
    <cellStyle name="Comma 2 3 3 10 7" xfId="10459"/>
    <cellStyle name="Comma 2 3 3 10 8" xfId="10460"/>
    <cellStyle name="Comma 2 3 3 10 9" xfId="10461"/>
    <cellStyle name="Comma 2 3 3 11" xfId="10462"/>
    <cellStyle name="Comma 2 3 3 11 10" xfId="10463"/>
    <cellStyle name="Comma 2 3 3 11 2" xfId="10464"/>
    <cellStyle name="Comma 2 3 3 11 2 2" xfId="10465"/>
    <cellStyle name="Comma 2 3 3 11 2 2 2" xfId="10466"/>
    <cellStyle name="Comma 2 3 3 11 2 2 3" xfId="10467"/>
    <cellStyle name="Comma 2 3 3 11 2 3" xfId="10468"/>
    <cellStyle name="Comma 2 3 3 11 2 4" xfId="10469"/>
    <cellStyle name="Comma 2 3 3 11 2 5" xfId="10470"/>
    <cellStyle name="Comma 2 3 3 11 2 6" xfId="10471"/>
    <cellStyle name="Comma 2 3 3 11 3" xfId="10472"/>
    <cellStyle name="Comma 2 3 3 11 3 2" xfId="10473"/>
    <cellStyle name="Comma 2 3 3 11 3 2 2" xfId="10474"/>
    <cellStyle name="Comma 2 3 3 11 3 2 3" xfId="10475"/>
    <cellStyle name="Comma 2 3 3 11 3 3" xfId="10476"/>
    <cellStyle name="Comma 2 3 3 11 3 4" xfId="10477"/>
    <cellStyle name="Comma 2 3 3 11 3 5" xfId="10478"/>
    <cellStyle name="Comma 2 3 3 11 3 6" xfId="10479"/>
    <cellStyle name="Comma 2 3 3 11 4" xfId="10480"/>
    <cellStyle name="Comma 2 3 3 11 4 2" xfId="10481"/>
    <cellStyle name="Comma 2 3 3 11 4 2 2" xfId="10482"/>
    <cellStyle name="Comma 2 3 3 11 4 3" xfId="10483"/>
    <cellStyle name="Comma 2 3 3 11 4 4" xfId="10484"/>
    <cellStyle name="Comma 2 3 3 11 4 5" xfId="10485"/>
    <cellStyle name="Comma 2 3 3 11 5" xfId="10486"/>
    <cellStyle name="Comma 2 3 3 11 5 2" xfId="10487"/>
    <cellStyle name="Comma 2 3 3 11 5 3" xfId="10488"/>
    <cellStyle name="Comma 2 3 3 11 5 4" xfId="10489"/>
    <cellStyle name="Comma 2 3 3 11 6" xfId="10490"/>
    <cellStyle name="Comma 2 3 3 11 6 2" xfId="10491"/>
    <cellStyle name="Comma 2 3 3 11 7" xfId="10492"/>
    <cellStyle name="Comma 2 3 3 11 8" xfId="10493"/>
    <cellStyle name="Comma 2 3 3 11 9" xfId="10494"/>
    <cellStyle name="Comma 2 3 3 12" xfId="10495"/>
    <cellStyle name="Comma 2 3 3 12 10" xfId="10496"/>
    <cellStyle name="Comma 2 3 3 12 2" xfId="10497"/>
    <cellStyle name="Comma 2 3 3 12 2 2" xfId="10498"/>
    <cellStyle name="Comma 2 3 3 12 2 2 2" xfId="10499"/>
    <cellStyle name="Comma 2 3 3 12 2 2 3" xfId="10500"/>
    <cellStyle name="Comma 2 3 3 12 2 3" xfId="10501"/>
    <cellStyle name="Comma 2 3 3 12 2 4" xfId="10502"/>
    <cellStyle name="Comma 2 3 3 12 2 5" xfId="10503"/>
    <cellStyle name="Comma 2 3 3 12 2 6" xfId="10504"/>
    <cellStyle name="Comma 2 3 3 12 3" xfId="10505"/>
    <cellStyle name="Comma 2 3 3 12 3 2" xfId="10506"/>
    <cellStyle name="Comma 2 3 3 12 3 2 2" xfId="10507"/>
    <cellStyle name="Comma 2 3 3 12 3 2 3" xfId="10508"/>
    <cellStyle name="Comma 2 3 3 12 3 3" xfId="10509"/>
    <cellStyle name="Comma 2 3 3 12 3 4" xfId="10510"/>
    <cellStyle name="Comma 2 3 3 12 3 5" xfId="10511"/>
    <cellStyle name="Comma 2 3 3 12 3 6" xfId="10512"/>
    <cellStyle name="Comma 2 3 3 12 4" xfId="10513"/>
    <cellStyle name="Comma 2 3 3 12 4 2" xfId="10514"/>
    <cellStyle name="Comma 2 3 3 12 4 2 2" xfId="10515"/>
    <cellStyle name="Comma 2 3 3 12 4 3" xfId="10516"/>
    <cellStyle name="Comma 2 3 3 12 4 4" xfId="10517"/>
    <cellStyle name="Comma 2 3 3 12 4 5" xfId="10518"/>
    <cellStyle name="Comma 2 3 3 12 5" xfId="10519"/>
    <cellStyle name="Comma 2 3 3 12 5 2" xfId="10520"/>
    <cellStyle name="Comma 2 3 3 12 5 3" xfId="10521"/>
    <cellStyle name="Comma 2 3 3 12 5 4" xfId="10522"/>
    <cellStyle name="Comma 2 3 3 12 6" xfId="10523"/>
    <cellStyle name="Comma 2 3 3 12 6 2" xfId="10524"/>
    <cellStyle name="Comma 2 3 3 12 7" xfId="10525"/>
    <cellStyle name="Comma 2 3 3 12 8" xfId="10526"/>
    <cellStyle name="Comma 2 3 3 12 9" xfId="10527"/>
    <cellStyle name="Comma 2 3 3 13" xfId="10528"/>
    <cellStyle name="Comma 2 3 3 13 2" xfId="10529"/>
    <cellStyle name="Comma 2 3 3 13 2 2" xfId="10530"/>
    <cellStyle name="Comma 2 3 3 13 2 2 2" xfId="10531"/>
    <cellStyle name="Comma 2 3 3 13 2 2 3" xfId="10532"/>
    <cellStyle name="Comma 2 3 3 13 2 3" xfId="10533"/>
    <cellStyle name="Comma 2 3 3 13 2 4" xfId="10534"/>
    <cellStyle name="Comma 2 3 3 13 2 5" xfId="10535"/>
    <cellStyle name="Comma 2 3 3 13 2 6" xfId="10536"/>
    <cellStyle name="Comma 2 3 3 13 3" xfId="10537"/>
    <cellStyle name="Comma 2 3 3 13 3 2" xfId="10538"/>
    <cellStyle name="Comma 2 3 3 13 3 2 2" xfId="10539"/>
    <cellStyle name="Comma 2 3 3 13 3 3" xfId="10540"/>
    <cellStyle name="Comma 2 3 3 13 3 4" xfId="10541"/>
    <cellStyle name="Comma 2 3 3 13 3 5" xfId="10542"/>
    <cellStyle name="Comma 2 3 3 13 4" xfId="10543"/>
    <cellStyle name="Comma 2 3 3 13 4 2" xfId="10544"/>
    <cellStyle name="Comma 2 3 3 13 4 3" xfId="10545"/>
    <cellStyle name="Comma 2 3 3 13 4 4" xfId="10546"/>
    <cellStyle name="Comma 2 3 3 13 5" xfId="10547"/>
    <cellStyle name="Comma 2 3 3 13 5 2" xfId="10548"/>
    <cellStyle name="Comma 2 3 3 13 6" xfId="10549"/>
    <cellStyle name="Comma 2 3 3 13 7" xfId="10550"/>
    <cellStyle name="Comma 2 3 3 13 8" xfId="10551"/>
    <cellStyle name="Comma 2 3 3 13 9" xfId="10552"/>
    <cellStyle name="Comma 2 3 3 14" xfId="10553"/>
    <cellStyle name="Comma 2 3 3 14 2" xfId="10554"/>
    <cellStyle name="Comma 2 3 3 14 2 2" xfId="10555"/>
    <cellStyle name="Comma 2 3 3 14 2 2 2" xfId="10556"/>
    <cellStyle name="Comma 2 3 3 14 2 2 3" xfId="10557"/>
    <cellStyle name="Comma 2 3 3 14 2 3" xfId="10558"/>
    <cellStyle name="Comma 2 3 3 14 2 4" xfId="10559"/>
    <cellStyle name="Comma 2 3 3 14 2 5" xfId="10560"/>
    <cellStyle name="Comma 2 3 3 14 2 6" xfId="10561"/>
    <cellStyle name="Comma 2 3 3 14 3" xfId="10562"/>
    <cellStyle name="Comma 2 3 3 14 3 2" xfId="10563"/>
    <cellStyle name="Comma 2 3 3 14 3 2 2" xfId="10564"/>
    <cellStyle name="Comma 2 3 3 14 3 3" xfId="10565"/>
    <cellStyle name="Comma 2 3 3 14 3 4" xfId="10566"/>
    <cellStyle name="Comma 2 3 3 14 3 5" xfId="10567"/>
    <cellStyle name="Comma 2 3 3 14 4" xfId="10568"/>
    <cellStyle name="Comma 2 3 3 14 4 2" xfId="10569"/>
    <cellStyle name="Comma 2 3 3 14 4 3" xfId="10570"/>
    <cellStyle name="Comma 2 3 3 14 4 4" xfId="10571"/>
    <cellStyle name="Comma 2 3 3 14 5" xfId="10572"/>
    <cellStyle name="Comma 2 3 3 14 5 2" xfId="10573"/>
    <cellStyle name="Comma 2 3 3 14 6" xfId="10574"/>
    <cellStyle name="Comma 2 3 3 14 7" xfId="10575"/>
    <cellStyle name="Comma 2 3 3 14 8" xfId="10576"/>
    <cellStyle name="Comma 2 3 3 14 9" xfId="10577"/>
    <cellStyle name="Comma 2 3 3 15" xfId="10578"/>
    <cellStyle name="Comma 2 3 3 15 2" xfId="10579"/>
    <cellStyle name="Comma 2 3 3 15 2 2" xfId="10580"/>
    <cellStyle name="Comma 2 3 3 15 2 3" xfId="10581"/>
    <cellStyle name="Comma 2 3 3 15 3" xfId="10582"/>
    <cellStyle name="Comma 2 3 3 15 4" xfId="10583"/>
    <cellStyle name="Comma 2 3 3 15 5" xfId="10584"/>
    <cellStyle name="Comma 2 3 3 15 6" xfId="10585"/>
    <cellStyle name="Comma 2 3 3 16" xfId="10586"/>
    <cellStyle name="Comma 2 3 3 16 2" xfId="10587"/>
    <cellStyle name="Comma 2 3 3 16 2 2" xfId="10588"/>
    <cellStyle name="Comma 2 3 3 16 3" xfId="10589"/>
    <cellStyle name="Comma 2 3 3 16 4" xfId="10590"/>
    <cellStyle name="Comma 2 3 3 16 5" xfId="10591"/>
    <cellStyle name="Comma 2 3 3 17" xfId="10592"/>
    <cellStyle name="Comma 2 3 3 17 2" xfId="10593"/>
    <cellStyle name="Comma 2 3 3 17 2 2" xfId="10594"/>
    <cellStyle name="Comma 2 3 3 17 3" xfId="10595"/>
    <cellStyle name="Comma 2 3 3 17 4" xfId="10596"/>
    <cellStyle name="Comma 2 3 3 17 5" xfId="10597"/>
    <cellStyle name="Comma 2 3 3 18" xfId="10598"/>
    <cellStyle name="Comma 2 3 3 18 2" xfId="10599"/>
    <cellStyle name="Comma 2 3 3 19" xfId="10600"/>
    <cellStyle name="Comma 2 3 3 2" xfId="10601"/>
    <cellStyle name="Comma 2 3 3 2 10" xfId="10602"/>
    <cellStyle name="Comma 2 3 3 2 11" xfId="10603"/>
    <cellStyle name="Comma 2 3 3 2 2" xfId="10604"/>
    <cellStyle name="Comma 2 3 3 2 2 2" xfId="10605"/>
    <cellStyle name="Comma 2 3 3 2 2 2 2" xfId="10606"/>
    <cellStyle name="Comma 2 3 3 2 2 2 2 2" xfId="10607"/>
    <cellStyle name="Comma 2 3 3 2 2 2 2 3" xfId="10608"/>
    <cellStyle name="Comma 2 3 3 2 2 2 3" xfId="10609"/>
    <cellStyle name="Comma 2 3 3 2 2 2 4" xfId="10610"/>
    <cellStyle name="Comma 2 3 3 2 2 2 5" xfId="10611"/>
    <cellStyle name="Comma 2 3 3 2 2 2 6" xfId="10612"/>
    <cellStyle name="Comma 2 3 3 2 2 3" xfId="10613"/>
    <cellStyle name="Comma 2 3 3 2 2 3 2" xfId="10614"/>
    <cellStyle name="Comma 2 3 3 2 2 3 2 2" xfId="10615"/>
    <cellStyle name="Comma 2 3 3 2 2 3 3" xfId="10616"/>
    <cellStyle name="Comma 2 3 3 2 2 3 4" xfId="10617"/>
    <cellStyle name="Comma 2 3 3 2 2 3 5" xfId="10618"/>
    <cellStyle name="Comma 2 3 3 2 2 4" xfId="10619"/>
    <cellStyle name="Comma 2 3 3 2 2 4 2" xfId="10620"/>
    <cellStyle name="Comma 2 3 3 2 2 4 3" xfId="10621"/>
    <cellStyle name="Comma 2 3 3 2 2 4 4" xfId="10622"/>
    <cellStyle name="Comma 2 3 3 2 2 5" xfId="10623"/>
    <cellStyle name="Comma 2 3 3 2 2 5 2" xfId="10624"/>
    <cellStyle name="Comma 2 3 3 2 2 6" xfId="10625"/>
    <cellStyle name="Comma 2 3 3 2 2 7" xfId="10626"/>
    <cellStyle name="Comma 2 3 3 2 2 8" xfId="10627"/>
    <cellStyle name="Comma 2 3 3 2 2 9" xfId="10628"/>
    <cellStyle name="Comma 2 3 3 2 3" xfId="10629"/>
    <cellStyle name="Comma 2 3 3 2 3 2" xfId="10630"/>
    <cellStyle name="Comma 2 3 3 2 3 2 2" xfId="10631"/>
    <cellStyle name="Comma 2 3 3 2 3 2 2 2" xfId="10632"/>
    <cellStyle name="Comma 2 3 3 2 3 2 2 3" xfId="10633"/>
    <cellStyle name="Comma 2 3 3 2 3 2 3" xfId="10634"/>
    <cellStyle name="Comma 2 3 3 2 3 2 4" xfId="10635"/>
    <cellStyle name="Comma 2 3 3 2 3 2 5" xfId="10636"/>
    <cellStyle name="Comma 2 3 3 2 3 2 6" xfId="10637"/>
    <cellStyle name="Comma 2 3 3 2 3 3" xfId="10638"/>
    <cellStyle name="Comma 2 3 3 2 3 3 2" xfId="10639"/>
    <cellStyle name="Comma 2 3 3 2 3 3 2 2" xfId="10640"/>
    <cellStyle name="Comma 2 3 3 2 3 3 3" xfId="10641"/>
    <cellStyle name="Comma 2 3 3 2 3 3 4" xfId="10642"/>
    <cellStyle name="Comma 2 3 3 2 3 3 5" xfId="10643"/>
    <cellStyle name="Comma 2 3 3 2 3 4" xfId="10644"/>
    <cellStyle name="Comma 2 3 3 2 3 4 2" xfId="10645"/>
    <cellStyle name="Comma 2 3 3 2 3 4 3" xfId="10646"/>
    <cellStyle name="Comma 2 3 3 2 3 4 4" xfId="10647"/>
    <cellStyle name="Comma 2 3 3 2 3 5" xfId="10648"/>
    <cellStyle name="Comma 2 3 3 2 3 5 2" xfId="10649"/>
    <cellStyle name="Comma 2 3 3 2 3 6" xfId="10650"/>
    <cellStyle name="Comma 2 3 3 2 3 7" xfId="10651"/>
    <cellStyle name="Comma 2 3 3 2 3 8" xfId="10652"/>
    <cellStyle name="Comma 2 3 3 2 3 9" xfId="10653"/>
    <cellStyle name="Comma 2 3 3 2 4" xfId="10654"/>
    <cellStyle name="Comma 2 3 3 2 4 2" xfId="10655"/>
    <cellStyle name="Comma 2 3 3 2 4 2 2" xfId="10656"/>
    <cellStyle name="Comma 2 3 3 2 4 2 3" xfId="10657"/>
    <cellStyle name="Comma 2 3 3 2 4 3" xfId="10658"/>
    <cellStyle name="Comma 2 3 3 2 4 4" xfId="10659"/>
    <cellStyle name="Comma 2 3 3 2 4 5" xfId="10660"/>
    <cellStyle name="Comma 2 3 3 2 4 6" xfId="10661"/>
    <cellStyle name="Comma 2 3 3 2 5" xfId="10662"/>
    <cellStyle name="Comma 2 3 3 2 5 2" xfId="10663"/>
    <cellStyle name="Comma 2 3 3 2 5 2 2" xfId="10664"/>
    <cellStyle name="Comma 2 3 3 2 5 3" xfId="10665"/>
    <cellStyle name="Comma 2 3 3 2 5 4" xfId="10666"/>
    <cellStyle name="Comma 2 3 3 2 5 5" xfId="10667"/>
    <cellStyle name="Comma 2 3 3 2 6" xfId="10668"/>
    <cellStyle name="Comma 2 3 3 2 6 2" xfId="10669"/>
    <cellStyle name="Comma 2 3 3 2 6 3" xfId="10670"/>
    <cellStyle name="Comma 2 3 3 2 6 4" xfId="10671"/>
    <cellStyle name="Comma 2 3 3 2 7" xfId="10672"/>
    <cellStyle name="Comma 2 3 3 2 7 2" xfId="10673"/>
    <cellStyle name="Comma 2 3 3 2 8" xfId="10674"/>
    <cellStyle name="Comma 2 3 3 2 9" xfId="10675"/>
    <cellStyle name="Comma 2 3 3 20" xfId="10676"/>
    <cellStyle name="Comma 2 3 3 21" xfId="10677"/>
    <cellStyle name="Comma 2 3 3 22" xfId="10678"/>
    <cellStyle name="Comma 2 3 3 3" xfId="10679"/>
    <cellStyle name="Comma 2 3 3 3 10" xfId="10680"/>
    <cellStyle name="Comma 2 3 3 3 11" xfId="10681"/>
    <cellStyle name="Comma 2 3 3 3 2" xfId="10682"/>
    <cellStyle name="Comma 2 3 3 3 2 2" xfId="10683"/>
    <cellStyle name="Comma 2 3 3 3 2 2 2" xfId="10684"/>
    <cellStyle name="Comma 2 3 3 3 2 2 2 2" xfId="10685"/>
    <cellStyle name="Comma 2 3 3 3 2 2 2 3" xfId="10686"/>
    <cellStyle name="Comma 2 3 3 3 2 2 3" xfId="10687"/>
    <cellStyle name="Comma 2 3 3 3 2 2 4" xfId="10688"/>
    <cellStyle name="Comma 2 3 3 3 2 2 5" xfId="10689"/>
    <cellStyle name="Comma 2 3 3 3 2 2 6" xfId="10690"/>
    <cellStyle name="Comma 2 3 3 3 2 3" xfId="10691"/>
    <cellStyle name="Comma 2 3 3 3 2 3 2" xfId="10692"/>
    <cellStyle name="Comma 2 3 3 3 2 3 2 2" xfId="10693"/>
    <cellStyle name="Comma 2 3 3 3 2 3 3" xfId="10694"/>
    <cellStyle name="Comma 2 3 3 3 2 3 4" xfId="10695"/>
    <cellStyle name="Comma 2 3 3 3 2 3 5" xfId="10696"/>
    <cellStyle name="Comma 2 3 3 3 2 4" xfId="10697"/>
    <cellStyle name="Comma 2 3 3 3 2 4 2" xfId="10698"/>
    <cellStyle name="Comma 2 3 3 3 2 4 3" xfId="10699"/>
    <cellStyle name="Comma 2 3 3 3 2 4 4" xfId="10700"/>
    <cellStyle name="Comma 2 3 3 3 2 5" xfId="10701"/>
    <cellStyle name="Comma 2 3 3 3 2 5 2" xfId="10702"/>
    <cellStyle name="Comma 2 3 3 3 2 6" xfId="10703"/>
    <cellStyle name="Comma 2 3 3 3 2 7" xfId="10704"/>
    <cellStyle name="Comma 2 3 3 3 2 8" xfId="10705"/>
    <cellStyle name="Comma 2 3 3 3 2 9" xfId="10706"/>
    <cellStyle name="Comma 2 3 3 3 3" xfId="10707"/>
    <cellStyle name="Comma 2 3 3 3 3 2" xfId="10708"/>
    <cellStyle name="Comma 2 3 3 3 3 2 2" xfId="10709"/>
    <cellStyle name="Comma 2 3 3 3 3 2 2 2" xfId="10710"/>
    <cellStyle name="Comma 2 3 3 3 3 2 2 3" xfId="10711"/>
    <cellStyle name="Comma 2 3 3 3 3 2 3" xfId="10712"/>
    <cellStyle name="Comma 2 3 3 3 3 2 4" xfId="10713"/>
    <cellStyle name="Comma 2 3 3 3 3 2 5" xfId="10714"/>
    <cellStyle name="Comma 2 3 3 3 3 2 6" xfId="10715"/>
    <cellStyle name="Comma 2 3 3 3 3 3" xfId="10716"/>
    <cellStyle name="Comma 2 3 3 3 3 3 2" xfId="10717"/>
    <cellStyle name="Comma 2 3 3 3 3 3 2 2" xfId="10718"/>
    <cellStyle name="Comma 2 3 3 3 3 3 3" xfId="10719"/>
    <cellStyle name="Comma 2 3 3 3 3 3 4" xfId="10720"/>
    <cellStyle name="Comma 2 3 3 3 3 3 5" xfId="10721"/>
    <cellStyle name="Comma 2 3 3 3 3 4" xfId="10722"/>
    <cellStyle name="Comma 2 3 3 3 3 4 2" xfId="10723"/>
    <cellStyle name="Comma 2 3 3 3 3 4 3" xfId="10724"/>
    <cellStyle name="Comma 2 3 3 3 3 4 4" xfId="10725"/>
    <cellStyle name="Comma 2 3 3 3 3 5" xfId="10726"/>
    <cellStyle name="Comma 2 3 3 3 3 5 2" xfId="10727"/>
    <cellStyle name="Comma 2 3 3 3 3 6" xfId="10728"/>
    <cellStyle name="Comma 2 3 3 3 3 7" xfId="10729"/>
    <cellStyle name="Comma 2 3 3 3 3 8" xfId="10730"/>
    <cellStyle name="Comma 2 3 3 3 3 9" xfId="10731"/>
    <cellStyle name="Comma 2 3 3 3 4" xfId="10732"/>
    <cellStyle name="Comma 2 3 3 3 4 2" xfId="10733"/>
    <cellStyle name="Comma 2 3 3 3 4 2 2" xfId="10734"/>
    <cellStyle name="Comma 2 3 3 3 4 2 3" xfId="10735"/>
    <cellStyle name="Comma 2 3 3 3 4 3" xfId="10736"/>
    <cellStyle name="Comma 2 3 3 3 4 4" xfId="10737"/>
    <cellStyle name="Comma 2 3 3 3 4 5" xfId="10738"/>
    <cellStyle name="Comma 2 3 3 3 4 6" xfId="10739"/>
    <cellStyle name="Comma 2 3 3 3 5" xfId="10740"/>
    <cellStyle name="Comma 2 3 3 3 5 2" xfId="10741"/>
    <cellStyle name="Comma 2 3 3 3 5 2 2" xfId="10742"/>
    <cellStyle name="Comma 2 3 3 3 5 3" xfId="10743"/>
    <cellStyle name="Comma 2 3 3 3 5 4" xfId="10744"/>
    <cellStyle name="Comma 2 3 3 3 5 5" xfId="10745"/>
    <cellStyle name="Comma 2 3 3 3 6" xfId="10746"/>
    <cellStyle name="Comma 2 3 3 3 6 2" xfId="10747"/>
    <cellStyle name="Comma 2 3 3 3 6 3" xfId="10748"/>
    <cellStyle name="Comma 2 3 3 3 6 4" xfId="10749"/>
    <cellStyle name="Comma 2 3 3 3 7" xfId="10750"/>
    <cellStyle name="Comma 2 3 3 3 7 2" xfId="10751"/>
    <cellStyle name="Comma 2 3 3 3 8" xfId="10752"/>
    <cellStyle name="Comma 2 3 3 3 9" xfId="10753"/>
    <cellStyle name="Comma 2 3 3 4" xfId="10754"/>
    <cellStyle name="Comma 2 3 3 4 10" xfId="10755"/>
    <cellStyle name="Comma 2 3 3 4 11" xfId="10756"/>
    <cellStyle name="Comma 2 3 3 4 2" xfId="10757"/>
    <cellStyle name="Comma 2 3 3 4 2 2" xfId="10758"/>
    <cellStyle name="Comma 2 3 3 4 2 2 2" xfId="10759"/>
    <cellStyle name="Comma 2 3 3 4 2 2 2 2" xfId="10760"/>
    <cellStyle name="Comma 2 3 3 4 2 2 2 3" xfId="10761"/>
    <cellStyle name="Comma 2 3 3 4 2 2 3" xfId="10762"/>
    <cellStyle name="Comma 2 3 3 4 2 2 4" xfId="10763"/>
    <cellStyle name="Comma 2 3 3 4 2 2 5" xfId="10764"/>
    <cellStyle name="Comma 2 3 3 4 2 2 6" xfId="10765"/>
    <cellStyle name="Comma 2 3 3 4 2 3" xfId="10766"/>
    <cellStyle name="Comma 2 3 3 4 2 3 2" xfId="10767"/>
    <cellStyle name="Comma 2 3 3 4 2 3 2 2" xfId="10768"/>
    <cellStyle name="Comma 2 3 3 4 2 3 3" xfId="10769"/>
    <cellStyle name="Comma 2 3 3 4 2 3 4" xfId="10770"/>
    <cellStyle name="Comma 2 3 3 4 2 3 5" xfId="10771"/>
    <cellStyle name="Comma 2 3 3 4 2 4" xfId="10772"/>
    <cellStyle name="Comma 2 3 3 4 2 4 2" xfId="10773"/>
    <cellStyle name="Comma 2 3 3 4 2 4 3" xfId="10774"/>
    <cellStyle name="Comma 2 3 3 4 2 4 4" xfId="10775"/>
    <cellStyle name="Comma 2 3 3 4 2 5" xfId="10776"/>
    <cellStyle name="Comma 2 3 3 4 2 5 2" xfId="10777"/>
    <cellStyle name="Comma 2 3 3 4 2 6" xfId="10778"/>
    <cellStyle name="Comma 2 3 3 4 2 7" xfId="10779"/>
    <cellStyle name="Comma 2 3 3 4 2 8" xfId="10780"/>
    <cellStyle name="Comma 2 3 3 4 2 9" xfId="10781"/>
    <cellStyle name="Comma 2 3 3 4 3" xfId="10782"/>
    <cellStyle name="Comma 2 3 3 4 3 2" xfId="10783"/>
    <cellStyle name="Comma 2 3 3 4 3 2 2" xfId="10784"/>
    <cellStyle name="Comma 2 3 3 4 3 2 2 2" xfId="10785"/>
    <cellStyle name="Comma 2 3 3 4 3 2 2 3" xfId="10786"/>
    <cellStyle name="Comma 2 3 3 4 3 2 3" xfId="10787"/>
    <cellStyle name="Comma 2 3 3 4 3 2 4" xfId="10788"/>
    <cellStyle name="Comma 2 3 3 4 3 2 5" xfId="10789"/>
    <cellStyle name="Comma 2 3 3 4 3 2 6" xfId="10790"/>
    <cellStyle name="Comma 2 3 3 4 3 3" xfId="10791"/>
    <cellStyle name="Comma 2 3 3 4 3 3 2" xfId="10792"/>
    <cellStyle name="Comma 2 3 3 4 3 3 2 2" xfId="10793"/>
    <cellStyle name="Comma 2 3 3 4 3 3 3" xfId="10794"/>
    <cellStyle name="Comma 2 3 3 4 3 3 4" xfId="10795"/>
    <cellStyle name="Comma 2 3 3 4 3 3 5" xfId="10796"/>
    <cellStyle name="Comma 2 3 3 4 3 4" xfId="10797"/>
    <cellStyle name="Comma 2 3 3 4 3 4 2" xfId="10798"/>
    <cellStyle name="Comma 2 3 3 4 3 4 3" xfId="10799"/>
    <cellStyle name="Comma 2 3 3 4 3 4 4" xfId="10800"/>
    <cellStyle name="Comma 2 3 3 4 3 5" xfId="10801"/>
    <cellStyle name="Comma 2 3 3 4 3 5 2" xfId="10802"/>
    <cellStyle name="Comma 2 3 3 4 3 6" xfId="10803"/>
    <cellStyle name="Comma 2 3 3 4 3 7" xfId="10804"/>
    <cellStyle name="Comma 2 3 3 4 3 8" xfId="10805"/>
    <cellStyle name="Comma 2 3 3 4 3 9" xfId="10806"/>
    <cellStyle name="Comma 2 3 3 4 4" xfId="10807"/>
    <cellStyle name="Comma 2 3 3 4 4 2" xfId="10808"/>
    <cellStyle name="Comma 2 3 3 4 4 2 2" xfId="10809"/>
    <cellStyle name="Comma 2 3 3 4 4 2 3" xfId="10810"/>
    <cellStyle name="Comma 2 3 3 4 4 3" xfId="10811"/>
    <cellStyle name="Comma 2 3 3 4 4 4" xfId="10812"/>
    <cellStyle name="Comma 2 3 3 4 4 5" xfId="10813"/>
    <cellStyle name="Comma 2 3 3 4 4 6" xfId="10814"/>
    <cellStyle name="Comma 2 3 3 4 5" xfId="10815"/>
    <cellStyle name="Comma 2 3 3 4 5 2" xfId="10816"/>
    <cellStyle name="Comma 2 3 3 4 5 2 2" xfId="10817"/>
    <cellStyle name="Comma 2 3 3 4 5 3" xfId="10818"/>
    <cellStyle name="Comma 2 3 3 4 5 4" xfId="10819"/>
    <cellStyle name="Comma 2 3 3 4 5 5" xfId="10820"/>
    <cellStyle name="Comma 2 3 3 4 6" xfId="10821"/>
    <cellStyle name="Comma 2 3 3 4 6 2" xfId="10822"/>
    <cellStyle name="Comma 2 3 3 4 6 3" xfId="10823"/>
    <cellStyle name="Comma 2 3 3 4 6 4" xfId="10824"/>
    <cellStyle name="Comma 2 3 3 4 7" xfId="10825"/>
    <cellStyle name="Comma 2 3 3 4 7 2" xfId="10826"/>
    <cellStyle name="Comma 2 3 3 4 8" xfId="10827"/>
    <cellStyle name="Comma 2 3 3 4 9" xfId="10828"/>
    <cellStyle name="Comma 2 3 3 5" xfId="10829"/>
    <cellStyle name="Comma 2 3 3 5 10" xfId="10830"/>
    <cellStyle name="Comma 2 3 3 5 11" xfId="10831"/>
    <cellStyle name="Comma 2 3 3 5 2" xfId="10832"/>
    <cellStyle name="Comma 2 3 3 5 2 2" xfId="10833"/>
    <cellStyle name="Comma 2 3 3 5 2 2 2" xfId="10834"/>
    <cellStyle name="Comma 2 3 3 5 2 2 2 2" xfId="10835"/>
    <cellStyle name="Comma 2 3 3 5 2 2 2 3" xfId="10836"/>
    <cellStyle name="Comma 2 3 3 5 2 2 3" xfId="10837"/>
    <cellStyle name="Comma 2 3 3 5 2 2 4" xfId="10838"/>
    <cellStyle name="Comma 2 3 3 5 2 2 5" xfId="10839"/>
    <cellStyle name="Comma 2 3 3 5 2 2 6" xfId="10840"/>
    <cellStyle name="Comma 2 3 3 5 2 3" xfId="10841"/>
    <cellStyle name="Comma 2 3 3 5 2 3 2" xfId="10842"/>
    <cellStyle name="Comma 2 3 3 5 2 3 2 2" xfId="10843"/>
    <cellStyle name="Comma 2 3 3 5 2 3 3" xfId="10844"/>
    <cellStyle name="Comma 2 3 3 5 2 3 4" xfId="10845"/>
    <cellStyle name="Comma 2 3 3 5 2 3 5" xfId="10846"/>
    <cellStyle name="Comma 2 3 3 5 2 4" xfId="10847"/>
    <cellStyle name="Comma 2 3 3 5 2 4 2" xfId="10848"/>
    <cellStyle name="Comma 2 3 3 5 2 4 3" xfId="10849"/>
    <cellStyle name="Comma 2 3 3 5 2 4 4" xfId="10850"/>
    <cellStyle name="Comma 2 3 3 5 2 5" xfId="10851"/>
    <cellStyle name="Comma 2 3 3 5 2 5 2" xfId="10852"/>
    <cellStyle name="Comma 2 3 3 5 2 6" xfId="10853"/>
    <cellStyle name="Comma 2 3 3 5 2 7" xfId="10854"/>
    <cellStyle name="Comma 2 3 3 5 2 8" xfId="10855"/>
    <cellStyle name="Comma 2 3 3 5 2 9" xfId="10856"/>
    <cellStyle name="Comma 2 3 3 5 3" xfId="10857"/>
    <cellStyle name="Comma 2 3 3 5 3 2" xfId="10858"/>
    <cellStyle name="Comma 2 3 3 5 3 2 2" xfId="10859"/>
    <cellStyle name="Comma 2 3 3 5 3 2 2 2" xfId="10860"/>
    <cellStyle name="Comma 2 3 3 5 3 2 2 3" xfId="10861"/>
    <cellStyle name="Comma 2 3 3 5 3 2 3" xfId="10862"/>
    <cellStyle name="Comma 2 3 3 5 3 2 4" xfId="10863"/>
    <cellStyle name="Comma 2 3 3 5 3 2 5" xfId="10864"/>
    <cellStyle name="Comma 2 3 3 5 3 2 6" xfId="10865"/>
    <cellStyle name="Comma 2 3 3 5 3 3" xfId="10866"/>
    <cellStyle name="Comma 2 3 3 5 3 3 2" xfId="10867"/>
    <cellStyle name="Comma 2 3 3 5 3 3 2 2" xfId="10868"/>
    <cellStyle name="Comma 2 3 3 5 3 3 3" xfId="10869"/>
    <cellStyle name="Comma 2 3 3 5 3 3 4" xfId="10870"/>
    <cellStyle name="Comma 2 3 3 5 3 3 5" xfId="10871"/>
    <cellStyle name="Comma 2 3 3 5 3 4" xfId="10872"/>
    <cellStyle name="Comma 2 3 3 5 3 4 2" xfId="10873"/>
    <cellStyle name="Comma 2 3 3 5 3 4 3" xfId="10874"/>
    <cellStyle name="Comma 2 3 3 5 3 4 4" xfId="10875"/>
    <cellStyle name="Comma 2 3 3 5 3 5" xfId="10876"/>
    <cellStyle name="Comma 2 3 3 5 3 5 2" xfId="10877"/>
    <cellStyle name="Comma 2 3 3 5 3 6" xfId="10878"/>
    <cellStyle name="Comma 2 3 3 5 3 7" xfId="10879"/>
    <cellStyle name="Comma 2 3 3 5 3 8" xfId="10880"/>
    <cellStyle name="Comma 2 3 3 5 3 9" xfId="10881"/>
    <cellStyle name="Comma 2 3 3 5 4" xfId="10882"/>
    <cellStyle name="Comma 2 3 3 5 4 2" xfId="10883"/>
    <cellStyle name="Comma 2 3 3 5 4 2 2" xfId="10884"/>
    <cellStyle name="Comma 2 3 3 5 4 2 3" xfId="10885"/>
    <cellStyle name="Comma 2 3 3 5 4 3" xfId="10886"/>
    <cellStyle name="Comma 2 3 3 5 4 4" xfId="10887"/>
    <cellStyle name="Comma 2 3 3 5 4 5" xfId="10888"/>
    <cellStyle name="Comma 2 3 3 5 4 6" xfId="10889"/>
    <cellStyle name="Comma 2 3 3 5 5" xfId="10890"/>
    <cellStyle name="Comma 2 3 3 5 5 2" xfId="10891"/>
    <cellStyle name="Comma 2 3 3 5 5 2 2" xfId="10892"/>
    <cellStyle name="Comma 2 3 3 5 5 3" xfId="10893"/>
    <cellStyle name="Comma 2 3 3 5 5 4" xfId="10894"/>
    <cellStyle name="Comma 2 3 3 5 5 5" xfId="10895"/>
    <cellStyle name="Comma 2 3 3 5 6" xfId="10896"/>
    <cellStyle name="Comma 2 3 3 5 6 2" xfId="10897"/>
    <cellStyle name="Comma 2 3 3 5 6 3" xfId="10898"/>
    <cellStyle name="Comma 2 3 3 5 6 4" xfId="10899"/>
    <cellStyle name="Comma 2 3 3 5 7" xfId="10900"/>
    <cellStyle name="Comma 2 3 3 5 7 2" xfId="10901"/>
    <cellStyle name="Comma 2 3 3 5 8" xfId="10902"/>
    <cellStyle name="Comma 2 3 3 5 9" xfId="10903"/>
    <cellStyle name="Comma 2 3 3 6" xfId="10904"/>
    <cellStyle name="Comma 2 3 3 6 10" xfId="10905"/>
    <cellStyle name="Comma 2 3 3 6 11" xfId="10906"/>
    <cellStyle name="Comma 2 3 3 6 2" xfId="10907"/>
    <cellStyle name="Comma 2 3 3 6 2 2" xfId="10908"/>
    <cellStyle name="Comma 2 3 3 6 2 2 2" xfId="10909"/>
    <cellStyle name="Comma 2 3 3 6 2 2 2 2" xfId="10910"/>
    <cellStyle name="Comma 2 3 3 6 2 2 2 3" xfId="10911"/>
    <cellStyle name="Comma 2 3 3 6 2 2 3" xfId="10912"/>
    <cellStyle name="Comma 2 3 3 6 2 2 4" xfId="10913"/>
    <cellStyle name="Comma 2 3 3 6 2 2 5" xfId="10914"/>
    <cellStyle name="Comma 2 3 3 6 2 2 6" xfId="10915"/>
    <cellStyle name="Comma 2 3 3 6 2 3" xfId="10916"/>
    <cellStyle name="Comma 2 3 3 6 2 3 2" xfId="10917"/>
    <cellStyle name="Comma 2 3 3 6 2 3 2 2" xfId="10918"/>
    <cellStyle name="Comma 2 3 3 6 2 3 3" xfId="10919"/>
    <cellStyle name="Comma 2 3 3 6 2 3 4" xfId="10920"/>
    <cellStyle name="Comma 2 3 3 6 2 3 5" xfId="10921"/>
    <cellStyle name="Comma 2 3 3 6 2 4" xfId="10922"/>
    <cellStyle name="Comma 2 3 3 6 2 4 2" xfId="10923"/>
    <cellStyle name="Comma 2 3 3 6 2 4 3" xfId="10924"/>
    <cellStyle name="Comma 2 3 3 6 2 4 4" xfId="10925"/>
    <cellStyle name="Comma 2 3 3 6 2 5" xfId="10926"/>
    <cellStyle name="Comma 2 3 3 6 2 5 2" xfId="10927"/>
    <cellStyle name="Comma 2 3 3 6 2 6" xfId="10928"/>
    <cellStyle name="Comma 2 3 3 6 2 7" xfId="10929"/>
    <cellStyle name="Comma 2 3 3 6 2 8" xfId="10930"/>
    <cellStyle name="Comma 2 3 3 6 2 9" xfId="10931"/>
    <cellStyle name="Comma 2 3 3 6 3" xfId="10932"/>
    <cellStyle name="Comma 2 3 3 6 3 2" xfId="10933"/>
    <cellStyle name="Comma 2 3 3 6 3 2 2" xfId="10934"/>
    <cellStyle name="Comma 2 3 3 6 3 2 2 2" xfId="10935"/>
    <cellStyle name="Comma 2 3 3 6 3 2 2 3" xfId="10936"/>
    <cellStyle name="Comma 2 3 3 6 3 2 3" xfId="10937"/>
    <cellStyle name="Comma 2 3 3 6 3 2 4" xfId="10938"/>
    <cellStyle name="Comma 2 3 3 6 3 2 5" xfId="10939"/>
    <cellStyle name="Comma 2 3 3 6 3 2 6" xfId="10940"/>
    <cellStyle name="Comma 2 3 3 6 3 3" xfId="10941"/>
    <cellStyle name="Comma 2 3 3 6 3 3 2" xfId="10942"/>
    <cellStyle name="Comma 2 3 3 6 3 3 2 2" xfId="10943"/>
    <cellStyle name="Comma 2 3 3 6 3 3 3" xfId="10944"/>
    <cellStyle name="Comma 2 3 3 6 3 3 4" xfId="10945"/>
    <cellStyle name="Comma 2 3 3 6 3 3 5" xfId="10946"/>
    <cellStyle name="Comma 2 3 3 6 3 4" xfId="10947"/>
    <cellStyle name="Comma 2 3 3 6 3 4 2" xfId="10948"/>
    <cellStyle name="Comma 2 3 3 6 3 4 3" xfId="10949"/>
    <cellStyle name="Comma 2 3 3 6 3 4 4" xfId="10950"/>
    <cellStyle name="Comma 2 3 3 6 3 5" xfId="10951"/>
    <cellStyle name="Comma 2 3 3 6 3 5 2" xfId="10952"/>
    <cellStyle name="Comma 2 3 3 6 3 6" xfId="10953"/>
    <cellStyle name="Comma 2 3 3 6 3 7" xfId="10954"/>
    <cellStyle name="Comma 2 3 3 6 3 8" xfId="10955"/>
    <cellStyle name="Comma 2 3 3 6 3 9" xfId="10956"/>
    <cellStyle name="Comma 2 3 3 6 4" xfId="10957"/>
    <cellStyle name="Comma 2 3 3 6 4 2" xfId="10958"/>
    <cellStyle name="Comma 2 3 3 6 4 2 2" xfId="10959"/>
    <cellStyle name="Comma 2 3 3 6 4 2 3" xfId="10960"/>
    <cellStyle name="Comma 2 3 3 6 4 3" xfId="10961"/>
    <cellStyle name="Comma 2 3 3 6 4 4" xfId="10962"/>
    <cellStyle name="Comma 2 3 3 6 4 5" xfId="10963"/>
    <cellStyle name="Comma 2 3 3 6 4 6" xfId="10964"/>
    <cellStyle name="Comma 2 3 3 6 5" xfId="10965"/>
    <cellStyle name="Comma 2 3 3 6 5 2" xfId="10966"/>
    <cellStyle name="Comma 2 3 3 6 5 2 2" xfId="10967"/>
    <cellStyle name="Comma 2 3 3 6 5 3" xfId="10968"/>
    <cellStyle name="Comma 2 3 3 6 5 4" xfId="10969"/>
    <cellStyle name="Comma 2 3 3 6 5 5" xfId="10970"/>
    <cellStyle name="Comma 2 3 3 6 6" xfId="10971"/>
    <cellStyle name="Comma 2 3 3 6 6 2" xfId="10972"/>
    <cellStyle name="Comma 2 3 3 6 6 3" xfId="10973"/>
    <cellStyle name="Comma 2 3 3 6 6 4" xfId="10974"/>
    <cellStyle name="Comma 2 3 3 6 7" xfId="10975"/>
    <cellStyle name="Comma 2 3 3 6 7 2" xfId="10976"/>
    <cellStyle name="Comma 2 3 3 6 8" xfId="10977"/>
    <cellStyle name="Comma 2 3 3 6 9" xfId="10978"/>
    <cellStyle name="Comma 2 3 3 7" xfId="10979"/>
    <cellStyle name="Comma 2 3 3 7 10" xfId="10980"/>
    <cellStyle name="Comma 2 3 3 7 11" xfId="10981"/>
    <cellStyle name="Comma 2 3 3 7 2" xfId="10982"/>
    <cellStyle name="Comma 2 3 3 7 2 2" xfId="10983"/>
    <cellStyle name="Comma 2 3 3 7 2 2 2" xfId="10984"/>
    <cellStyle name="Comma 2 3 3 7 2 2 2 2" xfId="10985"/>
    <cellStyle name="Comma 2 3 3 7 2 2 2 3" xfId="10986"/>
    <cellStyle name="Comma 2 3 3 7 2 2 3" xfId="10987"/>
    <cellStyle name="Comma 2 3 3 7 2 2 4" xfId="10988"/>
    <cellStyle name="Comma 2 3 3 7 2 2 5" xfId="10989"/>
    <cellStyle name="Comma 2 3 3 7 2 2 6" xfId="10990"/>
    <cellStyle name="Comma 2 3 3 7 2 3" xfId="10991"/>
    <cellStyle name="Comma 2 3 3 7 2 3 2" xfId="10992"/>
    <cellStyle name="Comma 2 3 3 7 2 3 2 2" xfId="10993"/>
    <cellStyle name="Comma 2 3 3 7 2 3 3" xfId="10994"/>
    <cellStyle name="Comma 2 3 3 7 2 3 4" xfId="10995"/>
    <cellStyle name="Comma 2 3 3 7 2 3 5" xfId="10996"/>
    <cellStyle name="Comma 2 3 3 7 2 4" xfId="10997"/>
    <cellStyle name="Comma 2 3 3 7 2 4 2" xfId="10998"/>
    <cellStyle name="Comma 2 3 3 7 2 4 3" xfId="10999"/>
    <cellStyle name="Comma 2 3 3 7 2 4 4" xfId="11000"/>
    <cellStyle name="Comma 2 3 3 7 2 5" xfId="11001"/>
    <cellStyle name="Comma 2 3 3 7 2 5 2" xfId="11002"/>
    <cellStyle name="Comma 2 3 3 7 2 6" xfId="11003"/>
    <cellStyle name="Comma 2 3 3 7 2 7" xfId="11004"/>
    <cellStyle name="Comma 2 3 3 7 2 8" xfId="11005"/>
    <cellStyle name="Comma 2 3 3 7 2 9" xfId="11006"/>
    <cellStyle name="Comma 2 3 3 7 3" xfId="11007"/>
    <cellStyle name="Comma 2 3 3 7 3 2" xfId="11008"/>
    <cellStyle name="Comma 2 3 3 7 3 2 2" xfId="11009"/>
    <cellStyle name="Comma 2 3 3 7 3 2 2 2" xfId="11010"/>
    <cellStyle name="Comma 2 3 3 7 3 2 2 3" xfId="11011"/>
    <cellStyle name="Comma 2 3 3 7 3 2 3" xfId="11012"/>
    <cellStyle name="Comma 2 3 3 7 3 2 4" xfId="11013"/>
    <cellStyle name="Comma 2 3 3 7 3 2 5" xfId="11014"/>
    <cellStyle name="Comma 2 3 3 7 3 2 6" xfId="11015"/>
    <cellStyle name="Comma 2 3 3 7 3 3" xfId="11016"/>
    <cellStyle name="Comma 2 3 3 7 3 3 2" xfId="11017"/>
    <cellStyle name="Comma 2 3 3 7 3 3 2 2" xfId="11018"/>
    <cellStyle name="Comma 2 3 3 7 3 3 3" xfId="11019"/>
    <cellStyle name="Comma 2 3 3 7 3 3 4" xfId="11020"/>
    <cellStyle name="Comma 2 3 3 7 3 3 5" xfId="11021"/>
    <cellStyle name="Comma 2 3 3 7 3 4" xfId="11022"/>
    <cellStyle name="Comma 2 3 3 7 3 4 2" xfId="11023"/>
    <cellStyle name="Comma 2 3 3 7 3 4 3" xfId="11024"/>
    <cellStyle name="Comma 2 3 3 7 3 4 4" xfId="11025"/>
    <cellStyle name="Comma 2 3 3 7 3 5" xfId="11026"/>
    <cellStyle name="Comma 2 3 3 7 3 5 2" xfId="11027"/>
    <cellStyle name="Comma 2 3 3 7 3 6" xfId="11028"/>
    <cellStyle name="Comma 2 3 3 7 3 7" xfId="11029"/>
    <cellStyle name="Comma 2 3 3 7 3 8" xfId="11030"/>
    <cellStyle name="Comma 2 3 3 7 3 9" xfId="11031"/>
    <cellStyle name="Comma 2 3 3 7 4" xfId="11032"/>
    <cellStyle name="Comma 2 3 3 7 4 2" xfId="11033"/>
    <cellStyle name="Comma 2 3 3 7 4 2 2" xfId="11034"/>
    <cellStyle name="Comma 2 3 3 7 4 2 3" xfId="11035"/>
    <cellStyle name="Comma 2 3 3 7 4 3" xfId="11036"/>
    <cellStyle name="Comma 2 3 3 7 4 4" xfId="11037"/>
    <cellStyle name="Comma 2 3 3 7 4 5" xfId="11038"/>
    <cellStyle name="Comma 2 3 3 7 4 6" xfId="11039"/>
    <cellStyle name="Comma 2 3 3 7 5" xfId="11040"/>
    <cellStyle name="Comma 2 3 3 7 5 2" xfId="11041"/>
    <cellStyle name="Comma 2 3 3 7 5 2 2" xfId="11042"/>
    <cellStyle name="Comma 2 3 3 7 5 3" xfId="11043"/>
    <cellStyle name="Comma 2 3 3 7 5 4" xfId="11044"/>
    <cellStyle name="Comma 2 3 3 7 5 5" xfId="11045"/>
    <cellStyle name="Comma 2 3 3 7 6" xfId="11046"/>
    <cellStyle name="Comma 2 3 3 7 6 2" xfId="11047"/>
    <cellStyle name="Comma 2 3 3 7 6 3" xfId="11048"/>
    <cellStyle name="Comma 2 3 3 7 6 4" xfId="11049"/>
    <cellStyle name="Comma 2 3 3 7 7" xfId="11050"/>
    <cellStyle name="Comma 2 3 3 7 7 2" xfId="11051"/>
    <cellStyle name="Comma 2 3 3 7 8" xfId="11052"/>
    <cellStyle name="Comma 2 3 3 7 9" xfId="11053"/>
    <cellStyle name="Comma 2 3 3 8" xfId="11054"/>
    <cellStyle name="Comma 2 3 3 8 10" xfId="11055"/>
    <cellStyle name="Comma 2 3 3 8 2" xfId="11056"/>
    <cellStyle name="Comma 2 3 3 8 2 2" xfId="11057"/>
    <cellStyle name="Comma 2 3 3 8 2 2 2" xfId="11058"/>
    <cellStyle name="Comma 2 3 3 8 2 2 3" xfId="11059"/>
    <cellStyle name="Comma 2 3 3 8 2 3" xfId="11060"/>
    <cellStyle name="Comma 2 3 3 8 2 4" xfId="11061"/>
    <cellStyle name="Comma 2 3 3 8 2 5" xfId="11062"/>
    <cellStyle name="Comma 2 3 3 8 2 6" xfId="11063"/>
    <cellStyle name="Comma 2 3 3 8 3" xfId="11064"/>
    <cellStyle name="Comma 2 3 3 8 3 2" xfId="11065"/>
    <cellStyle name="Comma 2 3 3 8 3 2 2" xfId="11066"/>
    <cellStyle name="Comma 2 3 3 8 3 2 3" xfId="11067"/>
    <cellStyle name="Comma 2 3 3 8 3 3" xfId="11068"/>
    <cellStyle name="Comma 2 3 3 8 3 4" xfId="11069"/>
    <cellStyle name="Comma 2 3 3 8 3 5" xfId="11070"/>
    <cellStyle name="Comma 2 3 3 8 3 6" xfId="11071"/>
    <cellStyle name="Comma 2 3 3 8 4" xfId="11072"/>
    <cellStyle name="Comma 2 3 3 8 4 2" xfId="11073"/>
    <cellStyle name="Comma 2 3 3 8 4 2 2" xfId="11074"/>
    <cellStyle name="Comma 2 3 3 8 4 3" xfId="11075"/>
    <cellStyle name="Comma 2 3 3 8 4 4" xfId="11076"/>
    <cellStyle name="Comma 2 3 3 8 4 5" xfId="11077"/>
    <cellStyle name="Comma 2 3 3 8 5" xfId="11078"/>
    <cellStyle name="Comma 2 3 3 8 5 2" xfId="11079"/>
    <cellStyle name="Comma 2 3 3 8 5 3" xfId="11080"/>
    <cellStyle name="Comma 2 3 3 8 5 4" xfId="11081"/>
    <cellStyle name="Comma 2 3 3 8 6" xfId="11082"/>
    <cellStyle name="Comma 2 3 3 8 6 2" xfId="11083"/>
    <cellStyle name="Comma 2 3 3 8 7" xfId="11084"/>
    <cellStyle name="Comma 2 3 3 8 8" xfId="11085"/>
    <cellStyle name="Comma 2 3 3 8 9" xfId="11086"/>
    <cellStyle name="Comma 2 3 3 9" xfId="11087"/>
    <cellStyle name="Comma 2 3 3 9 10" xfId="11088"/>
    <cellStyle name="Comma 2 3 3 9 2" xfId="11089"/>
    <cellStyle name="Comma 2 3 3 9 2 2" xfId="11090"/>
    <cellStyle name="Comma 2 3 3 9 2 2 2" xfId="11091"/>
    <cellStyle name="Comma 2 3 3 9 2 2 3" xfId="11092"/>
    <cellStyle name="Comma 2 3 3 9 2 3" xfId="11093"/>
    <cellStyle name="Comma 2 3 3 9 2 4" xfId="11094"/>
    <cellStyle name="Comma 2 3 3 9 2 5" xfId="11095"/>
    <cellStyle name="Comma 2 3 3 9 2 6" xfId="11096"/>
    <cellStyle name="Comma 2 3 3 9 3" xfId="11097"/>
    <cellStyle name="Comma 2 3 3 9 3 2" xfId="11098"/>
    <cellStyle name="Comma 2 3 3 9 3 2 2" xfId="11099"/>
    <cellStyle name="Comma 2 3 3 9 3 2 3" xfId="11100"/>
    <cellStyle name="Comma 2 3 3 9 3 3" xfId="11101"/>
    <cellStyle name="Comma 2 3 3 9 3 4" xfId="11102"/>
    <cellStyle name="Comma 2 3 3 9 3 5" xfId="11103"/>
    <cellStyle name="Comma 2 3 3 9 3 6" xfId="11104"/>
    <cellStyle name="Comma 2 3 3 9 4" xfId="11105"/>
    <cellStyle name="Comma 2 3 3 9 4 2" xfId="11106"/>
    <cellStyle name="Comma 2 3 3 9 4 2 2" xfId="11107"/>
    <cellStyle name="Comma 2 3 3 9 4 3" xfId="11108"/>
    <cellStyle name="Comma 2 3 3 9 4 4" xfId="11109"/>
    <cellStyle name="Comma 2 3 3 9 4 5" xfId="11110"/>
    <cellStyle name="Comma 2 3 3 9 5" xfId="11111"/>
    <cellStyle name="Comma 2 3 3 9 5 2" xfId="11112"/>
    <cellStyle name="Comma 2 3 3 9 5 3" xfId="11113"/>
    <cellStyle name="Comma 2 3 3 9 5 4" xfId="11114"/>
    <cellStyle name="Comma 2 3 3 9 6" xfId="11115"/>
    <cellStyle name="Comma 2 3 3 9 6 2" xfId="11116"/>
    <cellStyle name="Comma 2 3 3 9 7" xfId="11117"/>
    <cellStyle name="Comma 2 3 3 9 8" xfId="11118"/>
    <cellStyle name="Comma 2 3 3 9 9" xfId="11119"/>
    <cellStyle name="Comma 2 3 30" xfId="11120"/>
    <cellStyle name="Comma 2 3 30 2" xfId="11121"/>
    <cellStyle name="Comma 2 3 30 2 2" xfId="11122"/>
    <cellStyle name="Comma 2 3 30 2 2 2" xfId="11123"/>
    <cellStyle name="Comma 2 3 30 2 2 3" xfId="11124"/>
    <cellStyle name="Comma 2 3 30 2 3" xfId="11125"/>
    <cellStyle name="Comma 2 3 30 2 4" xfId="11126"/>
    <cellStyle name="Comma 2 3 30 2 5" xfId="11127"/>
    <cellStyle name="Comma 2 3 30 2 6" xfId="11128"/>
    <cellStyle name="Comma 2 3 30 3" xfId="11129"/>
    <cellStyle name="Comma 2 3 30 3 2" xfId="11130"/>
    <cellStyle name="Comma 2 3 30 3 2 2" xfId="11131"/>
    <cellStyle name="Comma 2 3 30 3 3" xfId="11132"/>
    <cellStyle name="Comma 2 3 30 3 4" xfId="11133"/>
    <cellStyle name="Comma 2 3 30 3 5" xfId="11134"/>
    <cellStyle name="Comma 2 3 30 4" xfId="11135"/>
    <cellStyle name="Comma 2 3 30 4 2" xfId="11136"/>
    <cellStyle name="Comma 2 3 30 4 3" xfId="11137"/>
    <cellStyle name="Comma 2 3 30 4 4" xfId="11138"/>
    <cellStyle name="Comma 2 3 30 5" xfId="11139"/>
    <cellStyle name="Comma 2 3 30 5 2" xfId="11140"/>
    <cellStyle name="Comma 2 3 30 6" xfId="11141"/>
    <cellStyle name="Comma 2 3 30 7" xfId="11142"/>
    <cellStyle name="Comma 2 3 30 8" xfId="11143"/>
    <cellStyle name="Comma 2 3 30 9" xfId="11144"/>
    <cellStyle name="Comma 2 3 31" xfId="11145"/>
    <cellStyle name="Comma 2 3 31 2" xfId="11146"/>
    <cellStyle name="Comma 2 3 31 2 2" xfId="11147"/>
    <cellStyle name="Comma 2 3 31 2 3" xfId="11148"/>
    <cellStyle name="Comma 2 3 31 3" xfId="11149"/>
    <cellStyle name="Comma 2 3 31 4" xfId="11150"/>
    <cellStyle name="Comma 2 3 31 5" xfId="11151"/>
    <cellStyle name="Comma 2 3 31 6" xfId="11152"/>
    <cellStyle name="Comma 2 3 32" xfId="11153"/>
    <cellStyle name="Comma 2 3 32 2" xfId="11154"/>
    <cellStyle name="Comma 2 3 32 2 2" xfId="11155"/>
    <cellStyle name="Comma 2 3 32 3" xfId="11156"/>
    <cellStyle name="Comma 2 3 32 4" xfId="11157"/>
    <cellStyle name="Comma 2 3 32 5" xfId="11158"/>
    <cellStyle name="Comma 2 3 33" xfId="11159"/>
    <cellStyle name="Comma 2 3 33 2" xfId="11160"/>
    <cellStyle name="Comma 2 3 33 2 2" xfId="11161"/>
    <cellStyle name="Comma 2 3 33 3" xfId="11162"/>
    <cellStyle name="Comma 2 3 33 4" xfId="11163"/>
    <cellStyle name="Comma 2 3 33 5" xfId="11164"/>
    <cellStyle name="Comma 2 3 34" xfId="11165"/>
    <cellStyle name="Comma 2 3 34 2" xfId="11166"/>
    <cellStyle name="Comma 2 3 35" xfId="11167"/>
    <cellStyle name="Comma 2 3 36" xfId="11168"/>
    <cellStyle name="Comma 2 3 37" xfId="11169"/>
    <cellStyle name="Comma 2 3 38" xfId="11170"/>
    <cellStyle name="Comma 2 3 4" xfId="11171"/>
    <cellStyle name="Comma 2 3 4 10" xfId="11172"/>
    <cellStyle name="Comma 2 3 4 11" xfId="11173"/>
    <cellStyle name="Comma 2 3 4 2" xfId="11174"/>
    <cellStyle name="Comma 2 3 4 2 2" xfId="11175"/>
    <cellStyle name="Comma 2 3 4 2 2 2" xfId="11176"/>
    <cellStyle name="Comma 2 3 4 2 2 2 2" xfId="11177"/>
    <cellStyle name="Comma 2 3 4 2 2 2 3" xfId="11178"/>
    <cellStyle name="Comma 2 3 4 2 2 3" xfId="11179"/>
    <cellStyle name="Comma 2 3 4 2 2 4" xfId="11180"/>
    <cellStyle name="Comma 2 3 4 2 2 5" xfId="11181"/>
    <cellStyle name="Comma 2 3 4 2 2 6" xfId="11182"/>
    <cellStyle name="Comma 2 3 4 2 3" xfId="11183"/>
    <cellStyle name="Comma 2 3 4 2 3 2" xfId="11184"/>
    <cellStyle name="Comma 2 3 4 2 3 2 2" xfId="11185"/>
    <cellStyle name="Comma 2 3 4 2 3 3" xfId="11186"/>
    <cellStyle name="Comma 2 3 4 2 3 4" xfId="11187"/>
    <cellStyle name="Comma 2 3 4 2 3 5" xfId="11188"/>
    <cellStyle name="Comma 2 3 4 2 4" xfId="11189"/>
    <cellStyle name="Comma 2 3 4 2 4 2" xfId="11190"/>
    <cellStyle name="Comma 2 3 4 2 4 3" xfId="11191"/>
    <cellStyle name="Comma 2 3 4 2 4 4" xfId="11192"/>
    <cellStyle name="Comma 2 3 4 2 5" xfId="11193"/>
    <cellStyle name="Comma 2 3 4 2 5 2" xfId="11194"/>
    <cellStyle name="Comma 2 3 4 2 6" xfId="11195"/>
    <cellStyle name="Comma 2 3 4 2 7" xfId="11196"/>
    <cellStyle name="Comma 2 3 4 2 8" xfId="11197"/>
    <cellStyle name="Comma 2 3 4 2 9" xfId="11198"/>
    <cellStyle name="Comma 2 3 4 3" xfId="11199"/>
    <cellStyle name="Comma 2 3 4 3 2" xfId="11200"/>
    <cellStyle name="Comma 2 3 4 3 2 2" xfId="11201"/>
    <cellStyle name="Comma 2 3 4 3 2 2 2" xfId="11202"/>
    <cellStyle name="Comma 2 3 4 3 2 2 3" xfId="11203"/>
    <cellStyle name="Comma 2 3 4 3 2 3" xfId="11204"/>
    <cellStyle name="Comma 2 3 4 3 2 4" xfId="11205"/>
    <cellStyle name="Comma 2 3 4 3 2 5" xfId="11206"/>
    <cellStyle name="Comma 2 3 4 3 2 6" xfId="11207"/>
    <cellStyle name="Comma 2 3 4 3 3" xfId="11208"/>
    <cellStyle name="Comma 2 3 4 3 3 2" xfId="11209"/>
    <cellStyle name="Comma 2 3 4 3 3 2 2" xfId="11210"/>
    <cellStyle name="Comma 2 3 4 3 3 3" xfId="11211"/>
    <cellStyle name="Comma 2 3 4 3 3 4" xfId="11212"/>
    <cellStyle name="Comma 2 3 4 3 3 5" xfId="11213"/>
    <cellStyle name="Comma 2 3 4 3 4" xfId="11214"/>
    <cellStyle name="Comma 2 3 4 3 4 2" xfId="11215"/>
    <cellStyle name="Comma 2 3 4 3 4 3" xfId="11216"/>
    <cellStyle name="Comma 2 3 4 3 4 4" xfId="11217"/>
    <cellStyle name="Comma 2 3 4 3 5" xfId="11218"/>
    <cellStyle name="Comma 2 3 4 3 5 2" xfId="11219"/>
    <cellStyle name="Comma 2 3 4 3 6" xfId="11220"/>
    <cellStyle name="Comma 2 3 4 3 7" xfId="11221"/>
    <cellStyle name="Comma 2 3 4 3 8" xfId="11222"/>
    <cellStyle name="Comma 2 3 4 3 9" xfId="11223"/>
    <cellStyle name="Comma 2 3 4 4" xfId="11224"/>
    <cellStyle name="Comma 2 3 4 4 2" xfId="11225"/>
    <cellStyle name="Comma 2 3 4 4 2 2" xfId="11226"/>
    <cellStyle name="Comma 2 3 4 4 2 3" xfId="11227"/>
    <cellStyle name="Comma 2 3 4 4 3" xfId="11228"/>
    <cellStyle name="Comma 2 3 4 4 4" xfId="11229"/>
    <cellStyle name="Comma 2 3 4 4 5" xfId="11230"/>
    <cellStyle name="Comma 2 3 4 4 6" xfId="11231"/>
    <cellStyle name="Comma 2 3 4 5" xfId="11232"/>
    <cellStyle name="Comma 2 3 4 5 2" xfId="11233"/>
    <cellStyle name="Comma 2 3 4 5 2 2" xfId="11234"/>
    <cellStyle name="Comma 2 3 4 5 3" xfId="11235"/>
    <cellStyle name="Comma 2 3 4 5 4" xfId="11236"/>
    <cellStyle name="Comma 2 3 4 5 5" xfId="11237"/>
    <cellStyle name="Comma 2 3 4 6" xfId="11238"/>
    <cellStyle name="Comma 2 3 4 6 2" xfId="11239"/>
    <cellStyle name="Comma 2 3 4 6 3" xfId="11240"/>
    <cellStyle name="Comma 2 3 4 6 4" xfId="11241"/>
    <cellStyle name="Comma 2 3 4 7" xfId="11242"/>
    <cellStyle name="Comma 2 3 4 7 2" xfId="11243"/>
    <cellStyle name="Comma 2 3 4 8" xfId="11244"/>
    <cellStyle name="Comma 2 3 4 9" xfId="11245"/>
    <cellStyle name="Comma 2 3 5" xfId="11246"/>
    <cellStyle name="Comma 2 3 5 10" xfId="11247"/>
    <cellStyle name="Comma 2 3 5 11" xfId="11248"/>
    <cellStyle name="Comma 2 3 5 2" xfId="11249"/>
    <cellStyle name="Comma 2 3 5 2 2" xfId="11250"/>
    <cellStyle name="Comma 2 3 5 2 2 2" xfId="11251"/>
    <cellStyle name="Comma 2 3 5 2 2 2 2" xfId="11252"/>
    <cellStyle name="Comma 2 3 5 2 2 2 3" xfId="11253"/>
    <cellStyle name="Comma 2 3 5 2 2 3" xfId="11254"/>
    <cellStyle name="Comma 2 3 5 2 2 4" xfId="11255"/>
    <cellStyle name="Comma 2 3 5 2 2 5" xfId="11256"/>
    <cellStyle name="Comma 2 3 5 2 2 6" xfId="11257"/>
    <cellStyle name="Comma 2 3 5 2 3" xfId="11258"/>
    <cellStyle name="Comma 2 3 5 2 3 2" xfId="11259"/>
    <cellStyle name="Comma 2 3 5 2 3 2 2" xfId="11260"/>
    <cellStyle name="Comma 2 3 5 2 3 3" xfId="11261"/>
    <cellStyle name="Comma 2 3 5 2 3 4" xfId="11262"/>
    <cellStyle name="Comma 2 3 5 2 3 5" xfId="11263"/>
    <cellStyle name="Comma 2 3 5 2 4" xfId="11264"/>
    <cellStyle name="Comma 2 3 5 2 4 2" xfId="11265"/>
    <cellStyle name="Comma 2 3 5 2 4 3" xfId="11266"/>
    <cellStyle name="Comma 2 3 5 2 4 4" xfId="11267"/>
    <cellStyle name="Comma 2 3 5 2 5" xfId="11268"/>
    <cellStyle name="Comma 2 3 5 2 5 2" xfId="11269"/>
    <cellStyle name="Comma 2 3 5 2 6" xfId="11270"/>
    <cellStyle name="Comma 2 3 5 2 7" xfId="11271"/>
    <cellStyle name="Comma 2 3 5 2 8" xfId="11272"/>
    <cellStyle name="Comma 2 3 5 2 9" xfId="11273"/>
    <cellStyle name="Comma 2 3 5 3" xfId="11274"/>
    <cellStyle name="Comma 2 3 5 3 2" xfId="11275"/>
    <cellStyle name="Comma 2 3 5 3 2 2" xfId="11276"/>
    <cellStyle name="Comma 2 3 5 3 2 2 2" xfId="11277"/>
    <cellStyle name="Comma 2 3 5 3 2 2 3" xfId="11278"/>
    <cellStyle name="Comma 2 3 5 3 2 3" xfId="11279"/>
    <cellStyle name="Comma 2 3 5 3 2 4" xfId="11280"/>
    <cellStyle name="Comma 2 3 5 3 2 5" xfId="11281"/>
    <cellStyle name="Comma 2 3 5 3 2 6" xfId="11282"/>
    <cellStyle name="Comma 2 3 5 3 3" xfId="11283"/>
    <cellStyle name="Comma 2 3 5 3 3 2" xfId="11284"/>
    <cellStyle name="Comma 2 3 5 3 3 2 2" xfId="11285"/>
    <cellStyle name="Comma 2 3 5 3 3 3" xfId="11286"/>
    <cellStyle name="Comma 2 3 5 3 3 4" xfId="11287"/>
    <cellStyle name="Comma 2 3 5 3 3 5" xfId="11288"/>
    <cellStyle name="Comma 2 3 5 3 4" xfId="11289"/>
    <cellStyle name="Comma 2 3 5 3 4 2" xfId="11290"/>
    <cellStyle name="Comma 2 3 5 3 4 3" xfId="11291"/>
    <cellStyle name="Comma 2 3 5 3 4 4" xfId="11292"/>
    <cellStyle name="Comma 2 3 5 3 5" xfId="11293"/>
    <cellStyle name="Comma 2 3 5 3 5 2" xfId="11294"/>
    <cellStyle name="Comma 2 3 5 3 6" xfId="11295"/>
    <cellStyle name="Comma 2 3 5 3 7" xfId="11296"/>
    <cellStyle name="Comma 2 3 5 3 8" xfId="11297"/>
    <cellStyle name="Comma 2 3 5 3 9" xfId="11298"/>
    <cellStyle name="Comma 2 3 5 4" xfId="11299"/>
    <cellStyle name="Comma 2 3 5 4 2" xfId="11300"/>
    <cellStyle name="Comma 2 3 5 4 2 2" xfId="11301"/>
    <cellStyle name="Comma 2 3 5 4 2 3" xfId="11302"/>
    <cellStyle name="Comma 2 3 5 4 3" xfId="11303"/>
    <cellStyle name="Comma 2 3 5 4 4" xfId="11304"/>
    <cellStyle name="Comma 2 3 5 4 5" xfId="11305"/>
    <cellStyle name="Comma 2 3 5 4 6" xfId="11306"/>
    <cellStyle name="Comma 2 3 5 5" xfId="11307"/>
    <cellStyle name="Comma 2 3 5 5 2" xfId="11308"/>
    <cellStyle name="Comma 2 3 5 5 2 2" xfId="11309"/>
    <cellStyle name="Comma 2 3 5 5 3" xfId="11310"/>
    <cellStyle name="Comma 2 3 5 5 4" xfId="11311"/>
    <cellStyle name="Comma 2 3 5 5 5" xfId="11312"/>
    <cellStyle name="Comma 2 3 5 6" xfId="11313"/>
    <cellStyle name="Comma 2 3 5 6 2" xfId="11314"/>
    <cellStyle name="Comma 2 3 5 6 3" xfId="11315"/>
    <cellStyle name="Comma 2 3 5 6 4" xfId="11316"/>
    <cellStyle name="Comma 2 3 5 7" xfId="11317"/>
    <cellStyle name="Comma 2 3 5 7 2" xfId="11318"/>
    <cellStyle name="Comma 2 3 5 8" xfId="11319"/>
    <cellStyle name="Comma 2 3 5 9" xfId="11320"/>
    <cellStyle name="Comma 2 3 6" xfId="11321"/>
    <cellStyle name="Comma 2 3 6 10" xfId="11322"/>
    <cellStyle name="Comma 2 3 6 11" xfId="11323"/>
    <cellStyle name="Comma 2 3 6 2" xfId="11324"/>
    <cellStyle name="Comma 2 3 6 2 2" xfId="11325"/>
    <cellStyle name="Comma 2 3 6 2 2 2" xfId="11326"/>
    <cellStyle name="Comma 2 3 6 2 2 2 2" xfId="11327"/>
    <cellStyle name="Comma 2 3 6 2 2 2 3" xfId="11328"/>
    <cellStyle name="Comma 2 3 6 2 2 3" xfId="11329"/>
    <cellStyle name="Comma 2 3 6 2 2 4" xfId="11330"/>
    <cellStyle name="Comma 2 3 6 2 2 5" xfId="11331"/>
    <cellStyle name="Comma 2 3 6 2 2 6" xfId="11332"/>
    <cellStyle name="Comma 2 3 6 2 3" xfId="11333"/>
    <cellStyle name="Comma 2 3 6 2 3 2" xfId="11334"/>
    <cellStyle name="Comma 2 3 6 2 3 2 2" xfId="11335"/>
    <cellStyle name="Comma 2 3 6 2 3 3" xfId="11336"/>
    <cellStyle name="Comma 2 3 6 2 3 4" xfId="11337"/>
    <cellStyle name="Comma 2 3 6 2 3 5" xfId="11338"/>
    <cellStyle name="Comma 2 3 6 2 4" xfId="11339"/>
    <cellStyle name="Comma 2 3 6 2 4 2" xfId="11340"/>
    <cellStyle name="Comma 2 3 6 2 4 3" xfId="11341"/>
    <cellStyle name="Comma 2 3 6 2 4 4" xfId="11342"/>
    <cellStyle name="Comma 2 3 6 2 5" xfId="11343"/>
    <cellStyle name="Comma 2 3 6 2 5 2" xfId="11344"/>
    <cellStyle name="Comma 2 3 6 2 6" xfId="11345"/>
    <cellStyle name="Comma 2 3 6 2 7" xfId="11346"/>
    <cellStyle name="Comma 2 3 6 2 8" xfId="11347"/>
    <cellStyle name="Comma 2 3 6 2 9" xfId="11348"/>
    <cellStyle name="Comma 2 3 6 3" xfId="11349"/>
    <cellStyle name="Comma 2 3 6 3 2" xfId="11350"/>
    <cellStyle name="Comma 2 3 6 3 2 2" xfId="11351"/>
    <cellStyle name="Comma 2 3 6 3 2 2 2" xfId="11352"/>
    <cellStyle name="Comma 2 3 6 3 2 2 3" xfId="11353"/>
    <cellStyle name="Comma 2 3 6 3 2 3" xfId="11354"/>
    <cellStyle name="Comma 2 3 6 3 2 4" xfId="11355"/>
    <cellStyle name="Comma 2 3 6 3 2 5" xfId="11356"/>
    <cellStyle name="Comma 2 3 6 3 2 6" xfId="11357"/>
    <cellStyle name="Comma 2 3 6 3 3" xfId="11358"/>
    <cellStyle name="Comma 2 3 6 3 3 2" xfId="11359"/>
    <cellStyle name="Comma 2 3 6 3 3 2 2" xfId="11360"/>
    <cellStyle name="Comma 2 3 6 3 3 3" xfId="11361"/>
    <cellStyle name="Comma 2 3 6 3 3 4" xfId="11362"/>
    <cellStyle name="Comma 2 3 6 3 3 5" xfId="11363"/>
    <cellStyle name="Comma 2 3 6 3 4" xfId="11364"/>
    <cellStyle name="Comma 2 3 6 3 4 2" xfId="11365"/>
    <cellStyle name="Comma 2 3 6 3 4 3" xfId="11366"/>
    <cellStyle name="Comma 2 3 6 3 4 4" xfId="11367"/>
    <cellStyle name="Comma 2 3 6 3 5" xfId="11368"/>
    <cellStyle name="Comma 2 3 6 3 5 2" xfId="11369"/>
    <cellStyle name="Comma 2 3 6 3 6" xfId="11370"/>
    <cellStyle name="Comma 2 3 6 3 7" xfId="11371"/>
    <cellStyle name="Comma 2 3 6 3 8" xfId="11372"/>
    <cellStyle name="Comma 2 3 6 3 9" xfId="11373"/>
    <cellStyle name="Comma 2 3 6 4" xfId="11374"/>
    <cellStyle name="Comma 2 3 6 4 2" xfId="11375"/>
    <cellStyle name="Comma 2 3 6 4 2 2" xfId="11376"/>
    <cellStyle name="Comma 2 3 6 4 2 3" xfId="11377"/>
    <cellStyle name="Comma 2 3 6 4 3" xfId="11378"/>
    <cellStyle name="Comma 2 3 6 4 4" xfId="11379"/>
    <cellStyle name="Comma 2 3 6 4 5" xfId="11380"/>
    <cellStyle name="Comma 2 3 6 4 6" xfId="11381"/>
    <cellStyle name="Comma 2 3 6 5" xfId="11382"/>
    <cellStyle name="Comma 2 3 6 5 2" xfId="11383"/>
    <cellStyle name="Comma 2 3 6 5 2 2" xfId="11384"/>
    <cellStyle name="Comma 2 3 6 5 3" xfId="11385"/>
    <cellStyle name="Comma 2 3 6 5 4" xfId="11386"/>
    <cellStyle name="Comma 2 3 6 5 5" xfId="11387"/>
    <cellStyle name="Comma 2 3 6 6" xfId="11388"/>
    <cellStyle name="Comma 2 3 6 6 2" xfId="11389"/>
    <cellStyle name="Comma 2 3 6 6 3" xfId="11390"/>
    <cellStyle name="Comma 2 3 6 6 4" xfId="11391"/>
    <cellStyle name="Comma 2 3 6 7" xfId="11392"/>
    <cellStyle name="Comma 2 3 6 7 2" xfId="11393"/>
    <cellStyle name="Comma 2 3 6 8" xfId="11394"/>
    <cellStyle name="Comma 2 3 6 9" xfId="11395"/>
    <cellStyle name="Comma 2 3 7" xfId="11396"/>
    <cellStyle name="Comma 2 3 7 10" xfId="11397"/>
    <cellStyle name="Comma 2 3 7 11" xfId="11398"/>
    <cellStyle name="Comma 2 3 7 2" xfId="11399"/>
    <cellStyle name="Comma 2 3 7 2 2" xfId="11400"/>
    <cellStyle name="Comma 2 3 7 2 2 2" xfId="11401"/>
    <cellStyle name="Comma 2 3 7 2 2 2 2" xfId="11402"/>
    <cellStyle name="Comma 2 3 7 2 2 2 3" xfId="11403"/>
    <cellStyle name="Comma 2 3 7 2 2 3" xfId="11404"/>
    <cellStyle name="Comma 2 3 7 2 2 4" xfId="11405"/>
    <cellStyle name="Comma 2 3 7 2 2 5" xfId="11406"/>
    <cellStyle name="Comma 2 3 7 2 2 6" xfId="11407"/>
    <cellStyle name="Comma 2 3 7 2 3" xfId="11408"/>
    <cellStyle name="Comma 2 3 7 2 3 2" xfId="11409"/>
    <cellStyle name="Comma 2 3 7 2 3 2 2" xfId="11410"/>
    <cellStyle name="Comma 2 3 7 2 3 3" xfId="11411"/>
    <cellStyle name="Comma 2 3 7 2 3 4" xfId="11412"/>
    <cellStyle name="Comma 2 3 7 2 3 5" xfId="11413"/>
    <cellStyle name="Comma 2 3 7 2 4" xfId="11414"/>
    <cellStyle name="Comma 2 3 7 2 4 2" xfId="11415"/>
    <cellStyle name="Comma 2 3 7 2 4 3" xfId="11416"/>
    <cellStyle name="Comma 2 3 7 2 4 4" xfId="11417"/>
    <cellStyle name="Comma 2 3 7 2 5" xfId="11418"/>
    <cellStyle name="Comma 2 3 7 2 5 2" xfId="11419"/>
    <cellStyle name="Comma 2 3 7 2 6" xfId="11420"/>
    <cellStyle name="Comma 2 3 7 2 7" xfId="11421"/>
    <cellStyle name="Comma 2 3 7 2 8" xfId="11422"/>
    <cellStyle name="Comma 2 3 7 2 9" xfId="11423"/>
    <cellStyle name="Comma 2 3 7 3" xfId="11424"/>
    <cellStyle name="Comma 2 3 7 3 2" xfId="11425"/>
    <cellStyle name="Comma 2 3 7 3 2 2" xfId="11426"/>
    <cellStyle name="Comma 2 3 7 3 2 2 2" xfId="11427"/>
    <cellStyle name="Comma 2 3 7 3 2 2 3" xfId="11428"/>
    <cellStyle name="Comma 2 3 7 3 2 3" xfId="11429"/>
    <cellStyle name="Comma 2 3 7 3 2 4" xfId="11430"/>
    <cellStyle name="Comma 2 3 7 3 2 5" xfId="11431"/>
    <cellStyle name="Comma 2 3 7 3 2 6" xfId="11432"/>
    <cellStyle name="Comma 2 3 7 3 3" xfId="11433"/>
    <cellStyle name="Comma 2 3 7 3 3 2" xfId="11434"/>
    <cellStyle name="Comma 2 3 7 3 3 2 2" xfId="11435"/>
    <cellStyle name="Comma 2 3 7 3 3 3" xfId="11436"/>
    <cellStyle name="Comma 2 3 7 3 3 4" xfId="11437"/>
    <cellStyle name="Comma 2 3 7 3 3 5" xfId="11438"/>
    <cellStyle name="Comma 2 3 7 3 4" xfId="11439"/>
    <cellStyle name="Comma 2 3 7 3 4 2" xfId="11440"/>
    <cellStyle name="Comma 2 3 7 3 4 3" xfId="11441"/>
    <cellStyle name="Comma 2 3 7 3 4 4" xfId="11442"/>
    <cellStyle name="Comma 2 3 7 3 5" xfId="11443"/>
    <cellStyle name="Comma 2 3 7 3 5 2" xfId="11444"/>
    <cellStyle name="Comma 2 3 7 3 6" xfId="11445"/>
    <cellStyle name="Comma 2 3 7 3 7" xfId="11446"/>
    <cellStyle name="Comma 2 3 7 3 8" xfId="11447"/>
    <cellStyle name="Comma 2 3 7 3 9" xfId="11448"/>
    <cellStyle name="Comma 2 3 7 4" xfId="11449"/>
    <cellStyle name="Comma 2 3 7 4 2" xfId="11450"/>
    <cellStyle name="Comma 2 3 7 4 2 2" xfId="11451"/>
    <cellStyle name="Comma 2 3 7 4 2 3" xfId="11452"/>
    <cellStyle name="Comma 2 3 7 4 3" xfId="11453"/>
    <cellStyle name="Comma 2 3 7 4 4" xfId="11454"/>
    <cellStyle name="Comma 2 3 7 4 5" xfId="11455"/>
    <cellStyle name="Comma 2 3 7 4 6" xfId="11456"/>
    <cellStyle name="Comma 2 3 7 5" xfId="11457"/>
    <cellStyle name="Comma 2 3 7 5 2" xfId="11458"/>
    <cellStyle name="Comma 2 3 7 5 2 2" xfId="11459"/>
    <cellStyle name="Comma 2 3 7 5 3" xfId="11460"/>
    <cellStyle name="Comma 2 3 7 5 4" xfId="11461"/>
    <cellStyle name="Comma 2 3 7 5 5" xfId="11462"/>
    <cellStyle name="Comma 2 3 7 6" xfId="11463"/>
    <cellStyle name="Comma 2 3 7 6 2" xfId="11464"/>
    <cellStyle name="Comma 2 3 7 6 3" xfId="11465"/>
    <cellStyle name="Comma 2 3 7 6 4" xfId="11466"/>
    <cellStyle name="Comma 2 3 7 7" xfId="11467"/>
    <cellStyle name="Comma 2 3 7 7 2" xfId="11468"/>
    <cellStyle name="Comma 2 3 7 8" xfId="11469"/>
    <cellStyle name="Comma 2 3 7 9" xfId="11470"/>
    <cellStyle name="Comma 2 3 8" xfId="11471"/>
    <cellStyle name="Comma 2 3 8 10" xfId="11472"/>
    <cellStyle name="Comma 2 3 8 11" xfId="11473"/>
    <cellStyle name="Comma 2 3 8 2" xfId="11474"/>
    <cellStyle name="Comma 2 3 8 2 2" xfId="11475"/>
    <cellStyle name="Comma 2 3 8 2 2 2" xfId="11476"/>
    <cellStyle name="Comma 2 3 8 2 2 2 2" xfId="11477"/>
    <cellStyle name="Comma 2 3 8 2 2 2 3" xfId="11478"/>
    <cellStyle name="Comma 2 3 8 2 2 3" xfId="11479"/>
    <cellStyle name="Comma 2 3 8 2 2 4" xfId="11480"/>
    <cellStyle name="Comma 2 3 8 2 2 5" xfId="11481"/>
    <cellStyle name="Comma 2 3 8 2 2 6" xfId="11482"/>
    <cellStyle name="Comma 2 3 8 2 3" xfId="11483"/>
    <cellStyle name="Comma 2 3 8 2 3 2" xfId="11484"/>
    <cellStyle name="Comma 2 3 8 2 3 2 2" xfId="11485"/>
    <cellStyle name="Comma 2 3 8 2 3 3" xfId="11486"/>
    <cellStyle name="Comma 2 3 8 2 3 4" xfId="11487"/>
    <cellStyle name="Comma 2 3 8 2 3 5" xfId="11488"/>
    <cellStyle name="Comma 2 3 8 2 4" xfId="11489"/>
    <cellStyle name="Comma 2 3 8 2 4 2" xfId="11490"/>
    <cellStyle name="Comma 2 3 8 2 4 3" xfId="11491"/>
    <cellStyle name="Comma 2 3 8 2 4 4" xfId="11492"/>
    <cellStyle name="Comma 2 3 8 2 5" xfId="11493"/>
    <cellStyle name="Comma 2 3 8 2 5 2" xfId="11494"/>
    <cellStyle name="Comma 2 3 8 2 6" xfId="11495"/>
    <cellStyle name="Comma 2 3 8 2 7" xfId="11496"/>
    <cellStyle name="Comma 2 3 8 2 8" xfId="11497"/>
    <cellStyle name="Comma 2 3 8 2 9" xfId="11498"/>
    <cellStyle name="Comma 2 3 8 3" xfId="11499"/>
    <cellStyle name="Comma 2 3 8 3 2" xfId="11500"/>
    <cellStyle name="Comma 2 3 8 3 2 2" xfId="11501"/>
    <cellStyle name="Comma 2 3 8 3 2 2 2" xfId="11502"/>
    <cellStyle name="Comma 2 3 8 3 2 2 3" xfId="11503"/>
    <cellStyle name="Comma 2 3 8 3 2 3" xfId="11504"/>
    <cellStyle name="Comma 2 3 8 3 2 4" xfId="11505"/>
    <cellStyle name="Comma 2 3 8 3 2 5" xfId="11506"/>
    <cellStyle name="Comma 2 3 8 3 2 6" xfId="11507"/>
    <cellStyle name="Comma 2 3 8 3 3" xfId="11508"/>
    <cellStyle name="Comma 2 3 8 3 3 2" xfId="11509"/>
    <cellStyle name="Comma 2 3 8 3 3 2 2" xfId="11510"/>
    <cellStyle name="Comma 2 3 8 3 3 3" xfId="11511"/>
    <cellStyle name="Comma 2 3 8 3 3 4" xfId="11512"/>
    <cellStyle name="Comma 2 3 8 3 3 5" xfId="11513"/>
    <cellStyle name="Comma 2 3 8 3 4" xfId="11514"/>
    <cellStyle name="Comma 2 3 8 3 4 2" xfId="11515"/>
    <cellStyle name="Comma 2 3 8 3 4 3" xfId="11516"/>
    <cellStyle name="Comma 2 3 8 3 4 4" xfId="11517"/>
    <cellStyle name="Comma 2 3 8 3 5" xfId="11518"/>
    <cellStyle name="Comma 2 3 8 3 5 2" xfId="11519"/>
    <cellStyle name="Comma 2 3 8 3 6" xfId="11520"/>
    <cellStyle name="Comma 2 3 8 3 7" xfId="11521"/>
    <cellStyle name="Comma 2 3 8 3 8" xfId="11522"/>
    <cellStyle name="Comma 2 3 8 3 9" xfId="11523"/>
    <cellStyle name="Comma 2 3 8 4" xfId="11524"/>
    <cellStyle name="Comma 2 3 8 4 2" xfId="11525"/>
    <cellStyle name="Comma 2 3 8 4 2 2" xfId="11526"/>
    <cellStyle name="Comma 2 3 8 4 2 3" xfId="11527"/>
    <cellStyle name="Comma 2 3 8 4 3" xfId="11528"/>
    <cellStyle name="Comma 2 3 8 4 4" xfId="11529"/>
    <cellStyle name="Comma 2 3 8 4 5" xfId="11530"/>
    <cellStyle name="Comma 2 3 8 4 6" xfId="11531"/>
    <cellStyle name="Comma 2 3 8 5" xfId="11532"/>
    <cellStyle name="Comma 2 3 8 5 2" xfId="11533"/>
    <cellStyle name="Comma 2 3 8 5 2 2" xfId="11534"/>
    <cellStyle name="Comma 2 3 8 5 3" xfId="11535"/>
    <cellStyle name="Comma 2 3 8 5 4" xfId="11536"/>
    <cellStyle name="Comma 2 3 8 5 5" xfId="11537"/>
    <cellStyle name="Comma 2 3 8 6" xfId="11538"/>
    <cellStyle name="Comma 2 3 8 6 2" xfId="11539"/>
    <cellStyle name="Comma 2 3 8 6 3" xfId="11540"/>
    <cellStyle name="Comma 2 3 8 6 4" xfId="11541"/>
    <cellStyle name="Comma 2 3 8 7" xfId="11542"/>
    <cellStyle name="Comma 2 3 8 7 2" xfId="11543"/>
    <cellStyle name="Comma 2 3 8 8" xfId="11544"/>
    <cellStyle name="Comma 2 3 8 9" xfId="11545"/>
    <cellStyle name="Comma 2 3 9" xfId="11546"/>
    <cellStyle name="Comma 2 3 9 10" xfId="11547"/>
    <cellStyle name="Comma 2 3 9 11" xfId="11548"/>
    <cellStyle name="Comma 2 3 9 2" xfId="11549"/>
    <cellStyle name="Comma 2 3 9 2 2" xfId="11550"/>
    <cellStyle name="Comma 2 3 9 2 2 2" xfId="11551"/>
    <cellStyle name="Comma 2 3 9 2 2 2 2" xfId="11552"/>
    <cellStyle name="Comma 2 3 9 2 2 2 3" xfId="11553"/>
    <cellStyle name="Comma 2 3 9 2 2 3" xfId="11554"/>
    <cellStyle name="Comma 2 3 9 2 2 4" xfId="11555"/>
    <cellStyle name="Comma 2 3 9 2 2 5" xfId="11556"/>
    <cellStyle name="Comma 2 3 9 2 2 6" xfId="11557"/>
    <cellStyle name="Comma 2 3 9 2 3" xfId="11558"/>
    <cellStyle name="Comma 2 3 9 2 3 2" xfId="11559"/>
    <cellStyle name="Comma 2 3 9 2 3 2 2" xfId="11560"/>
    <cellStyle name="Comma 2 3 9 2 3 3" xfId="11561"/>
    <cellStyle name="Comma 2 3 9 2 3 4" xfId="11562"/>
    <cellStyle name="Comma 2 3 9 2 3 5" xfId="11563"/>
    <cellStyle name="Comma 2 3 9 2 4" xfId="11564"/>
    <cellStyle name="Comma 2 3 9 2 4 2" xfId="11565"/>
    <cellStyle name="Comma 2 3 9 2 4 3" xfId="11566"/>
    <cellStyle name="Comma 2 3 9 2 4 4" xfId="11567"/>
    <cellStyle name="Comma 2 3 9 2 5" xfId="11568"/>
    <cellStyle name="Comma 2 3 9 2 5 2" xfId="11569"/>
    <cellStyle name="Comma 2 3 9 2 6" xfId="11570"/>
    <cellStyle name="Comma 2 3 9 2 7" xfId="11571"/>
    <cellStyle name="Comma 2 3 9 2 8" xfId="11572"/>
    <cellStyle name="Comma 2 3 9 2 9" xfId="11573"/>
    <cellStyle name="Comma 2 3 9 3" xfId="11574"/>
    <cellStyle name="Comma 2 3 9 3 2" xfId="11575"/>
    <cellStyle name="Comma 2 3 9 3 2 2" xfId="11576"/>
    <cellStyle name="Comma 2 3 9 3 2 2 2" xfId="11577"/>
    <cellStyle name="Comma 2 3 9 3 2 2 3" xfId="11578"/>
    <cellStyle name="Comma 2 3 9 3 2 3" xfId="11579"/>
    <cellStyle name="Comma 2 3 9 3 2 4" xfId="11580"/>
    <cellStyle name="Comma 2 3 9 3 2 5" xfId="11581"/>
    <cellStyle name="Comma 2 3 9 3 2 6" xfId="11582"/>
    <cellStyle name="Comma 2 3 9 3 3" xfId="11583"/>
    <cellStyle name="Comma 2 3 9 3 3 2" xfId="11584"/>
    <cellStyle name="Comma 2 3 9 3 3 2 2" xfId="11585"/>
    <cellStyle name="Comma 2 3 9 3 3 3" xfId="11586"/>
    <cellStyle name="Comma 2 3 9 3 3 4" xfId="11587"/>
    <cellStyle name="Comma 2 3 9 3 3 5" xfId="11588"/>
    <cellStyle name="Comma 2 3 9 3 4" xfId="11589"/>
    <cellStyle name="Comma 2 3 9 3 4 2" xfId="11590"/>
    <cellStyle name="Comma 2 3 9 3 4 3" xfId="11591"/>
    <cellStyle name="Comma 2 3 9 3 4 4" xfId="11592"/>
    <cellStyle name="Comma 2 3 9 3 5" xfId="11593"/>
    <cellStyle name="Comma 2 3 9 3 5 2" xfId="11594"/>
    <cellStyle name="Comma 2 3 9 3 6" xfId="11595"/>
    <cellStyle name="Comma 2 3 9 3 7" xfId="11596"/>
    <cellStyle name="Comma 2 3 9 3 8" xfId="11597"/>
    <cellStyle name="Comma 2 3 9 3 9" xfId="11598"/>
    <cellStyle name="Comma 2 3 9 4" xfId="11599"/>
    <cellStyle name="Comma 2 3 9 4 2" xfId="11600"/>
    <cellStyle name="Comma 2 3 9 4 2 2" xfId="11601"/>
    <cellStyle name="Comma 2 3 9 4 2 3" xfId="11602"/>
    <cellStyle name="Comma 2 3 9 4 3" xfId="11603"/>
    <cellStyle name="Comma 2 3 9 4 4" xfId="11604"/>
    <cellStyle name="Comma 2 3 9 4 5" xfId="11605"/>
    <cellStyle name="Comma 2 3 9 4 6" xfId="11606"/>
    <cellStyle name="Comma 2 3 9 5" xfId="11607"/>
    <cellStyle name="Comma 2 3 9 5 2" xfId="11608"/>
    <cellStyle name="Comma 2 3 9 5 2 2" xfId="11609"/>
    <cellStyle name="Comma 2 3 9 5 3" xfId="11610"/>
    <cellStyle name="Comma 2 3 9 5 4" xfId="11611"/>
    <cellStyle name="Comma 2 3 9 5 5" xfId="11612"/>
    <cellStyle name="Comma 2 3 9 6" xfId="11613"/>
    <cellStyle name="Comma 2 3 9 6 2" xfId="11614"/>
    <cellStyle name="Comma 2 3 9 6 3" xfId="11615"/>
    <cellStyle name="Comma 2 3 9 6 4" xfId="11616"/>
    <cellStyle name="Comma 2 3 9 7" xfId="11617"/>
    <cellStyle name="Comma 2 3 9 7 2" xfId="11618"/>
    <cellStyle name="Comma 2 3 9 8" xfId="11619"/>
    <cellStyle name="Comma 2 3 9 9" xfId="11620"/>
    <cellStyle name="Comma 2 30" xfId="11621"/>
    <cellStyle name="Comma 2 30 10" xfId="11622"/>
    <cellStyle name="Comma 2 30 2" xfId="11623"/>
    <cellStyle name="Comma 2 30 2 2" xfId="11624"/>
    <cellStyle name="Comma 2 30 2 2 2" xfId="11625"/>
    <cellStyle name="Comma 2 30 2 2 3" xfId="11626"/>
    <cellStyle name="Comma 2 30 2 3" xfId="11627"/>
    <cellStyle name="Comma 2 30 2 4" xfId="11628"/>
    <cellStyle name="Comma 2 30 2 5" xfId="11629"/>
    <cellStyle name="Comma 2 30 2 6" xfId="11630"/>
    <cellStyle name="Comma 2 30 3" xfId="11631"/>
    <cellStyle name="Comma 2 30 3 2" xfId="11632"/>
    <cellStyle name="Comma 2 30 3 2 2" xfId="11633"/>
    <cellStyle name="Comma 2 30 3 2 3" xfId="11634"/>
    <cellStyle name="Comma 2 30 3 3" xfId="11635"/>
    <cellStyle name="Comma 2 30 3 4" xfId="11636"/>
    <cellStyle name="Comma 2 30 3 5" xfId="11637"/>
    <cellStyle name="Comma 2 30 3 6" xfId="11638"/>
    <cellStyle name="Comma 2 30 4" xfId="11639"/>
    <cellStyle name="Comma 2 30 4 2" xfId="11640"/>
    <cellStyle name="Comma 2 30 4 2 2" xfId="11641"/>
    <cellStyle name="Comma 2 30 4 3" xfId="11642"/>
    <cellStyle name="Comma 2 30 4 4" xfId="11643"/>
    <cellStyle name="Comma 2 30 4 5" xfId="11644"/>
    <cellStyle name="Comma 2 30 4 6" xfId="11645"/>
    <cellStyle name="Comma 2 30 5" xfId="11646"/>
    <cellStyle name="Comma 2 30 5 2" xfId="11647"/>
    <cellStyle name="Comma 2 30 5 3" xfId="11648"/>
    <cellStyle name="Comma 2 30 5 4" xfId="11649"/>
    <cellStyle name="Comma 2 30 5 5" xfId="11650"/>
    <cellStyle name="Comma 2 30 6" xfId="11651"/>
    <cellStyle name="Comma 2 30 6 2" xfId="11652"/>
    <cellStyle name="Comma 2 30 6 3" xfId="11653"/>
    <cellStyle name="Comma 2 30 7" xfId="11654"/>
    <cellStyle name="Comma 2 30 7 2" xfId="11655"/>
    <cellStyle name="Comma 2 30 8" xfId="11656"/>
    <cellStyle name="Comma 2 30 9" xfId="11657"/>
    <cellStyle name="Comma 2 31" xfId="11658"/>
    <cellStyle name="Comma 2 31 10" xfId="11659"/>
    <cellStyle name="Comma 2 31 2" xfId="11660"/>
    <cellStyle name="Comma 2 31 2 2" xfId="11661"/>
    <cellStyle name="Comma 2 31 2 2 2" xfId="11662"/>
    <cellStyle name="Comma 2 31 2 2 3" xfId="11663"/>
    <cellStyle name="Comma 2 31 2 3" xfId="11664"/>
    <cellStyle name="Comma 2 31 2 4" xfId="11665"/>
    <cellStyle name="Comma 2 31 2 5" xfId="11666"/>
    <cellStyle name="Comma 2 31 2 6" xfId="11667"/>
    <cellStyle name="Comma 2 31 3" xfId="11668"/>
    <cellStyle name="Comma 2 31 3 2" xfId="11669"/>
    <cellStyle name="Comma 2 31 3 2 2" xfId="11670"/>
    <cellStyle name="Comma 2 31 3 2 3" xfId="11671"/>
    <cellStyle name="Comma 2 31 3 3" xfId="11672"/>
    <cellStyle name="Comma 2 31 3 4" xfId="11673"/>
    <cellStyle name="Comma 2 31 3 5" xfId="11674"/>
    <cellStyle name="Comma 2 31 3 6" xfId="11675"/>
    <cellStyle name="Comma 2 31 4" xfId="11676"/>
    <cellStyle name="Comma 2 31 4 2" xfId="11677"/>
    <cellStyle name="Comma 2 31 4 2 2" xfId="11678"/>
    <cellStyle name="Comma 2 31 4 3" xfId="11679"/>
    <cellStyle name="Comma 2 31 4 4" xfId="11680"/>
    <cellStyle name="Comma 2 31 4 5" xfId="11681"/>
    <cellStyle name="Comma 2 31 4 6" xfId="11682"/>
    <cellStyle name="Comma 2 31 5" xfId="11683"/>
    <cellStyle name="Comma 2 31 5 2" xfId="11684"/>
    <cellStyle name="Comma 2 31 5 3" xfId="11685"/>
    <cellStyle name="Comma 2 31 5 4" xfId="11686"/>
    <cellStyle name="Comma 2 31 5 5" xfId="11687"/>
    <cellStyle name="Comma 2 31 6" xfId="11688"/>
    <cellStyle name="Comma 2 31 6 2" xfId="11689"/>
    <cellStyle name="Comma 2 31 6 3" xfId="11690"/>
    <cellStyle name="Comma 2 31 7" xfId="11691"/>
    <cellStyle name="Comma 2 31 7 2" xfId="11692"/>
    <cellStyle name="Comma 2 31 8" xfId="11693"/>
    <cellStyle name="Comma 2 31 9" xfId="11694"/>
    <cellStyle name="Comma 2 32" xfId="11695"/>
    <cellStyle name="Comma 2 32 10" xfId="11696"/>
    <cellStyle name="Comma 2 32 2" xfId="11697"/>
    <cellStyle name="Comma 2 32 2 2" xfId="11698"/>
    <cellStyle name="Comma 2 32 2 2 2" xfId="11699"/>
    <cellStyle name="Comma 2 32 2 2 3" xfId="11700"/>
    <cellStyle name="Comma 2 32 2 3" xfId="11701"/>
    <cellStyle name="Comma 2 32 2 4" xfId="11702"/>
    <cellStyle name="Comma 2 32 2 5" xfId="11703"/>
    <cellStyle name="Comma 2 32 2 6" xfId="11704"/>
    <cellStyle name="Comma 2 32 3" xfId="11705"/>
    <cellStyle name="Comma 2 32 3 2" xfId="11706"/>
    <cellStyle name="Comma 2 32 3 2 2" xfId="11707"/>
    <cellStyle name="Comma 2 32 3 2 3" xfId="11708"/>
    <cellStyle name="Comma 2 32 3 3" xfId="11709"/>
    <cellStyle name="Comma 2 32 3 4" xfId="11710"/>
    <cellStyle name="Comma 2 32 3 5" xfId="11711"/>
    <cellStyle name="Comma 2 32 3 6" xfId="11712"/>
    <cellStyle name="Comma 2 32 4" xfId="11713"/>
    <cellStyle name="Comma 2 32 4 2" xfId="11714"/>
    <cellStyle name="Comma 2 32 4 2 2" xfId="11715"/>
    <cellStyle name="Comma 2 32 4 3" xfId="11716"/>
    <cellStyle name="Comma 2 32 4 4" xfId="11717"/>
    <cellStyle name="Comma 2 32 4 5" xfId="11718"/>
    <cellStyle name="Comma 2 32 4 6" xfId="11719"/>
    <cellStyle name="Comma 2 32 5" xfId="11720"/>
    <cellStyle name="Comma 2 32 5 2" xfId="11721"/>
    <cellStyle name="Comma 2 32 5 3" xfId="11722"/>
    <cellStyle name="Comma 2 32 5 4" xfId="11723"/>
    <cellStyle name="Comma 2 32 5 5" xfId="11724"/>
    <cellStyle name="Comma 2 32 6" xfId="11725"/>
    <cellStyle name="Comma 2 32 6 2" xfId="11726"/>
    <cellStyle name="Comma 2 32 6 3" xfId="11727"/>
    <cellStyle name="Comma 2 32 7" xfId="11728"/>
    <cellStyle name="Comma 2 32 7 2" xfId="11729"/>
    <cellStyle name="Comma 2 32 8" xfId="11730"/>
    <cellStyle name="Comma 2 32 9" xfId="11731"/>
    <cellStyle name="Comma 2 33" xfId="11732"/>
    <cellStyle name="Comma 2 33 10" xfId="11733"/>
    <cellStyle name="Comma 2 33 2" xfId="11734"/>
    <cellStyle name="Comma 2 33 2 2" xfId="11735"/>
    <cellStyle name="Comma 2 33 2 2 2" xfId="11736"/>
    <cellStyle name="Comma 2 33 2 2 3" xfId="11737"/>
    <cellStyle name="Comma 2 33 2 3" xfId="11738"/>
    <cellStyle name="Comma 2 33 2 4" xfId="11739"/>
    <cellStyle name="Comma 2 33 2 5" xfId="11740"/>
    <cellStyle name="Comma 2 33 2 6" xfId="11741"/>
    <cellStyle name="Comma 2 33 3" xfId="11742"/>
    <cellStyle name="Comma 2 33 3 2" xfId="11743"/>
    <cellStyle name="Comma 2 33 3 2 2" xfId="11744"/>
    <cellStyle name="Comma 2 33 3 2 3" xfId="11745"/>
    <cellStyle name="Comma 2 33 3 3" xfId="11746"/>
    <cellStyle name="Comma 2 33 3 4" xfId="11747"/>
    <cellStyle name="Comma 2 33 3 5" xfId="11748"/>
    <cellStyle name="Comma 2 33 3 6" xfId="11749"/>
    <cellStyle name="Comma 2 33 4" xfId="11750"/>
    <cellStyle name="Comma 2 33 4 2" xfId="11751"/>
    <cellStyle name="Comma 2 33 4 2 2" xfId="11752"/>
    <cellStyle name="Comma 2 33 4 3" xfId="11753"/>
    <cellStyle name="Comma 2 33 4 4" xfId="11754"/>
    <cellStyle name="Comma 2 33 4 5" xfId="11755"/>
    <cellStyle name="Comma 2 33 4 6" xfId="11756"/>
    <cellStyle name="Comma 2 33 5" xfId="11757"/>
    <cellStyle name="Comma 2 33 5 2" xfId="11758"/>
    <cellStyle name="Comma 2 33 5 3" xfId="11759"/>
    <cellStyle name="Comma 2 33 5 4" xfId="11760"/>
    <cellStyle name="Comma 2 33 5 5" xfId="11761"/>
    <cellStyle name="Comma 2 33 6" xfId="11762"/>
    <cellStyle name="Comma 2 33 6 2" xfId="11763"/>
    <cellStyle name="Comma 2 33 6 3" xfId="11764"/>
    <cellStyle name="Comma 2 33 7" xfId="11765"/>
    <cellStyle name="Comma 2 33 7 2" xfId="11766"/>
    <cellStyle name="Comma 2 33 8" xfId="11767"/>
    <cellStyle name="Comma 2 33 9" xfId="11768"/>
    <cellStyle name="Comma 2 34" xfId="11769"/>
    <cellStyle name="Comma 2 34 10" xfId="11770"/>
    <cellStyle name="Comma 2 34 2" xfId="11771"/>
    <cellStyle name="Comma 2 34 2 2" xfId="11772"/>
    <cellStyle name="Comma 2 34 2 2 2" xfId="11773"/>
    <cellStyle name="Comma 2 34 2 2 3" xfId="11774"/>
    <cellStyle name="Comma 2 34 2 3" xfId="11775"/>
    <cellStyle name="Comma 2 34 2 4" xfId="11776"/>
    <cellStyle name="Comma 2 34 2 5" xfId="11777"/>
    <cellStyle name="Comma 2 34 2 6" xfId="11778"/>
    <cellStyle name="Comma 2 34 3" xfId="11779"/>
    <cellStyle name="Comma 2 34 3 2" xfId="11780"/>
    <cellStyle name="Comma 2 34 3 2 2" xfId="11781"/>
    <cellStyle name="Comma 2 34 3 2 3" xfId="11782"/>
    <cellStyle name="Comma 2 34 3 3" xfId="11783"/>
    <cellStyle name="Comma 2 34 3 4" xfId="11784"/>
    <cellStyle name="Comma 2 34 3 5" xfId="11785"/>
    <cellStyle name="Comma 2 34 3 6" xfId="11786"/>
    <cellStyle name="Comma 2 34 4" xfId="11787"/>
    <cellStyle name="Comma 2 34 4 2" xfId="11788"/>
    <cellStyle name="Comma 2 34 4 2 2" xfId="11789"/>
    <cellStyle name="Comma 2 34 4 3" xfId="11790"/>
    <cellStyle name="Comma 2 34 4 4" xfId="11791"/>
    <cellStyle name="Comma 2 34 4 5" xfId="11792"/>
    <cellStyle name="Comma 2 34 4 6" xfId="11793"/>
    <cellStyle name="Comma 2 34 5" xfId="11794"/>
    <cellStyle name="Comma 2 34 5 2" xfId="11795"/>
    <cellStyle name="Comma 2 34 5 3" xfId="11796"/>
    <cellStyle name="Comma 2 34 5 4" xfId="11797"/>
    <cellStyle name="Comma 2 34 5 5" xfId="11798"/>
    <cellStyle name="Comma 2 34 6" xfId="11799"/>
    <cellStyle name="Comma 2 34 6 2" xfId="11800"/>
    <cellStyle name="Comma 2 34 6 3" xfId="11801"/>
    <cellStyle name="Comma 2 34 7" xfId="11802"/>
    <cellStyle name="Comma 2 34 7 2" xfId="11803"/>
    <cellStyle name="Comma 2 34 8" xfId="11804"/>
    <cellStyle name="Comma 2 34 9" xfId="11805"/>
    <cellStyle name="Comma 2 35" xfId="11806"/>
    <cellStyle name="Comma 2 35 10" xfId="11807"/>
    <cellStyle name="Comma 2 35 2" xfId="11808"/>
    <cellStyle name="Comma 2 35 2 2" xfId="11809"/>
    <cellStyle name="Comma 2 35 2 2 2" xfId="11810"/>
    <cellStyle name="Comma 2 35 2 2 3" xfId="11811"/>
    <cellStyle name="Comma 2 35 2 3" xfId="11812"/>
    <cellStyle name="Comma 2 35 2 4" xfId="11813"/>
    <cellStyle name="Comma 2 35 2 5" xfId="11814"/>
    <cellStyle name="Comma 2 35 2 6" xfId="11815"/>
    <cellStyle name="Comma 2 35 3" xfId="11816"/>
    <cellStyle name="Comma 2 35 3 2" xfId="11817"/>
    <cellStyle name="Comma 2 35 3 2 2" xfId="11818"/>
    <cellStyle name="Comma 2 35 3 3" xfId="11819"/>
    <cellStyle name="Comma 2 35 3 4" xfId="11820"/>
    <cellStyle name="Comma 2 35 3 5" xfId="11821"/>
    <cellStyle name="Comma 2 35 3 6" xfId="11822"/>
    <cellStyle name="Comma 2 35 4" xfId="11823"/>
    <cellStyle name="Comma 2 35 4 2" xfId="11824"/>
    <cellStyle name="Comma 2 35 4 3" xfId="11825"/>
    <cellStyle name="Comma 2 35 4 4" xfId="11826"/>
    <cellStyle name="Comma 2 35 4 5" xfId="11827"/>
    <cellStyle name="Comma 2 35 5" xfId="11828"/>
    <cellStyle name="Comma 2 35 5 2" xfId="11829"/>
    <cellStyle name="Comma 2 35 5 3" xfId="11830"/>
    <cellStyle name="Comma 2 35 6" xfId="11831"/>
    <cellStyle name="Comma 2 35 6 2" xfId="11832"/>
    <cellStyle name="Comma 2 35 7" xfId="11833"/>
    <cellStyle name="Comma 2 35 7 2" xfId="11834"/>
    <cellStyle name="Comma 2 35 8" xfId="11835"/>
    <cellStyle name="Comma 2 35 9" xfId="11836"/>
    <cellStyle name="Comma 2 36" xfId="11837"/>
    <cellStyle name="Comma 2 36 10" xfId="11838"/>
    <cellStyle name="Comma 2 36 2" xfId="11839"/>
    <cellStyle name="Comma 2 36 2 2" xfId="11840"/>
    <cellStyle name="Comma 2 36 2 2 2" xfId="11841"/>
    <cellStyle name="Comma 2 36 2 2 3" xfId="11842"/>
    <cellStyle name="Comma 2 36 2 3" xfId="11843"/>
    <cellStyle name="Comma 2 36 2 4" xfId="11844"/>
    <cellStyle name="Comma 2 36 2 5" xfId="11845"/>
    <cellStyle name="Comma 2 36 2 6" xfId="11846"/>
    <cellStyle name="Comma 2 36 3" xfId="11847"/>
    <cellStyle name="Comma 2 36 3 2" xfId="11848"/>
    <cellStyle name="Comma 2 36 3 2 2" xfId="11849"/>
    <cellStyle name="Comma 2 36 3 3" xfId="11850"/>
    <cellStyle name="Comma 2 36 3 4" xfId="11851"/>
    <cellStyle name="Comma 2 36 3 5" xfId="11852"/>
    <cellStyle name="Comma 2 36 3 6" xfId="11853"/>
    <cellStyle name="Comma 2 36 4" xfId="11854"/>
    <cellStyle name="Comma 2 36 4 2" xfId="11855"/>
    <cellStyle name="Comma 2 36 4 3" xfId="11856"/>
    <cellStyle name="Comma 2 36 4 4" xfId="11857"/>
    <cellStyle name="Comma 2 36 4 5" xfId="11858"/>
    <cellStyle name="Comma 2 36 5" xfId="11859"/>
    <cellStyle name="Comma 2 36 5 2" xfId="11860"/>
    <cellStyle name="Comma 2 36 5 3" xfId="11861"/>
    <cellStyle name="Comma 2 36 6" xfId="11862"/>
    <cellStyle name="Comma 2 36 6 2" xfId="11863"/>
    <cellStyle name="Comma 2 36 7" xfId="11864"/>
    <cellStyle name="Comma 2 36 7 2" xfId="11865"/>
    <cellStyle name="Comma 2 36 8" xfId="11866"/>
    <cellStyle name="Comma 2 36 9" xfId="11867"/>
    <cellStyle name="Comma 2 37" xfId="11868"/>
    <cellStyle name="Comma 2 37 10" xfId="11869"/>
    <cellStyle name="Comma 2 37 2" xfId="11870"/>
    <cellStyle name="Comma 2 37 2 2" xfId="11871"/>
    <cellStyle name="Comma 2 37 2 2 2" xfId="11872"/>
    <cellStyle name="Comma 2 37 2 2 3" xfId="11873"/>
    <cellStyle name="Comma 2 37 2 3" xfId="11874"/>
    <cellStyle name="Comma 2 37 2 4" xfId="11875"/>
    <cellStyle name="Comma 2 37 2 5" xfId="11876"/>
    <cellStyle name="Comma 2 37 2 6" xfId="11877"/>
    <cellStyle name="Comma 2 37 3" xfId="11878"/>
    <cellStyle name="Comma 2 37 3 2" xfId="11879"/>
    <cellStyle name="Comma 2 37 3 3" xfId="11880"/>
    <cellStyle name="Comma 2 37 3 4" xfId="11881"/>
    <cellStyle name="Comma 2 37 3 5" xfId="11882"/>
    <cellStyle name="Comma 2 37 4" xfId="11883"/>
    <cellStyle name="Comma 2 37 4 2" xfId="11884"/>
    <cellStyle name="Comma 2 37 4 3" xfId="11885"/>
    <cellStyle name="Comma 2 37 5" xfId="11886"/>
    <cellStyle name="Comma 2 37 5 2" xfId="11887"/>
    <cellStyle name="Comma 2 37 6" xfId="11888"/>
    <cellStyle name="Comma 2 37 6 2" xfId="11889"/>
    <cellStyle name="Comma 2 37 7" xfId="11890"/>
    <cellStyle name="Comma 2 37 7 2" xfId="11891"/>
    <cellStyle name="Comma 2 37 8" xfId="11892"/>
    <cellStyle name="Comma 2 37 9" xfId="11893"/>
    <cellStyle name="Comma 2 38" xfId="11894"/>
    <cellStyle name="Comma 2 38 10" xfId="11895"/>
    <cellStyle name="Comma 2 38 2" xfId="11896"/>
    <cellStyle name="Comma 2 38 2 2" xfId="11897"/>
    <cellStyle name="Comma 2 38 2 2 2" xfId="11898"/>
    <cellStyle name="Comma 2 38 2 3" xfId="11899"/>
    <cellStyle name="Comma 2 38 2 4" xfId="11900"/>
    <cellStyle name="Comma 2 38 2 5" xfId="11901"/>
    <cellStyle name="Comma 2 38 3" xfId="11902"/>
    <cellStyle name="Comma 2 38 3 2" xfId="11903"/>
    <cellStyle name="Comma 2 38 3 3" xfId="11904"/>
    <cellStyle name="Comma 2 38 4" xfId="11905"/>
    <cellStyle name="Comma 2 38 4 2" xfId="11906"/>
    <cellStyle name="Comma 2 38 5" xfId="11907"/>
    <cellStyle name="Comma 2 38 5 2" xfId="11908"/>
    <cellStyle name="Comma 2 38 6" xfId="11909"/>
    <cellStyle name="Comma 2 38 6 2" xfId="11910"/>
    <cellStyle name="Comma 2 38 7" xfId="11911"/>
    <cellStyle name="Comma 2 38 8" xfId="11912"/>
    <cellStyle name="Comma 2 38 9" xfId="11913"/>
    <cellStyle name="Comma 2 39" xfId="11914"/>
    <cellStyle name="Comma 2 39 10" xfId="11915"/>
    <cellStyle name="Comma 2 39 2" xfId="11916"/>
    <cellStyle name="Comma 2 39 2 2" xfId="11917"/>
    <cellStyle name="Comma 2 39 2 2 2" xfId="11918"/>
    <cellStyle name="Comma 2 39 2 3" xfId="11919"/>
    <cellStyle name="Comma 2 39 2 4" xfId="11920"/>
    <cellStyle name="Comma 2 39 3" xfId="11921"/>
    <cellStyle name="Comma 2 39 3 2" xfId="11922"/>
    <cellStyle name="Comma 2 39 4" xfId="11923"/>
    <cellStyle name="Comma 2 39 4 2" xfId="11924"/>
    <cellStyle name="Comma 2 39 5" xfId="11925"/>
    <cellStyle name="Comma 2 39 6" xfId="11926"/>
    <cellStyle name="Comma 2 39 7" xfId="11927"/>
    <cellStyle name="Comma 2 39 8" xfId="11928"/>
    <cellStyle name="Comma 2 39 9" xfId="11929"/>
    <cellStyle name="Comma 2 4" xfId="11930"/>
    <cellStyle name="Comma 2 4 10" xfId="11931"/>
    <cellStyle name="Comma 2 4 10 10" xfId="11932"/>
    <cellStyle name="Comma 2 4 10 2" xfId="11933"/>
    <cellStyle name="Comma 2 4 10 2 2" xfId="11934"/>
    <cellStyle name="Comma 2 4 10 2 2 2" xfId="11935"/>
    <cellStyle name="Comma 2 4 10 2 2 3" xfId="11936"/>
    <cellStyle name="Comma 2 4 10 2 3" xfId="11937"/>
    <cellStyle name="Comma 2 4 10 2 4" xfId="11938"/>
    <cellStyle name="Comma 2 4 10 2 5" xfId="11939"/>
    <cellStyle name="Comma 2 4 10 2 6" xfId="11940"/>
    <cellStyle name="Comma 2 4 10 3" xfId="11941"/>
    <cellStyle name="Comma 2 4 10 3 2" xfId="11942"/>
    <cellStyle name="Comma 2 4 10 3 2 2" xfId="11943"/>
    <cellStyle name="Comma 2 4 10 3 2 3" xfId="11944"/>
    <cellStyle name="Comma 2 4 10 3 3" xfId="11945"/>
    <cellStyle name="Comma 2 4 10 3 4" xfId="11946"/>
    <cellStyle name="Comma 2 4 10 3 5" xfId="11947"/>
    <cellStyle name="Comma 2 4 10 3 6" xfId="11948"/>
    <cellStyle name="Comma 2 4 10 4" xfId="11949"/>
    <cellStyle name="Comma 2 4 10 4 2" xfId="11950"/>
    <cellStyle name="Comma 2 4 10 4 2 2" xfId="11951"/>
    <cellStyle name="Comma 2 4 10 4 3" xfId="11952"/>
    <cellStyle name="Comma 2 4 10 4 4" xfId="11953"/>
    <cellStyle name="Comma 2 4 10 4 5" xfId="11954"/>
    <cellStyle name="Comma 2 4 10 5" xfId="11955"/>
    <cellStyle name="Comma 2 4 10 5 2" xfId="11956"/>
    <cellStyle name="Comma 2 4 10 5 3" xfId="11957"/>
    <cellStyle name="Comma 2 4 10 5 4" xfId="11958"/>
    <cellStyle name="Comma 2 4 10 6" xfId="11959"/>
    <cellStyle name="Comma 2 4 10 6 2" xfId="11960"/>
    <cellStyle name="Comma 2 4 10 7" xfId="11961"/>
    <cellStyle name="Comma 2 4 10 8" xfId="11962"/>
    <cellStyle name="Comma 2 4 10 9" xfId="11963"/>
    <cellStyle name="Comma 2 4 11" xfId="11964"/>
    <cellStyle name="Comma 2 4 11 10" xfId="11965"/>
    <cellStyle name="Comma 2 4 11 2" xfId="11966"/>
    <cellStyle name="Comma 2 4 11 2 2" xfId="11967"/>
    <cellStyle name="Comma 2 4 11 2 2 2" xfId="11968"/>
    <cellStyle name="Comma 2 4 11 2 2 3" xfId="11969"/>
    <cellStyle name="Comma 2 4 11 2 3" xfId="11970"/>
    <cellStyle name="Comma 2 4 11 2 4" xfId="11971"/>
    <cellStyle name="Comma 2 4 11 2 5" xfId="11972"/>
    <cellStyle name="Comma 2 4 11 2 6" xfId="11973"/>
    <cellStyle name="Comma 2 4 11 3" xfId="11974"/>
    <cellStyle name="Comma 2 4 11 3 2" xfId="11975"/>
    <cellStyle name="Comma 2 4 11 3 2 2" xfId="11976"/>
    <cellStyle name="Comma 2 4 11 3 2 3" xfId="11977"/>
    <cellStyle name="Comma 2 4 11 3 3" xfId="11978"/>
    <cellStyle name="Comma 2 4 11 3 4" xfId="11979"/>
    <cellStyle name="Comma 2 4 11 3 5" xfId="11980"/>
    <cellStyle name="Comma 2 4 11 3 6" xfId="11981"/>
    <cellStyle name="Comma 2 4 11 4" xfId="11982"/>
    <cellStyle name="Comma 2 4 11 4 2" xfId="11983"/>
    <cellStyle name="Comma 2 4 11 4 2 2" xfId="11984"/>
    <cellStyle name="Comma 2 4 11 4 3" xfId="11985"/>
    <cellStyle name="Comma 2 4 11 4 4" xfId="11986"/>
    <cellStyle name="Comma 2 4 11 4 5" xfId="11987"/>
    <cellStyle name="Comma 2 4 11 5" xfId="11988"/>
    <cellStyle name="Comma 2 4 11 5 2" xfId="11989"/>
    <cellStyle name="Comma 2 4 11 5 3" xfId="11990"/>
    <cellStyle name="Comma 2 4 11 5 4" xfId="11991"/>
    <cellStyle name="Comma 2 4 11 6" xfId="11992"/>
    <cellStyle name="Comma 2 4 11 6 2" xfId="11993"/>
    <cellStyle name="Comma 2 4 11 7" xfId="11994"/>
    <cellStyle name="Comma 2 4 11 8" xfId="11995"/>
    <cellStyle name="Comma 2 4 11 9" xfId="11996"/>
    <cellStyle name="Comma 2 4 12" xfId="11997"/>
    <cellStyle name="Comma 2 4 12 10" xfId="11998"/>
    <cellStyle name="Comma 2 4 12 2" xfId="11999"/>
    <cellStyle name="Comma 2 4 12 2 2" xfId="12000"/>
    <cellStyle name="Comma 2 4 12 2 2 2" xfId="12001"/>
    <cellStyle name="Comma 2 4 12 2 2 3" xfId="12002"/>
    <cellStyle name="Comma 2 4 12 2 3" xfId="12003"/>
    <cellStyle name="Comma 2 4 12 2 4" xfId="12004"/>
    <cellStyle name="Comma 2 4 12 2 5" xfId="12005"/>
    <cellStyle name="Comma 2 4 12 2 6" xfId="12006"/>
    <cellStyle name="Comma 2 4 12 3" xfId="12007"/>
    <cellStyle name="Comma 2 4 12 3 2" xfId="12008"/>
    <cellStyle name="Comma 2 4 12 3 2 2" xfId="12009"/>
    <cellStyle name="Comma 2 4 12 3 2 3" xfId="12010"/>
    <cellStyle name="Comma 2 4 12 3 3" xfId="12011"/>
    <cellStyle name="Comma 2 4 12 3 4" xfId="12012"/>
    <cellStyle name="Comma 2 4 12 3 5" xfId="12013"/>
    <cellStyle name="Comma 2 4 12 3 6" xfId="12014"/>
    <cellStyle name="Comma 2 4 12 4" xfId="12015"/>
    <cellStyle name="Comma 2 4 12 4 2" xfId="12016"/>
    <cellStyle name="Comma 2 4 12 4 2 2" xfId="12017"/>
    <cellStyle name="Comma 2 4 12 4 3" xfId="12018"/>
    <cellStyle name="Comma 2 4 12 4 4" xfId="12019"/>
    <cellStyle name="Comma 2 4 12 4 5" xfId="12020"/>
    <cellStyle name="Comma 2 4 12 5" xfId="12021"/>
    <cellStyle name="Comma 2 4 12 5 2" xfId="12022"/>
    <cellStyle name="Comma 2 4 12 5 3" xfId="12023"/>
    <cellStyle name="Comma 2 4 12 5 4" xfId="12024"/>
    <cellStyle name="Comma 2 4 12 6" xfId="12025"/>
    <cellStyle name="Comma 2 4 12 6 2" xfId="12026"/>
    <cellStyle name="Comma 2 4 12 7" xfId="12027"/>
    <cellStyle name="Comma 2 4 12 8" xfId="12028"/>
    <cellStyle name="Comma 2 4 12 9" xfId="12029"/>
    <cellStyle name="Comma 2 4 13" xfId="12030"/>
    <cellStyle name="Comma 2 4 13 10" xfId="12031"/>
    <cellStyle name="Comma 2 4 13 2" xfId="12032"/>
    <cellStyle name="Comma 2 4 13 2 2" xfId="12033"/>
    <cellStyle name="Comma 2 4 13 2 2 2" xfId="12034"/>
    <cellStyle name="Comma 2 4 13 2 2 3" xfId="12035"/>
    <cellStyle name="Comma 2 4 13 2 3" xfId="12036"/>
    <cellStyle name="Comma 2 4 13 2 4" xfId="12037"/>
    <cellStyle name="Comma 2 4 13 2 5" xfId="12038"/>
    <cellStyle name="Comma 2 4 13 2 6" xfId="12039"/>
    <cellStyle name="Comma 2 4 13 3" xfId="12040"/>
    <cellStyle name="Comma 2 4 13 3 2" xfId="12041"/>
    <cellStyle name="Comma 2 4 13 3 2 2" xfId="12042"/>
    <cellStyle name="Comma 2 4 13 3 2 3" xfId="12043"/>
    <cellStyle name="Comma 2 4 13 3 3" xfId="12044"/>
    <cellStyle name="Comma 2 4 13 3 4" xfId="12045"/>
    <cellStyle name="Comma 2 4 13 3 5" xfId="12046"/>
    <cellStyle name="Comma 2 4 13 3 6" xfId="12047"/>
    <cellStyle name="Comma 2 4 13 4" xfId="12048"/>
    <cellStyle name="Comma 2 4 13 4 2" xfId="12049"/>
    <cellStyle name="Comma 2 4 13 4 2 2" xfId="12050"/>
    <cellStyle name="Comma 2 4 13 4 3" xfId="12051"/>
    <cellStyle name="Comma 2 4 13 4 4" xfId="12052"/>
    <cellStyle name="Comma 2 4 13 4 5" xfId="12053"/>
    <cellStyle name="Comma 2 4 13 5" xfId="12054"/>
    <cellStyle name="Comma 2 4 13 5 2" xfId="12055"/>
    <cellStyle name="Comma 2 4 13 5 3" xfId="12056"/>
    <cellStyle name="Comma 2 4 13 5 4" xfId="12057"/>
    <cellStyle name="Comma 2 4 13 6" xfId="12058"/>
    <cellStyle name="Comma 2 4 13 6 2" xfId="12059"/>
    <cellStyle name="Comma 2 4 13 7" xfId="12060"/>
    <cellStyle name="Comma 2 4 13 8" xfId="12061"/>
    <cellStyle name="Comma 2 4 13 9" xfId="12062"/>
    <cellStyle name="Comma 2 4 14" xfId="12063"/>
    <cellStyle name="Comma 2 4 14 10" xfId="12064"/>
    <cellStyle name="Comma 2 4 14 2" xfId="12065"/>
    <cellStyle name="Comma 2 4 14 2 2" xfId="12066"/>
    <cellStyle name="Comma 2 4 14 2 2 2" xfId="12067"/>
    <cellStyle name="Comma 2 4 14 2 2 3" xfId="12068"/>
    <cellStyle name="Comma 2 4 14 2 3" xfId="12069"/>
    <cellStyle name="Comma 2 4 14 2 4" xfId="12070"/>
    <cellStyle name="Comma 2 4 14 2 5" xfId="12071"/>
    <cellStyle name="Comma 2 4 14 2 6" xfId="12072"/>
    <cellStyle name="Comma 2 4 14 3" xfId="12073"/>
    <cellStyle name="Comma 2 4 14 3 2" xfId="12074"/>
    <cellStyle name="Comma 2 4 14 3 2 2" xfId="12075"/>
    <cellStyle name="Comma 2 4 14 3 2 3" xfId="12076"/>
    <cellStyle name="Comma 2 4 14 3 3" xfId="12077"/>
    <cellStyle name="Comma 2 4 14 3 4" xfId="12078"/>
    <cellStyle name="Comma 2 4 14 3 5" xfId="12079"/>
    <cellStyle name="Comma 2 4 14 3 6" xfId="12080"/>
    <cellStyle name="Comma 2 4 14 4" xfId="12081"/>
    <cellStyle name="Comma 2 4 14 4 2" xfId="12082"/>
    <cellStyle name="Comma 2 4 14 4 2 2" xfId="12083"/>
    <cellStyle name="Comma 2 4 14 4 3" xfId="12084"/>
    <cellStyle name="Comma 2 4 14 4 4" xfId="12085"/>
    <cellStyle name="Comma 2 4 14 4 5" xfId="12086"/>
    <cellStyle name="Comma 2 4 14 5" xfId="12087"/>
    <cellStyle name="Comma 2 4 14 5 2" xfId="12088"/>
    <cellStyle name="Comma 2 4 14 5 3" xfId="12089"/>
    <cellStyle name="Comma 2 4 14 5 4" xfId="12090"/>
    <cellStyle name="Comma 2 4 14 6" xfId="12091"/>
    <cellStyle name="Comma 2 4 14 6 2" xfId="12092"/>
    <cellStyle name="Comma 2 4 14 7" xfId="12093"/>
    <cellStyle name="Comma 2 4 14 8" xfId="12094"/>
    <cellStyle name="Comma 2 4 14 9" xfId="12095"/>
    <cellStyle name="Comma 2 4 15" xfId="12096"/>
    <cellStyle name="Comma 2 4 15 10" xfId="12097"/>
    <cellStyle name="Comma 2 4 15 2" xfId="12098"/>
    <cellStyle name="Comma 2 4 15 2 2" xfId="12099"/>
    <cellStyle name="Comma 2 4 15 2 2 2" xfId="12100"/>
    <cellStyle name="Comma 2 4 15 2 2 3" xfId="12101"/>
    <cellStyle name="Comma 2 4 15 2 3" xfId="12102"/>
    <cellStyle name="Comma 2 4 15 2 4" xfId="12103"/>
    <cellStyle name="Comma 2 4 15 2 5" xfId="12104"/>
    <cellStyle name="Comma 2 4 15 2 6" xfId="12105"/>
    <cellStyle name="Comma 2 4 15 3" xfId="12106"/>
    <cellStyle name="Comma 2 4 15 3 2" xfId="12107"/>
    <cellStyle name="Comma 2 4 15 3 2 2" xfId="12108"/>
    <cellStyle name="Comma 2 4 15 3 2 3" xfId="12109"/>
    <cellStyle name="Comma 2 4 15 3 3" xfId="12110"/>
    <cellStyle name="Comma 2 4 15 3 4" xfId="12111"/>
    <cellStyle name="Comma 2 4 15 3 5" xfId="12112"/>
    <cellStyle name="Comma 2 4 15 3 6" xfId="12113"/>
    <cellStyle name="Comma 2 4 15 4" xfId="12114"/>
    <cellStyle name="Comma 2 4 15 4 2" xfId="12115"/>
    <cellStyle name="Comma 2 4 15 4 2 2" xfId="12116"/>
    <cellStyle name="Comma 2 4 15 4 3" xfId="12117"/>
    <cellStyle name="Comma 2 4 15 4 4" xfId="12118"/>
    <cellStyle name="Comma 2 4 15 4 5" xfId="12119"/>
    <cellStyle name="Comma 2 4 15 5" xfId="12120"/>
    <cellStyle name="Comma 2 4 15 5 2" xfId="12121"/>
    <cellStyle name="Comma 2 4 15 5 3" xfId="12122"/>
    <cellStyle name="Comma 2 4 15 5 4" xfId="12123"/>
    <cellStyle name="Comma 2 4 15 6" xfId="12124"/>
    <cellStyle name="Comma 2 4 15 6 2" xfId="12125"/>
    <cellStyle name="Comma 2 4 15 7" xfId="12126"/>
    <cellStyle name="Comma 2 4 15 8" xfId="12127"/>
    <cellStyle name="Comma 2 4 15 9" xfId="12128"/>
    <cellStyle name="Comma 2 4 16" xfId="12129"/>
    <cellStyle name="Comma 2 4 16 10" xfId="12130"/>
    <cellStyle name="Comma 2 4 16 2" xfId="12131"/>
    <cellStyle name="Comma 2 4 16 2 2" xfId="12132"/>
    <cellStyle name="Comma 2 4 16 2 2 2" xfId="12133"/>
    <cellStyle name="Comma 2 4 16 2 2 3" xfId="12134"/>
    <cellStyle name="Comma 2 4 16 2 3" xfId="12135"/>
    <cellStyle name="Comma 2 4 16 2 4" xfId="12136"/>
    <cellStyle name="Comma 2 4 16 2 5" xfId="12137"/>
    <cellStyle name="Comma 2 4 16 2 6" xfId="12138"/>
    <cellStyle name="Comma 2 4 16 3" xfId="12139"/>
    <cellStyle name="Comma 2 4 16 3 2" xfId="12140"/>
    <cellStyle name="Comma 2 4 16 3 2 2" xfId="12141"/>
    <cellStyle name="Comma 2 4 16 3 2 3" xfId="12142"/>
    <cellStyle name="Comma 2 4 16 3 3" xfId="12143"/>
    <cellStyle name="Comma 2 4 16 3 4" xfId="12144"/>
    <cellStyle name="Comma 2 4 16 3 5" xfId="12145"/>
    <cellStyle name="Comma 2 4 16 3 6" xfId="12146"/>
    <cellStyle name="Comma 2 4 16 4" xfId="12147"/>
    <cellStyle name="Comma 2 4 16 4 2" xfId="12148"/>
    <cellStyle name="Comma 2 4 16 4 2 2" xfId="12149"/>
    <cellStyle name="Comma 2 4 16 4 3" xfId="12150"/>
    <cellStyle name="Comma 2 4 16 4 4" xfId="12151"/>
    <cellStyle name="Comma 2 4 16 4 5" xfId="12152"/>
    <cellStyle name="Comma 2 4 16 5" xfId="12153"/>
    <cellStyle name="Comma 2 4 16 5 2" xfId="12154"/>
    <cellStyle name="Comma 2 4 16 5 3" xfId="12155"/>
    <cellStyle name="Comma 2 4 16 5 4" xfId="12156"/>
    <cellStyle name="Comma 2 4 16 6" xfId="12157"/>
    <cellStyle name="Comma 2 4 16 6 2" xfId="12158"/>
    <cellStyle name="Comma 2 4 16 7" xfId="12159"/>
    <cellStyle name="Comma 2 4 16 8" xfId="12160"/>
    <cellStyle name="Comma 2 4 16 9" xfId="12161"/>
    <cellStyle name="Comma 2 4 17" xfId="12162"/>
    <cellStyle name="Comma 2 4 17 10" xfId="12163"/>
    <cellStyle name="Comma 2 4 17 2" xfId="12164"/>
    <cellStyle name="Comma 2 4 17 2 2" xfId="12165"/>
    <cellStyle name="Comma 2 4 17 2 2 2" xfId="12166"/>
    <cellStyle name="Comma 2 4 17 2 2 3" xfId="12167"/>
    <cellStyle name="Comma 2 4 17 2 3" xfId="12168"/>
    <cellStyle name="Comma 2 4 17 2 4" xfId="12169"/>
    <cellStyle name="Comma 2 4 17 2 5" xfId="12170"/>
    <cellStyle name="Comma 2 4 17 2 6" xfId="12171"/>
    <cellStyle name="Comma 2 4 17 3" xfId="12172"/>
    <cellStyle name="Comma 2 4 17 3 2" xfId="12173"/>
    <cellStyle name="Comma 2 4 17 3 2 2" xfId="12174"/>
    <cellStyle name="Comma 2 4 17 3 2 3" xfId="12175"/>
    <cellStyle name="Comma 2 4 17 3 3" xfId="12176"/>
    <cellStyle name="Comma 2 4 17 3 4" xfId="12177"/>
    <cellStyle name="Comma 2 4 17 3 5" xfId="12178"/>
    <cellStyle name="Comma 2 4 17 3 6" xfId="12179"/>
    <cellStyle name="Comma 2 4 17 4" xfId="12180"/>
    <cellStyle name="Comma 2 4 17 4 2" xfId="12181"/>
    <cellStyle name="Comma 2 4 17 4 2 2" xfId="12182"/>
    <cellStyle name="Comma 2 4 17 4 3" xfId="12183"/>
    <cellStyle name="Comma 2 4 17 4 4" xfId="12184"/>
    <cellStyle name="Comma 2 4 17 4 5" xfId="12185"/>
    <cellStyle name="Comma 2 4 17 5" xfId="12186"/>
    <cellStyle name="Comma 2 4 17 5 2" xfId="12187"/>
    <cellStyle name="Comma 2 4 17 5 3" xfId="12188"/>
    <cellStyle name="Comma 2 4 17 5 4" xfId="12189"/>
    <cellStyle name="Comma 2 4 17 6" xfId="12190"/>
    <cellStyle name="Comma 2 4 17 6 2" xfId="12191"/>
    <cellStyle name="Comma 2 4 17 7" xfId="12192"/>
    <cellStyle name="Comma 2 4 17 8" xfId="12193"/>
    <cellStyle name="Comma 2 4 17 9" xfId="12194"/>
    <cellStyle name="Comma 2 4 18" xfId="12195"/>
    <cellStyle name="Comma 2 4 18 10" xfId="12196"/>
    <cellStyle name="Comma 2 4 18 2" xfId="12197"/>
    <cellStyle name="Comma 2 4 18 2 2" xfId="12198"/>
    <cellStyle name="Comma 2 4 18 2 2 2" xfId="12199"/>
    <cellStyle name="Comma 2 4 18 2 2 3" xfId="12200"/>
    <cellStyle name="Comma 2 4 18 2 3" xfId="12201"/>
    <cellStyle name="Comma 2 4 18 2 4" xfId="12202"/>
    <cellStyle name="Comma 2 4 18 2 5" xfId="12203"/>
    <cellStyle name="Comma 2 4 18 2 6" xfId="12204"/>
    <cellStyle name="Comma 2 4 18 3" xfId="12205"/>
    <cellStyle name="Comma 2 4 18 3 2" xfId="12206"/>
    <cellStyle name="Comma 2 4 18 3 2 2" xfId="12207"/>
    <cellStyle name="Comma 2 4 18 3 2 3" xfId="12208"/>
    <cellStyle name="Comma 2 4 18 3 3" xfId="12209"/>
    <cellStyle name="Comma 2 4 18 3 4" xfId="12210"/>
    <cellStyle name="Comma 2 4 18 3 5" xfId="12211"/>
    <cellStyle name="Comma 2 4 18 3 6" xfId="12212"/>
    <cellStyle name="Comma 2 4 18 4" xfId="12213"/>
    <cellStyle name="Comma 2 4 18 4 2" xfId="12214"/>
    <cellStyle name="Comma 2 4 18 4 2 2" xfId="12215"/>
    <cellStyle name="Comma 2 4 18 4 3" xfId="12216"/>
    <cellStyle name="Comma 2 4 18 4 4" xfId="12217"/>
    <cellStyle name="Comma 2 4 18 4 5" xfId="12218"/>
    <cellStyle name="Comma 2 4 18 5" xfId="12219"/>
    <cellStyle name="Comma 2 4 18 5 2" xfId="12220"/>
    <cellStyle name="Comma 2 4 18 5 3" xfId="12221"/>
    <cellStyle name="Comma 2 4 18 5 4" xfId="12222"/>
    <cellStyle name="Comma 2 4 18 6" xfId="12223"/>
    <cellStyle name="Comma 2 4 18 6 2" xfId="12224"/>
    <cellStyle name="Comma 2 4 18 7" xfId="12225"/>
    <cellStyle name="Comma 2 4 18 8" xfId="12226"/>
    <cellStyle name="Comma 2 4 18 9" xfId="12227"/>
    <cellStyle name="Comma 2 4 19" xfId="12228"/>
    <cellStyle name="Comma 2 4 19 10" xfId="12229"/>
    <cellStyle name="Comma 2 4 19 2" xfId="12230"/>
    <cellStyle name="Comma 2 4 19 2 2" xfId="12231"/>
    <cellStyle name="Comma 2 4 19 2 2 2" xfId="12232"/>
    <cellStyle name="Comma 2 4 19 2 2 3" xfId="12233"/>
    <cellStyle name="Comma 2 4 19 2 3" xfId="12234"/>
    <cellStyle name="Comma 2 4 19 2 4" xfId="12235"/>
    <cellStyle name="Comma 2 4 19 2 5" xfId="12236"/>
    <cellStyle name="Comma 2 4 19 2 6" xfId="12237"/>
    <cellStyle name="Comma 2 4 19 3" xfId="12238"/>
    <cellStyle name="Comma 2 4 19 3 2" xfId="12239"/>
    <cellStyle name="Comma 2 4 19 3 2 2" xfId="12240"/>
    <cellStyle name="Comma 2 4 19 3 2 3" xfId="12241"/>
    <cellStyle name="Comma 2 4 19 3 3" xfId="12242"/>
    <cellStyle name="Comma 2 4 19 3 4" xfId="12243"/>
    <cellStyle name="Comma 2 4 19 3 5" xfId="12244"/>
    <cellStyle name="Comma 2 4 19 3 6" xfId="12245"/>
    <cellStyle name="Comma 2 4 19 4" xfId="12246"/>
    <cellStyle name="Comma 2 4 19 4 2" xfId="12247"/>
    <cellStyle name="Comma 2 4 19 4 2 2" xfId="12248"/>
    <cellStyle name="Comma 2 4 19 4 3" xfId="12249"/>
    <cellStyle name="Comma 2 4 19 4 4" xfId="12250"/>
    <cellStyle name="Comma 2 4 19 4 5" xfId="12251"/>
    <cellStyle name="Comma 2 4 19 5" xfId="12252"/>
    <cellStyle name="Comma 2 4 19 5 2" xfId="12253"/>
    <cellStyle name="Comma 2 4 19 5 3" xfId="12254"/>
    <cellStyle name="Comma 2 4 19 5 4" xfId="12255"/>
    <cellStyle name="Comma 2 4 19 6" xfId="12256"/>
    <cellStyle name="Comma 2 4 19 6 2" xfId="12257"/>
    <cellStyle name="Comma 2 4 19 7" xfId="12258"/>
    <cellStyle name="Comma 2 4 19 8" xfId="12259"/>
    <cellStyle name="Comma 2 4 19 9" xfId="12260"/>
    <cellStyle name="Comma 2 4 2" xfId="12261"/>
    <cellStyle name="Comma 2 4 2 10" xfId="12262"/>
    <cellStyle name="Comma 2 4 2 10 10" xfId="12263"/>
    <cellStyle name="Comma 2 4 2 10 2" xfId="12264"/>
    <cellStyle name="Comma 2 4 2 10 2 2" xfId="12265"/>
    <cellStyle name="Comma 2 4 2 10 2 2 2" xfId="12266"/>
    <cellStyle name="Comma 2 4 2 10 2 2 3" xfId="12267"/>
    <cellStyle name="Comma 2 4 2 10 2 3" xfId="12268"/>
    <cellStyle name="Comma 2 4 2 10 2 4" xfId="12269"/>
    <cellStyle name="Comma 2 4 2 10 2 5" xfId="12270"/>
    <cellStyle name="Comma 2 4 2 10 2 6" xfId="12271"/>
    <cellStyle name="Comma 2 4 2 10 3" xfId="12272"/>
    <cellStyle name="Comma 2 4 2 10 3 2" xfId="12273"/>
    <cellStyle name="Comma 2 4 2 10 3 2 2" xfId="12274"/>
    <cellStyle name="Comma 2 4 2 10 3 2 3" xfId="12275"/>
    <cellStyle name="Comma 2 4 2 10 3 3" xfId="12276"/>
    <cellStyle name="Comma 2 4 2 10 3 4" xfId="12277"/>
    <cellStyle name="Comma 2 4 2 10 3 5" xfId="12278"/>
    <cellStyle name="Comma 2 4 2 10 3 6" xfId="12279"/>
    <cellStyle name="Comma 2 4 2 10 4" xfId="12280"/>
    <cellStyle name="Comma 2 4 2 10 4 2" xfId="12281"/>
    <cellStyle name="Comma 2 4 2 10 4 2 2" xfId="12282"/>
    <cellStyle name="Comma 2 4 2 10 4 3" xfId="12283"/>
    <cellStyle name="Comma 2 4 2 10 4 4" xfId="12284"/>
    <cellStyle name="Comma 2 4 2 10 4 5" xfId="12285"/>
    <cellStyle name="Comma 2 4 2 10 5" xfId="12286"/>
    <cellStyle name="Comma 2 4 2 10 5 2" xfId="12287"/>
    <cellStyle name="Comma 2 4 2 10 5 3" xfId="12288"/>
    <cellStyle name="Comma 2 4 2 10 5 4" xfId="12289"/>
    <cellStyle name="Comma 2 4 2 10 6" xfId="12290"/>
    <cellStyle name="Comma 2 4 2 10 6 2" xfId="12291"/>
    <cellStyle name="Comma 2 4 2 10 7" xfId="12292"/>
    <cellStyle name="Comma 2 4 2 10 8" xfId="12293"/>
    <cellStyle name="Comma 2 4 2 10 9" xfId="12294"/>
    <cellStyle name="Comma 2 4 2 11" xfId="12295"/>
    <cellStyle name="Comma 2 4 2 11 10" xfId="12296"/>
    <cellStyle name="Comma 2 4 2 11 2" xfId="12297"/>
    <cellStyle name="Comma 2 4 2 11 2 2" xfId="12298"/>
    <cellStyle name="Comma 2 4 2 11 2 2 2" xfId="12299"/>
    <cellStyle name="Comma 2 4 2 11 2 2 3" xfId="12300"/>
    <cellStyle name="Comma 2 4 2 11 2 3" xfId="12301"/>
    <cellStyle name="Comma 2 4 2 11 2 4" xfId="12302"/>
    <cellStyle name="Comma 2 4 2 11 2 5" xfId="12303"/>
    <cellStyle name="Comma 2 4 2 11 2 6" xfId="12304"/>
    <cellStyle name="Comma 2 4 2 11 3" xfId="12305"/>
    <cellStyle name="Comma 2 4 2 11 3 2" xfId="12306"/>
    <cellStyle name="Comma 2 4 2 11 3 2 2" xfId="12307"/>
    <cellStyle name="Comma 2 4 2 11 3 2 3" xfId="12308"/>
    <cellStyle name="Comma 2 4 2 11 3 3" xfId="12309"/>
    <cellStyle name="Comma 2 4 2 11 3 4" xfId="12310"/>
    <cellStyle name="Comma 2 4 2 11 3 5" xfId="12311"/>
    <cellStyle name="Comma 2 4 2 11 3 6" xfId="12312"/>
    <cellStyle name="Comma 2 4 2 11 4" xfId="12313"/>
    <cellStyle name="Comma 2 4 2 11 4 2" xfId="12314"/>
    <cellStyle name="Comma 2 4 2 11 4 2 2" xfId="12315"/>
    <cellStyle name="Comma 2 4 2 11 4 3" xfId="12316"/>
    <cellStyle name="Comma 2 4 2 11 4 4" xfId="12317"/>
    <cellStyle name="Comma 2 4 2 11 4 5" xfId="12318"/>
    <cellStyle name="Comma 2 4 2 11 5" xfId="12319"/>
    <cellStyle name="Comma 2 4 2 11 5 2" xfId="12320"/>
    <cellStyle name="Comma 2 4 2 11 5 3" xfId="12321"/>
    <cellStyle name="Comma 2 4 2 11 5 4" xfId="12322"/>
    <cellStyle name="Comma 2 4 2 11 6" xfId="12323"/>
    <cellStyle name="Comma 2 4 2 11 6 2" xfId="12324"/>
    <cellStyle name="Comma 2 4 2 11 7" xfId="12325"/>
    <cellStyle name="Comma 2 4 2 11 8" xfId="12326"/>
    <cellStyle name="Comma 2 4 2 11 9" xfId="12327"/>
    <cellStyle name="Comma 2 4 2 12" xfId="12328"/>
    <cellStyle name="Comma 2 4 2 12 10" xfId="12329"/>
    <cellStyle name="Comma 2 4 2 12 2" xfId="12330"/>
    <cellStyle name="Comma 2 4 2 12 2 2" xfId="12331"/>
    <cellStyle name="Comma 2 4 2 12 2 2 2" xfId="12332"/>
    <cellStyle name="Comma 2 4 2 12 2 2 3" xfId="12333"/>
    <cellStyle name="Comma 2 4 2 12 2 3" xfId="12334"/>
    <cellStyle name="Comma 2 4 2 12 2 4" xfId="12335"/>
    <cellStyle name="Comma 2 4 2 12 2 5" xfId="12336"/>
    <cellStyle name="Comma 2 4 2 12 2 6" xfId="12337"/>
    <cellStyle name="Comma 2 4 2 12 3" xfId="12338"/>
    <cellStyle name="Comma 2 4 2 12 3 2" xfId="12339"/>
    <cellStyle name="Comma 2 4 2 12 3 2 2" xfId="12340"/>
    <cellStyle name="Comma 2 4 2 12 3 2 3" xfId="12341"/>
    <cellStyle name="Comma 2 4 2 12 3 3" xfId="12342"/>
    <cellStyle name="Comma 2 4 2 12 3 4" xfId="12343"/>
    <cellStyle name="Comma 2 4 2 12 3 5" xfId="12344"/>
    <cellStyle name="Comma 2 4 2 12 3 6" xfId="12345"/>
    <cellStyle name="Comma 2 4 2 12 4" xfId="12346"/>
    <cellStyle name="Comma 2 4 2 12 4 2" xfId="12347"/>
    <cellStyle name="Comma 2 4 2 12 4 2 2" xfId="12348"/>
    <cellStyle name="Comma 2 4 2 12 4 3" xfId="12349"/>
    <cellStyle name="Comma 2 4 2 12 4 4" xfId="12350"/>
    <cellStyle name="Comma 2 4 2 12 4 5" xfId="12351"/>
    <cellStyle name="Comma 2 4 2 12 5" xfId="12352"/>
    <cellStyle name="Comma 2 4 2 12 5 2" xfId="12353"/>
    <cellStyle name="Comma 2 4 2 12 5 3" xfId="12354"/>
    <cellStyle name="Comma 2 4 2 12 5 4" xfId="12355"/>
    <cellStyle name="Comma 2 4 2 12 6" xfId="12356"/>
    <cellStyle name="Comma 2 4 2 12 6 2" xfId="12357"/>
    <cellStyle name="Comma 2 4 2 12 7" xfId="12358"/>
    <cellStyle name="Comma 2 4 2 12 8" xfId="12359"/>
    <cellStyle name="Comma 2 4 2 12 9" xfId="12360"/>
    <cellStyle name="Comma 2 4 2 13" xfId="12361"/>
    <cellStyle name="Comma 2 4 2 13 2" xfId="12362"/>
    <cellStyle name="Comma 2 4 2 13 2 2" xfId="12363"/>
    <cellStyle name="Comma 2 4 2 13 2 2 2" xfId="12364"/>
    <cellStyle name="Comma 2 4 2 13 2 2 3" xfId="12365"/>
    <cellStyle name="Comma 2 4 2 13 2 3" xfId="12366"/>
    <cellStyle name="Comma 2 4 2 13 2 4" xfId="12367"/>
    <cellStyle name="Comma 2 4 2 13 2 5" xfId="12368"/>
    <cellStyle name="Comma 2 4 2 13 2 6" xfId="12369"/>
    <cellStyle name="Comma 2 4 2 13 3" xfId="12370"/>
    <cellStyle name="Comma 2 4 2 13 3 2" xfId="12371"/>
    <cellStyle name="Comma 2 4 2 13 3 2 2" xfId="12372"/>
    <cellStyle name="Comma 2 4 2 13 3 3" xfId="12373"/>
    <cellStyle name="Comma 2 4 2 13 3 4" xfId="12374"/>
    <cellStyle name="Comma 2 4 2 13 3 5" xfId="12375"/>
    <cellStyle name="Comma 2 4 2 13 4" xfId="12376"/>
    <cellStyle name="Comma 2 4 2 13 4 2" xfId="12377"/>
    <cellStyle name="Comma 2 4 2 13 4 3" xfId="12378"/>
    <cellStyle name="Comma 2 4 2 13 4 4" xfId="12379"/>
    <cellStyle name="Comma 2 4 2 13 5" xfId="12380"/>
    <cellStyle name="Comma 2 4 2 13 5 2" xfId="12381"/>
    <cellStyle name="Comma 2 4 2 13 6" xfId="12382"/>
    <cellStyle name="Comma 2 4 2 13 7" xfId="12383"/>
    <cellStyle name="Comma 2 4 2 13 8" xfId="12384"/>
    <cellStyle name="Comma 2 4 2 13 9" xfId="12385"/>
    <cellStyle name="Comma 2 4 2 14" xfId="12386"/>
    <cellStyle name="Comma 2 4 2 14 2" xfId="12387"/>
    <cellStyle name="Comma 2 4 2 14 2 2" xfId="12388"/>
    <cellStyle name="Comma 2 4 2 14 2 2 2" xfId="12389"/>
    <cellStyle name="Comma 2 4 2 14 2 2 3" xfId="12390"/>
    <cellStyle name="Comma 2 4 2 14 2 3" xfId="12391"/>
    <cellStyle name="Comma 2 4 2 14 2 4" xfId="12392"/>
    <cellStyle name="Comma 2 4 2 14 2 5" xfId="12393"/>
    <cellStyle name="Comma 2 4 2 14 2 6" xfId="12394"/>
    <cellStyle name="Comma 2 4 2 14 3" xfId="12395"/>
    <cellStyle name="Comma 2 4 2 14 3 2" xfId="12396"/>
    <cellStyle name="Comma 2 4 2 14 3 2 2" xfId="12397"/>
    <cellStyle name="Comma 2 4 2 14 3 3" xfId="12398"/>
    <cellStyle name="Comma 2 4 2 14 3 4" xfId="12399"/>
    <cellStyle name="Comma 2 4 2 14 3 5" xfId="12400"/>
    <cellStyle name="Comma 2 4 2 14 4" xfId="12401"/>
    <cellStyle name="Comma 2 4 2 14 4 2" xfId="12402"/>
    <cellStyle name="Comma 2 4 2 14 4 3" xfId="12403"/>
    <cellStyle name="Comma 2 4 2 14 4 4" xfId="12404"/>
    <cellStyle name="Comma 2 4 2 14 5" xfId="12405"/>
    <cellStyle name="Comma 2 4 2 14 5 2" xfId="12406"/>
    <cellStyle name="Comma 2 4 2 14 6" xfId="12407"/>
    <cellStyle name="Comma 2 4 2 14 7" xfId="12408"/>
    <cellStyle name="Comma 2 4 2 14 8" xfId="12409"/>
    <cellStyle name="Comma 2 4 2 14 9" xfId="12410"/>
    <cellStyle name="Comma 2 4 2 15" xfId="12411"/>
    <cellStyle name="Comma 2 4 2 15 2" xfId="12412"/>
    <cellStyle name="Comma 2 4 2 15 2 2" xfId="12413"/>
    <cellStyle name="Comma 2 4 2 15 2 3" xfId="12414"/>
    <cellStyle name="Comma 2 4 2 15 3" xfId="12415"/>
    <cellStyle name="Comma 2 4 2 15 4" xfId="12416"/>
    <cellStyle name="Comma 2 4 2 15 5" xfId="12417"/>
    <cellStyle name="Comma 2 4 2 15 6" xfId="12418"/>
    <cellStyle name="Comma 2 4 2 16" xfId="12419"/>
    <cellStyle name="Comma 2 4 2 16 2" xfId="12420"/>
    <cellStyle name="Comma 2 4 2 16 2 2" xfId="12421"/>
    <cellStyle name="Comma 2 4 2 16 3" xfId="12422"/>
    <cellStyle name="Comma 2 4 2 16 4" xfId="12423"/>
    <cellStyle name="Comma 2 4 2 16 5" xfId="12424"/>
    <cellStyle name="Comma 2 4 2 17" xfId="12425"/>
    <cellStyle name="Comma 2 4 2 17 2" xfId="12426"/>
    <cellStyle name="Comma 2 4 2 17 2 2" xfId="12427"/>
    <cellStyle name="Comma 2 4 2 17 3" xfId="12428"/>
    <cellStyle name="Comma 2 4 2 17 4" xfId="12429"/>
    <cellStyle name="Comma 2 4 2 17 5" xfId="12430"/>
    <cellStyle name="Comma 2 4 2 18" xfId="12431"/>
    <cellStyle name="Comma 2 4 2 18 2" xfId="12432"/>
    <cellStyle name="Comma 2 4 2 19" xfId="12433"/>
    <cellStyle name="Comma 2 4 2 2" xfId="12434"/>
    <cellStyle name="Comma 2 4 2 2 10" xfId="12435"/>
    <cellStyle name="Comma 2 4 2 2 11" xfId="12436"/>
    <cellStyle name="Comma 2 4 2 2 2" xfId="12437"/>
    <cellStyle name="Comma 2 4 2 2 2 2" xfId="12438"/>
    <cellStyle name="Comma 2 4 2 2 2 2 2" xfId="12439"/>
    <cellStyle name="Comma 2 4 2 2 2 2 2 2" xfId="12440"/>
    <cellStyle name="Comma 2 4 2 2 2 2 2 3" xfId="12441"/>
    <cellStyle name="Comma 2 4 2 2 2 2 3" xfId="12442"/>
    <cellStyle name="Comma 2 4 2 2 2 2 4" xfId="12443"/>
    <cellStyle name="Comma 2 4 2 2 2 2 5" xfId="12444"/>
    <cellStyle name="Comma 2 4 2 2 2 2 6" xfId="12445"/>
    <cellStyle name="Comma 2 4 2 2 2 3" xfId="12446"/>
    <cellStyle name="Comma 2 4 2 2 2 3 2" xfId="12447"/>
    <cellStyle name="Comma 2 4 2 2 2 3 2 2" xfId="12448"/>
    <cellStyle name="Comma 2 4 2 2 2 3 3" xfId="12449"/>
    <cellStyle name="Comma 2 4 2 2 2 3 4" xfId="12450"/>
    <cellStyle name="Comma 2 4 2 2 2 3 5" xfId="12451"/>
    <cellStyle name="Comma 2 4 2 2 2 4" xfId="12452"/>
    <cellStyle name="Comma 2 4 2 2 2 4 2" xfId="12453"/>
    <cellStyle name="Comma 2 4 2 2 2 4 3" xfId="12454"/>
    <cellStyle name="Comma 2 4 2 2 2 4 4" xfId="12455"/>
    <cellStyle name="Comma 2 4 2 2 2 5" xfId="12456"/>
    <cellStyle name="Comma 2 4 2 2 2 5 2" xfId="12457"/>
    <cellStyle name="Comma 2 4 2 2 2 6" xfId="12458"/>
    <cellStyle name="Comma 2 4 2 2 2 7" xfId="12459"/>
    <cellStyle name="Comma 2 4 2 2 2 8" xfId="12460"/>
    <cellStyle name="Comma 2 4 2 2 2 9" xfId="12461"/>
    <cellStyle name="Comma 2 4 2 2 3" xfId="12462"/>
    <cellStyle name="Comma 2 4 2 2 3 2" xfId="12463"/>
    <cellStyle name="Comma 2 4 2 2 3 2 2" xfId="12464"/>
    <cellStyle name="Comma 2 4 2 2 3 2 2 2" xfId="12465"/>
    <cellStyle name="Comma 2 4 2 2 3 2 2 3" xfId="12466"/>
    <cellStyle name="Comma 2 4 2 2 3 2 3" xfId="12467"/>
    <cellStyle name="Comma 2 4 2 2 3 2 4" xfId="12468"/>
    <cellStyle name="Comma 2 4 2 2 3 2 5" xfId="12469"/>
    <cellStyle name="Comma 2 4 2 2 3 2 6" xfId="12470"/>
    <cellStyle name="Comma 2 4 2 2 3 3" xfId="12471"/>
    <cellStyle name="Comma 2 4 2 2 3 3 2" xfId="12472"/>
    <cellStyle name="Comma 2 4 2 2 3 3 2 2" xfId="12473"/>
    <cellStyle name="Comma 2 4 2 2 3 3 3" xfId="12474"/>
    <cellStyle name="Comma 2 4 2 2 3 3 4" xfId="12475"/>
    <cellStyle name="Comma 2 4 2 2 3 3 5" xfId="12476"/>
    <cellStyle name="Comma 2 4 2 2 3 4" xfId="12477"/>
    <cellStyle name="Comma 2 4 2 2 3 4 2" xfId="12478"/>
    <cellStyle name="Comma 2 4 2 2 3 4 3" xfId="12479"/>
    <cellStyle name="Comma 2 4 2 2 3 4 4" xfId="12480"/>
    <cellStyle name="Comma 2 4 2 2 3 5" xfId="12481"/>
    <cellStyle name="Comma 2 4 2 2 3 5 2" xfId="12482"/>
    <cellStyle name="Comma 2 4 2 2 3 6" xfId="12483"/>
    <cellStyle name="Comma 2 4 2 2 3 7" xfId="12484"/>
    <cellStyle name="Comma 2 4 2 2 3 8" xfId="12485"/>
    <cellStyle name="Comma 2 4 2 2 3 9" xfId="12486"/>
    <cellStyle name="Comma 2 4 2 2 4" xfId="12487"/>
    <cellStyle name="Comma 2 4 2 2 4 2" xfId="12488"/>
    <cellStyle name="Comma 2 4 2 2 4 2 2" xfId="12489"/>
    <cellStyle name="Comma 2 4 2 2 4 2 3" xfId="12490"/>
    <cellStyle name="Comma 2 4 2 2 4 3" xfId="12491"/>
    <cellStyle name="Comma 2 4 2 2 4 4" xfId="12492"/>
    <cellStyle name="Comma 2 4 2 2 4 5" xfId="12493"/>
    <cellStyle name="Comma 2 4 2 2 4 6" xfId="12494"/>
    <cellStyle name="Comma 2 4 2 2 5" xfId="12495"/>
    <cellStyle name="Comma 2 4 2 2 5 2" xfId="12496"/>
    <cellStyle name="Comma 2 4 2 2 5 2 2" xfId="12497"/>
    <cellStyle name="Comma 2 4 2 2 5 3" xfId="12498"/>
    <cellStyle name="Comma 2 4 2 2 5 4" xfId="12499"/>
    <cellStyle name="Comma 2 4 2 2 5 5" xfId="12500"/>
    <cellStyle name="Comma 2 4 2 2 6" xfId="12501"/>
    <cellStyle name="Comma 2 4 2 2 6 2" xfId="12502"/>
    <cellStyle name="Comma 2 4 2 2 6 3" xfId="12503"/>
    <cellStyle name="Comma 2 4 2 2 6 4" xfId="12504"/>
    <cellStyle name="Comma 2 4 2 2 7" xfId="12505"/>
    <cellStyle name="Comma 2 4 2 2 7 2" xfId="12506"/>
    <cellStyle name="Comma 2 4 2 2 8" xfId="12507"/>
    <cellStyle name="Comma 2 4 2 2 9" xfId="12508"/>
    <cellStyle name="Comma 2 4 2 20" xfId="12509"/>
    <cellStyle name="Comma 2 4 2 21" xfId="12510"/>
    <cellStyle name="Comma 2 4 2 22" xfId="12511"/>
    <cellStyle name="Comma 2 4 2 3" xfId="12512"/>
    <cellStyle name="Comma 2 4 2 3 10" xfId="12513"/>
    <cellStyle name="Comma 2 4 2 3 11" xfId="12514"/>
    <cellStyle name="Comma 2 4 2 3 2" xfId="12515"/>
    <cellStyle name="Comma 2 4 2 3 2 2" xfId="12516"/>
    <cellStyle name="Comma 2 4 2 3 2 2 2" xfId="12517"/>
    <cellStyle name="Comma 2 4 2 3 2 2 2 2" xfId="12518"/>
    <cellStyle name="Comma 2 4 2 3 2 2 2 3" xfId="12519"/>
    <cellStyle name="Comma 2 4 2 3 2 2 3" xfId="12520"/>
    <cellStyle name="Comma 2 4 2 3 2 2 4" xfId="12521"/>
    <cellStyle name="Comma 2 4 2 3 2 2 5" xfId="12522"/>
    <cellStyle name="Comma 2 4 2 3 2 2 6" xfId="12523"/>
    <cellStyle name="Comma 2 4 2 3 2 3" xfId="12524"/>
    <cellStyle name="Comma 2 4 2 3 2 3 2" xfId="12525"/>
    <cellStyle name="Comma 2 4 2 3 2 3 2 2" xfId="12526"/>
    <cellStyle name="Comma 2 4 2 3 2 3 3" xfId="12527"/>
    <cellStyle name="Comma 2 4 2 3 2 3 4" xfId="12528"/>
    <cellStyle name="Comma 2 4 2 3 2 3 5" xfId="12529"/>
    <cellStyle name="Comma 2 4 2 3 2 4" xfId="12530"/>
    <cellStyle name="Comma 2 4 2 3 2 4 2" xfId="12531"/>
    <cellStyle name="Comma 2 4 2 3 2 4 3" xfId="12532"/>
    <cellStyle name="Comma 2 4 2 3 2 4 4" xfId="12533"/>
    <cellStyle name="Comma 2 4 2 3 2 5" xfId="12534"/>
    <cellStyle name="Comma 2 4 2 3 2 5 2" xfId="12535"/>
    <cellStyle name="Comma 2 4 2 3 2 6" xfId="12536"/>
    <cellStyle name="Comma 2 4 2 3 2 7" xfId="12537"/>
    <cellStyle name="Comma 2 4 2 3 2 8" xfId="12538"/>
    <cellStyle name="Comma 2 4 2 3 2 9" xfId="12539"/>
    <cellStyle name="Comma 2 4 2 3 3" xfId="12540"/>
    <cellStyle name="Comma 2 4 2 3 3 2" xfId="12541"/>
    <cellStyle name="Comma 2 4 2 3 3 2 2" xfId="12542"/>
    <cellStyle name="Comma 2 4 2 3 3 2 2 2" xfId="12543"/>
    <cellStyle name="Comma 2 4 2 3 3 2 2 3" xfId="12544"/>
    <cellStyle name="Comma 2 4 2 3 3 2 3" xfId="12545"/>
    <cellStyle name="Comma 2 4 2 3 3 2 4" xfId="12546"/>
    <cellStyle name="Comma 2 4 2 3 3 2 5" xfId="12547"/>
    <cellStyle name="Comma 2 4 2 3 3 2 6" xfId="12548"/>
    <cellStyle name="Comma 2 4 2 3 3 3" xfId="12549"/>
    <cellStyle name="Comma 2 4 2 3 3 3 2" xfId="12550"/>
    <cellStyle name="Comma 2 4 2 3 3 3 2 2" xfId="12551"/>
    <cellStyle name="Comma 2 4 2 3 3 3 3" xfId="12552"/>
    <cellStyle name="Comma 2 4 2 3 3 3 4" xfId="12553"/>
    <cellStyle name="Comma 2 4 2 3 3 3 5" xfId="12554"/>
    <cellStyle name="Comma 2 4 2 3 3 4" xfId="12555"/>
    <cellStyle name="Comma 2 4 2 3 3 4 2" xfId="12556"/>
    <cellStyle name="Comma 2 4 2 3 3 4 3" xfId="12557"/>
    <cellStyle name="Comma 2 4 2 3 3 4 4" xfId="12558"/>
    <cellStyle name="Comma 2 4 2 3 3 5" xfId="12559"/>
    <cellStyle name="Comma 2 4 2 3 3 5 2" xfId="12560"/>
    <cellStyle name="Comma 2 4 2 3 3 6" xfId="12561"/>
    <cellStyle name="Comma 2 4 2 3 3 7" xfId="12562"/>
    <cellStyle name="Comma 2 4 2 3 3 8" xfId="12563"/>
    <cellStyle name="Comma 2 4 2 3 3 9" xfId="12564"/>
    <cellStyle name="Comma 2 4 2 3 4" xfId="12565"/>
    <cellStyle name="Comma 2 4 2 3 4 2" xfId="12566"/>
    <cellStyle name="Comma 2 4 2 3 4 2 2" xfId="12567"/>
    <cellStyle name="Comma 2 4 2 3 4 2 3" xfId="12568"/>
    <cellStyle name="Comma 2 4 2 3 4 3" xfId="12569"/>
    <cellStyle name="Comma 2 4 2 3 4 4" xfId="12570"/>
    <cellStyle name="Comma 2 4 2 3 4 5" xfId="12571"/>
    <cellStyle name="Comma 2 4 2 3 4 6" xfId="12572"/>
    <cellStyle name="Comma 2 4 2 3 5" xfId="12573"/>
    <cellStyle name="Comma 2 4 2 3 5 2" xfId="12574"/>
    <cellStyle name="Comma 2 4 2 3 5 2 2" xfId="12575"/>
    <cellStyle name="Comma 2 4 2 3 5 3" xfId="12576"/>
    <cellStyle name="Comma 2 4 2 3 5 4" xfId="12577"/>
    <cellStyle name="Comma 2 4 2 3 5 5" xfId="12578"/>
    <cellStyle name="Comma 2 4 2 3 6" xfId="12579"/>
    <cellStyle name="Comma 2 4 2 3 6 2" xfId="12580"/>
    <cellStyle name="Comma 2 4 2 3 6 3" xfId="12581"/>
    <cellStyle name="Comma 2 4 2 3 6 4" xfId="12582"/>
    <cellStyle name="Comma 2 4 2 3 7" xfId="12583"/>
    <cellStyle name="Comma 2 4 2 3 7 2" xfId="12584"/>
    <cellStyle name="Comma 2 4 2 3 8" xfId="12585"/>
    <cellStyle name="Comma 2 4 2 3 9" xfId="12586"/>
    <cellStyle name="Comma 2 4 2 4" xfId="12587"/>
    <cellStyle name="Comma 2 4 2 4 10" xfId="12588"/>
    <cellStyle name="Comma 2 4 2 4 11" xfId="12589"/>
    <cellStyle name="Comma 2 4 2 4 2" xfId="12590"/>
    <cellStyle name="Comma 2 4 2 4 2 2" xfId="12591"/>
    <cellStyle name="Comma 2 4 2 4 2 2 2" xfId="12592"/>
    <cellStyle name="Comma 2 4 2 4 2 2 2 2" xfId="12593"/>
    <cellStyle name="Comma 2 4 2 4 2 2 2 3" xfId="12594"/>
    <cellStyle name="Comma 2 4 2 4 2 2 3" xfId="12595"/>
    <cellStyle name="Comma 2 4 2 4 2 2 4" xfId="12596"/>
    <cellStyle name="Comma 2 4 2 4 2 2 5" xfId="12597"/>
    <cellStyle name="Comma 2 4 2 4 2 2 6" xfId="12598"/>
    <cellStyle name="Comma 2 4 2 4 2 3" xfId="12599"/>
    <cellStyle name="Comma 2 4 2 4 2 3 2" xfId="12600"/>
    <cellStyle name="Comma 2 4 2 4 2 3 2 2" xfId="12601"/>
    <cellStyle name="Comma 2 4 2 4 2 3 3" xfId="12602"/>
    <cellStyle name="Comma 2 4 2 4 2 3 4" xfId="12603"/>
    <cellStyle name="Comma 2 4 2 4 2 3 5" xfId="12604"/>
    <cellStyle name="Comma 2 4 2 4 2 4" xfId="12605"/>
    <cellStyle name="Comma 2 4 2 4 2 4 2" xfId="12606"/>
    <cellStyle name="Comma 2 4 2 4 2 4 3" xfId="12607"/>
    <cellStyle name="Comma 2 4 2 4 2 4 4" xfId="12608"/>
    <cellStyle name="Comma 2 4 2 4 2 5" xfId="12609"/>
    <cellStyle name="Comma 2 4 2 4 2 5 2" xfId="12610"/>
    <cellStyle name="Comma 2 4 2 4 2 6" xfId="12611"/>
    <cellStyle name="Comma 2 4 2 4 2 7" xfId="12612"/>
    <cellStyle name="Comma 2 4 2 4 2 8" xfId="12613"/>
    <cellStyle name="Comma 2 4 2 4 2 9" xfId="12614"/>
    <cellStyle name="Comma 2 4 2 4 3" xfId="12615"/>
    <cellStyle name="Comma 2 4 2 4 3 2" xfId="12616"/>
    <cellStyle name="Comma 2 4 2 4 3 2 2" xfId="12617"/>
    <cellStyle name="Comma 2 4 2 4 3 2 2 2" xfId="12618"/>
    <cellStyle name="Comma 2 4 2 4 3 2 2 3" xfId="12619"/>
    <cellStyle name="Comma 2 4 2 4 3 2 3" xfId="12620"/>
    <cellStyle name="Comma 2 4 2 4 3 2 4" xfId="12621"/>
    <cellStyle name="Comma 2 4 2 4 3 2 5" xfId="12622"/>
    <cellStyle name="Comma 2 4 2 4 3 2 6" xfId="12623"/>
    <cellStyle name="Comma 2 4 2 4 3 3" xfId="12624"/>
    <cellStyle name="Comma 2 4 2 4 3 3 2" xfId="12625"/>
    <cellStyle name="Comma 2 4 2 4 3 3 2 2" xfId="12626"/>
    <cellStyle name="Comma 2 4 2 4 3 3 3" xfId="12627"/>
    <cellStyle name="Comma 2 4 2 4 3 3 4" xfId="12628"/>
    <cellStyle name="Comma 2 4 2 4 3 3 5" xfId="12629"/>
    <cellStyle name="Comma 2 4 2 4 3 4" xfId="12630"/>
    <cellStyle name="Comma 2 4 2 4 3 4 2" xfId="12631"/>
    <cellStyle name="Comma 2 4 2 4 3 4 3" xfId="12632"/>
    <cellStyle name="Comma 2 4 2 4 3 4 4" xfId="12633"/>
    <cellStyle name="Comma 2 4 2 4 3 5" xfId="12634"/>
    <cellStyle name="Comma 2 4 2 4 3 5 2" xfId="12635"/>
    <cellStyle name="Comma 2 4 2 4 3 6" xfId="12636"/>
    <cellStyle name="Comma 2 4 2 4 3 7" xfId="12637"/>
    <cellStyle name="Comma 2 4 2 4 3 8" xfId="12638"/>
    <cellStyle name="Comma 2 4 2 4 3 9" xfId="12639"/>
    <cellStyle name="Comma 2 4 2 4 4" xfId="12640"/>
    <cellStyle name="Comma 2 4 2 4 4 2" xfId="12641"/>
    <cellStyle name="Comma 2 4 2 4 4 2 2" xfId="12642"/>
    <cellStyle name="Comma 2 4 2 4 4 2 3" xfId="12643"/>
    <cellStyle name="Comma 2 4 2 4 4 3" xfId="12644"/>
    <cellStyle name="Comma 2 4 2 4 4 4" xfId="12645"/>
    <cellStyle name="Comma 2 4 2 4 4 5" xfId="12646"/>
    <cellStyle name="Comma 2 4 2 4 4 6" xfId="12647"/>
    <cellStyle name="Comma 2 4 2 4 5" xfId="12648"/>
    <cellStyle name="Comma 2 4 2 4 5 2" xfId="12649"/>
    <cellStyle name="Comma 2 4 2 4 5 2 2" xfId="12650"/>
    <cellStyle name="Comma 2 4 2 4 5 3" xfId="12651"/>
    <cellStyle name="Comma 2 4 2 4 5 4" xfId="12652"/>
    <cellStyle name="Comma 2 4 2 4 5 5" xfId="12653"/>
    <cellStyle name="Comma 2 4 2 4 6" xfId="12654"/>
    <cellStyle name="Comma 2 4 2 4 6 2" xfId="12655"/>
    <cellStyle name="Comma 2 4 2 4 6 3" xfId="12656"/>
    <cellStyle name="Comma 2 4 2 4 6 4" xfId="12657"/>
    <cellStyle name="Comma 2 4 2 4 7" xfId="12658"/>
    <cellStyle name="Comma 2 4 2 4 7 2" xfId="12659"/>
    <cellStyle name="Comma 2 4 2 4 8" xfId="12660"/>
    <cellStyle name="Comma 2 4 2 4 9" xfId="12661"/>
    <cellStyle name="Comma 2 4 2 5" xfId="12662"/>
    <cellStyle name="Comma 2 4 2 5 10" xfId="12663"/>
    <cellStyle name="Comma 2 4 2 5 11" xfId="12664"/>
    <cellStyle name="Comma 2 4 2 5 2" xfId="12665"/>
    <cellStyle name="Comma 2 4 2 5 2 2" xfId="12666"/>
    <cellStyle name="Comma 2 4 2 5 2 2 2" xfId="12667"/>
    <cellStyle name="Comma 2 4 2 5 2 2 2 2" xfId="12668"/>
    <cellStyle name="Comma 2 4 2 5 2 2 2 3" xfId="12669"/>
    <cellStyle name="Comma 2 4 2 5 2 2 3" xfId="12670"/>
    <cellStyle name="Comma 2 4 2 5 2 2 4" xfId="12671"/>
    <cellStyle name="Comma 2 4 2 5 2 2 5" xfId="12672"/>
    <cellStyle name="Comma 2 4 2 5 2 2 6" xfId="12673"/>
    <cellStyle name="Comma 2 4 2 5 2 3" xfId="12674"/>
    <cellStyle name="Comma 2 4 2 5 2 3 2" xfId="12675"/>
    <cellStyle name="Comma 2 4 2 5 2 3 2 2" xfId="12676"/>
    <cellStyle name="Comma 2 4 2 5 2 3 3" xfId="12677"/>
    <cellStyle name="Comma 2 4 2 5 2 3 4" xfId="12678"/>
    <cellStyle name="Comma 2 4 2 5 2 3 5" xfId="12679"/>
    <cellStyle name="Comma 2 4 2 5 2 4" xfId="12680"/>
    <cellStyle name="Comma 2 4 2 5 2 4 2" xfId="12681"/>
    <cellStyle name="Comma 2 4 2 5 2 4 3" xfId="12682"/>
    <cellStyle name="Comma 2 4 2 5 2 4 4" xfId="12683"/>
    <cellStyle name="Comma 2 4 2 5 2 5" xfId="12684"/>
    <cellStyle name="Comma 2 4 2 5 2 5 2" xfId="12685"/>
    <cellStyle name="Comma 2 4 2 5 2 6" xfId="12686"/>
    <cellStyle name="Comma 2 4 2 5 2 7" xfId="12687"/>
    <cellStyle name="Comma 2 4 2 5 2 8" xfId="12688"/>
    <cellStyle name="Comma 2 4 2 5 2 9" xfId="12689"/>
    <cellStyle name="Comma 2 4 2 5 3" xfId="12690"/>
    <cellStyle name="Comma 2 4 2 5 3 2" xfId="12691"/>
    <cellStyle name="Comma 2 4 2 5 3 2 2" xfId="12692"/>
    <cellStyle name="Comma 2 4 2 5 3 2 2 2" xfId="12693"/>
    <cellStyle name="Comma 2 4 2 5 3 2 2 3" xfId="12694"/>
    <cellStyle name="Comma 2 4 2 5 3 2 3" xfId="12695"/>
    <cellStyle name="Comma 2 4 2 5 3 2 4" xfId="12696"/>
    <cellStyle name="Comma 2 4 2 5 3 2 5" xfId="12697"/>
    <cellStyle name="Comma 2 4 2 5 3 2 6" xfId="12698"/>
    <cellStyle name="Comma 2 4 2 5 3 3" xfId="12699"/>
    <cellStyle name="Comma 2 4 2 5 3 3 2" xfId="12700"/>
    <cellStyle name="Comma 2 4 2 5 3 3 2 2" xfId="12701"/>
    <cellStyle name="Comma 2 4 2 5 3 3 3" xfId="12702"/>
    <cellStyle name="Comma 2 4 2 5 3 3 4" xfId="12703"/>
    <cellStyle name="Comma 2 4 2 5 3 3 5" xfId="12704"/>
    <cellStyle name="Comma 2 4 2 5 3 4" xfId="12705"/>
    <cellStyle name="Comma 2 4 2 5 3 4 2" xfId="12706"/>
    <cellStyle name="Comma 2 4 2 5 3 4 3" xfId="12707"/>
    <cellStyle name="Comma 2 4 2 5 3 4 4" xfId="12708"/>
    <cellStyle name="Comma 2 4 2 5 3 5" xfId="12709"/>
    <cellStyle name="Comma 2 4 2 5 3 5 2" xfId="12710"/>
    <cellStyle name="Comma 2 4 2 5 3 6" xfId="12711"/>
    <cellStyle name="Comma 2 4 2 5 3 7" xfId="12712"/>
    <cellStyle name="Comma 2 4 2 5 3 8" xfId="12713"/>
    <cellStyle name="Comma 2 4 2 5 3 9" xfId="12714"/>
    <cellStyle name="Comma 2 4 2 5 4" xfId="12715"/>
    <cellStyle name="Comma 2 4 2 5 4 2" xfId="12716"/>
    <cellStyle name="Comma 2 4 2 5 4 2 2" xfId="12717"/>
    <cellStyle name="Comma 2 4 2 5 4 2 3" xfId="12718"/>
    <cellStyle name="Comma 2 4 2 5 4 3" xfId="12719"/>
    <cellStyle name="Comma 2 4 2 5 4 4" xfId="12720"/>
    <cellStyle name="Comma 2 4 2 5 4 5" xfId="12721"/>
    <cellStyle name="Comma 2 4 2 5 4 6" xfId="12722"/>
    <cellStyle name="Comma 2 4 2 5 5" xfId="12723"/>
    <cellStyle name="Comma 2 4 2 5 5 2" xfId="12724"/>
    <cellStyle name="Comma 2 4 2 5 5 2 2" xfId="12725"/>
    <cellStyle name="Comma 2 4 2 5 5 3" xfId="12726"/>
    <cellStyle name="Comma 2 4 2 5 5 4" xfId="12727"/>
    <cellStyle name="Comma 2 4 2 5 5 5" xfId="12728"/>
    <cellStyle name="Comma 2 4 2 5 6" xfId="12729"/>
    <cellStyle name="Comma 2 4 2 5 6 2" xfId="12730"/>
    <cellStyle name="Comma 2 4 2 5 6 3" xfId="12731"/>
    <cellStyle name="Comma 2 4 2 5 6 4" xfId="12732"/>
    <cellStyle name="Comma 2 4 2 5 7" xfId="12733"/>
    <cellStyle name="Comma 2 4 2 5 7 2" xfId="12734"/>
    <cellStyle name="Comma 2 4 2 5 8" xfId="12735"/>
    <cellStyle name="Comma 2 4 2 5 9" xfId="12736"/>
    <cellStyle name="Comma 2 4 2 6" xfId="12737"/>
    <cellStyle name="Comma 2 4 2 6 10" xfId="12738"/>
    <cellStyle name="Comma 2 4 2 6 11" xfId="12739"/>
    <cellStyle name="Comma 2 4 2 6 2" xfId="12740"/>
    <cellStyle name="Comma 2 4 2 6 2 2" xfId="12741"/>
    <cellStyle name="Comma 2 4 2 6 2 2 2" xfId="12742"/>
    <cellStyle name="Comma 2 4 2 6 2 2 2 2" xfId="12743"/>
    <cellStyle name="Comma 2 4 2 6 2 2 2 3" xfId="12744"/>
    <cellStyle name="Comma 2 4 2 6 2 2 3" xfId="12745"/>
    <cellStyle name="Comma 2 4 2 6 2 2 4" xfId="12746"/>
    <cellStyle name="Comma 2 4 2 6 2 2 5" xfId="12747"/>
    <cellStyle name="Comma 2 4 2 6 2 2 6" xfId="12748"/>
    <cellStyle name="Comma 2 4 2 6 2 3" xfId="12749"/>
    <cellStyle name="Comma 2 4 2 6 2 3 2" xfId="12750"/>
    <cellStyle name="Comma 2 4 2 6 2 3 2 2" xfId="12751"/>
    <cellStyle name="Comma 2 4 2 6 2 3 3" xfId="12752"/>
    <cellStyle name="Comma 2 4 2 6 2 3 4" xfId="12753"/>
    <cellStyle name="Comma 2 4 2 6 2 3 5" xfId="12754"/>
    <cellStyle name="Comma 2 4 2 6 2 4" xfId="12755"/>
    <cellStyle name="Comma 2 4 2 6 2 4 2" xfId="12756"/>
    <cellStyle name="Comma 2 4 2 6 2 4 3" xfId="12757"/>
    <cellStyle name="Comma 2 4 2 6 2 4 4" xfId="12758"/>
    <cellStyle name="Comma 2 4 2 6 2 5" xfId="12759"/>
    <cellStyle name="Comma 2 4 2 6 2 5 2" xfId="12760"/>
    <cellStyle name="Comma 2 4 2 6 2 6" xfId="12761"/>
    <cellStyle name="Comma 2 4 2 6 2 7" xfId="12762"/>
    <cellStyle name="Comma 2 4 2 6 2 8" xfId="12763"/>
    <cellStyle name="Comma 2 4 2 6 2 9" xfId="12764"/>
    <cellStyle name="Comma 2 4 2 6 3" xfId="12765"/>
    <cellStyle name="Comma 2 4 2 6 3 2" xfId="12766"/>
    <cellStyle name="Comma 2 4 2 6 3 2 2" xfId="12767"/>
    <cellStyle name="Comma 2 4 2 6 3 2 2 2" xfId="12768"/>
    <cellStyle name="Comma 2 4 2 6 3 2 2 3" xfId="12769"/>
    <cellStyle name="Comma 2 4 2 6 3 2 3" xfId="12770"/>
    <cellStyle name="Comma 2 4 2 6 3 2 4" xfId="12771"/>
    <cellStyle name="Comma 2 4 2 6 3 2 5" xfId="12772"/>
    <cellStyle name="Comma 2 4 2 6 3 2 6" xfId="12773"/>
    <cellStyle name="Comma 2 4 2 6 3 3" xfId="12774"/>
    <cellStyle name="Comma 2 4 2 6 3 3 2" xfId="12775"/>
    <cellStyle name="Comma 2 4 2 6 3 3 2 2" xfId="12776"/>
    <cellStyle name="Comma 2 4 2 6 3 3 3" xfId="12777"/>
    <cellStyle name="Comma 2 4 2 6 3 3 4" xfId="12778"/>
    <cellStyle name="Comma 2 4 2 6 3 3 5" xfId="12779"/>
    <cellStyle name="Comma 2 4 2 6 3 4" xfId="12780"/>
    <cellStyle name="Comma 2 4 2 6 3 4 2" xfId="12781"/>
    <cellStyle name="Comma 2 4 2 6 3 4 3" xfId="12782"/>
    <cellStyle name="Comma 2 4 2 6 3 4 4" xfId="12783"/>
    <cellStyle name="Comma 2 4 2 6 3 5" xfId="12784"/>
    <cellStyle name="Comma 2 4 2 6 3 5 2" xfId="12785"/>
    <cellStyle name="Comma 2 4 2 6 3 6" xfId="12786"/>
    <cellStyle name="Comma 2 4 2 6 3 7" xfId="12787"/>
    <cellStyle name="Comma 2 4 2 6 3 8" xfId="12788"/>
    <cellStyle name="Comma 2 4 2 6 3 9" xfId="12789"/>
    <cellStyle name="Comma 2 4 2 6 4" xfId="12790"/>
    <cellStyle name="Comma 2 4 2 6 4 2" xfId="12791"/>
    <cellStyle name="Comma 2 4 2 6 4 2 2" xfId="12792"/>
    <cellStyle name="Comma 2 4 2 6 4 2 3" xfId="12793"/>
    <cellStyle name="Comma 2 4 2 6 4 3" xfId="12794"/>
    <cellStyle name="Comma 2 4 2 6 4 4" xfId="12795"/>
    <cellStyle name="Comma 2 4 2 6 4 5" xfId="12796"/>
    <cellStyle name="Comma 2 4 2 6 4 6" xfId="12797"/>
    <cellStyle name="Comma 2 4 2 6 5" xfId="12798"/>
    <cellStyle name="Comma 2 4 2 6 5 2" xfId="12799"/>
    <cellStyle name="Comma 2 4 2 6 5 2 2" xfId="12800"/>
    <cellStyle name="Comma 2 4 2 6 5 3" xfId="12801"/>
    <cellStyle name="Comma 2 4 2 6 5 4" xfId="12802"/>
    <cellStyle name="Comma 2 4 2 6 5 5" xfId="12803"/>
    <cellStyle name="Comma 2 4 2 6 6" xfId="12804"/>
    <cellStyle name="Comma 2 4 2 6 6 2" xfId="12805"/>
    <cellStyle name="Comma 2 4 2 6 6 3" xfId="12806"/>
    <cellStyle name="Comma 2 4 2 6 6 4" xfId="12807"/>
    <cellStyle name="Comma 2 4 2 6 7" xfId="12808"/>
    <cellStyle name="Comma 2 4 2 6 7 2" xfId="12809"/>
    <cellStyle name="Comma 2 4 2 6 8" xfId="12810"/>
    <cellStyle name="Comma 2 4 2 6 9" xfId="12811"/>
    <cellStyle name="Comma 2 4 2 7" xfId="12812"/>
    <cellStyle name="Comma 2 4 2 7 10" xfId="12813"/>
    <cellStyle name="Comma 2 4 2 7 11" xfId="12814"/>
    <cellStyle name="Comma 2 4 2 7 2" xfId="12815"/>
    <cellStyle name="Comma 2 4 2 7 2 2" xfId="12816"/>
    <cellStyle name="Comma 2 4 2 7 2 2 2" xfId="12817"/>
    <cellStyle name="Comma 2 4 2 7 2 2 2 2" xfId="12818"/>
    <cellStyle name="Comma 2 4 2 7 2 2 2 3" xfId="12819"/>
    <cellStyle name="Comma 2 4 2 7 2 2 3" xfId="12820"/>
    <cellStyle name="Comma 2 4 2 7 2 2 4" xfId="12821"/>
    <cellStyle name="Comma 2 4 2 7 2 2 5" xfId="12822"/>
    <cellStyle name="Comma 2 4 2 7 2 2 6" xfId="12823"/>
    <cellStyle name="Comma 2 4 2 7 2 3" xfId="12824"/>
    <cellStyle name="Comma 2 4 2 7 2 3 2" xfId="12825"/>
    <cellStyle name="Comma 2 4 2 7 2 3 2 2" xfId="12826"/>
    <cellStyle name="Comma 2 4 2 7 2 3 3" xfId="12827"/>
    <cellStyle name="Comma 2 4 2 7 2 3 4" xfId="12828"/>
    <cellStyle name="Comma 2 4 2 7 2 3 5" xfId="12829"/>
    <cellStyle name="Comma 2 4 2 7 2 4" xfId="12830"/>
    <cellStyle name="Comma 2 4 2 7 2 4 2" xfId="12831"/>
    <cellStyle name="Comma 2 4 2 7 2 4 3" xfId="12832"/>
    <cellStyle name="Comma 2 4 2 7 2 4 4" xfId="12833"/>
    <cellStyle name="Comma 2 4 2 7 2 5" xfId="12834"/>
    <cellStyle name="Comma 2 4 2 7 2 5 2" xfId="12835"/>
    <cellStyle name="Comma 2 4 2 7 2 6" xfId="12836"/>
    <cellStyle name="Comma 2 4 2 7 2 7" xfId="12837"/>
    <cellStyle name="Comma 2 4 2 7 2 8" xfId="12838"/>
    <cellStyle name="Comma 2 4 2 7 2 9" xfId="12839"/>
    <cellStyle name="Comma 2 4 2 7 3" xfId="12840"/>
    <cellStyle name="Comma 2 4 2 7 3 2" xfId="12841"/>
    <cellStyle name="Comma 2 4 2 7 3 2 2" xfId="12842"/>
    <cellStyle name="Comma 2 4 2 7 3 2 2 2" xfId="12843"/>
    <cellStyle name="Comma 2 4 2 7 3 2 2 3" xfId="12844"/>
    <cellStyle name="Comma 2 4 2 7 3 2 3" xfId="12845"/>
    <cellStyle name="Comma 2 4 2 7 3 2 4" xfId="12846"/>
    <cellStyle name="Comma 2 4 2 7 3 2 5" xfId="12847"/>
    <cellStyle name="Comma 2 4 2 7 3 2 6" xfId="12848"/>
    <cellStyle name="Comma 2 4 2 7 3 3" xfId="12849"/>
    <cellStyle name="Comma 2 4 2 7 3 3 2" xfId="12850"/>
    <cellStyle name="Comma 2 4 2 7 3 3 2 2" xfId="12851"/>
    <cellStyle name="Comma 2 4 2 7 3 3 3" xfId="12852"/>
    <cellStyle name="Comma 2 4 2 7 3 3 4" xfId="12853"/>
    <cellStyle name="Comma 2 4 2 7 3 3 5" xfId="12854"/>
    <cellStyle name="Comma 2 4 2 7 3 4" xfId="12855"/>
    <cellStyle name="Comma 2 4 2 7 3 4 2" xfId="12856"/>
    <cellStyle name="Comma 2 4 2 7 3 4 3" xfId="12857"/>
    <cellStyle name="Comma 2 4 2 7 3 4 4" xfId="12858"/>
    <cellStyle name="Comma 2 4 2 7 3 5" xfId="12859"/>
    <cellStyle name="Comma 2 4 2 7 3 5 2" xfId="12860"/>
    <cellStyle name="Comma 2 4 2 7 3 6" xfId="12861"/>
    <cellStyle name="Comma 2 4 2 7 3 7" xfId="12862"/>
    <cellStyle name="Comma 2 4 2 7 3 8" xfId="12863"/>
    <cellStyle name="Comma 2 4 2 7 3 9" xfId="12864"/>
    <cellStyle name="Comma 2 4 2 7 4" xfId="12865"/>
    <cellStyle name="Comma 2 4 2 7 4 2" xfId="12866"/>
    <cellStyle name="Comma 2 4 2 7 4 2 2" xfId="12867"/>
    <cellStyle name="Comma 2 4 2 7 4 2 3" xfId="12868"/>
    <cellStyle name="Comma 2 4 2 7 4 3" xfId="12869"/>
    <cellStyle name="Comma 2 4 2 7 4 4" xfId="12870"/>
    <cellStyle name="Comma 2 4 2 7 4 5" xfId="12871"/>
    <cellStyle name="Comma 2 4 2 7 4 6" xfId="12872"/>
    <cellStyle name="Comma 2 4 2 7 5" xfId="12873"/>
    <cellStyle name="Comma 2 4 2 7 5 2" xfId="12874"/>
    <cellStyle name="Comma 2 4 2 7 5 2 2" xfId="12875"/>
    <cellStyle name="Comma 2 4 2 7 5 3" xfId="12876"/>
    <cellStyle name="Comma 2 4 2 7 5 4" xfId="12877"/>
    <cellStyle name="Comma 2 4 2 7 5 5" xfId="12878"/>
    <cellStyle name="Comma 2 4 2 7 6" xfId="12879"/>
    <cellStyle name="Comma 2 4 2 7 6 2" xfId="12880"/>
    <cellStyle name="Comma 2 4 2 7 6 3" xfId="12881"/>
    <cellStyle name="Comma 2 4 2 7 6 4" xfId="12882"/>
    <cellStyle name="Comma 2 4 2 7 7" xfId="12883"/>
    <cellStyle name="Comma 2 4 2 7 7 2" xfId="12884"/>
    <cellStyle name="Comma 2 4 2 7 8" xfId="12885"/>
    <cellStyle name="Comma 2 4 2 7 9" xfId="12886"/>
    <cellStyle name="Comma 2 4 2 8" xfId="12887"/>
    <cellStyle name="Comma 2 4 2 8 10" xfId="12888"/>
    <cellStyle name="Comma 2 4 2 8 2" xfId="12889"/>
    <cellStyle name="Comma 2 4 2 8 2 2" xfId="12890"/>
    <cellStyle name="Comma 2 4 2 8 2 2 2" xfId="12891"/>
    <cellStyle name="Comma 2 4 2 8 2 2 3" xfId="12892"/>
    <cellStyle name="Comma 2 4 2 8 2 3" xfId="12893"/>
    <cellStyle name="Comma 2 4 2 8 2 4" xfId="12894"/>
    <cellStyle name="Comma 2 4 2 8 2 5" xfId="12895"/>
    <cellStyle name="Comma 2 4 2 8 2 6" xfId="12896"/>
    <cellStyle name="Comma 2 4 2 8 3" xfId="12897"/>
    <cellStyle name="Comma 2 4 2 8 3 2" xfId="12898"/>
    <cellStyle name="Comma 2 4 2 8 3 2 2" xfId="12899"/>
    <cellStyle name="Comma 2 4 2 8 3 2 3" xfId="12900"/>
    <cellStyle name="Comma 2 4 2 8 3 3" xfId="12901"/>
    <cellStyle name="Comma 2 4 2 8 3 4" xfId="12902"/>
    <cellStyle name="Comma 2 4 2 8 3 5" xfId="12903"/>
    <cellStyle name="Comma 2 4 2 8 3 6" xfId="12904"/>
    <cellStyle name="Comma 2 4 2 8 4" xfId="12905"/>
    <cellStyle name="Comma 2 4 2 8 4 2" xfId="12906"/>
    <cellStyle name="Comma 2 4 2 8 4 2 2" xfId="12907"/>
    <cellStyle name="Comma 2 4 2 8 4 3" xfId="12908"/>
    <cellStyle name="Comma 2 4 2 8 4 4" xfId="12909"/>
    <cellStyle name="Comma 2 4 2 8 4 5" xfId="12910"/>
    <cellStyle name="Comma 2 4 2 8 5" xfId="12911"/>
    <cellStyle name="Comma 2 4 2 8 5 2" xfId="12912"/>
    <cellStyle name="Comma 2 4 2 8 5 3" xfId="12913"/>
    <cellStyle name="Comma 2 4 2 8 5 4" xfId="12914"/>
    <cellStyle name="Comma 2 4 2 8 6" xfId="12915"/>
    <cellStyle name="Comma 2 4 2 8 6 2" xfId="12916"/>
    <cellStyle name="Comma 2 4 2 8 7" xfId="12917"/>
    <cellStyle name="Comma 2 4 2 8 8" xfId="12918"/>
    <cellStyle name="Comma 2 4 2 8 9" xfId="12919"/>
    <cellStyle name="Comma 2 4 2 9" xfId="12920"/>
    <cellStyle name="Comma 2 4 2 9 10" xfId="12921"/>
    <cellStyle name="Comma 2 4 2 9 2" xfId="12922"/>
    <cellStyle name="Comma 2 4 2 9 2 2" xfId="12923"/>
    <cellStyle name="Comma 2 4 2 9 2 2 2" xfId="12924"/>
    <cellStyle name="Comma 2 4 2 9 2 2 3" xfId="12925"/>
    <cellStyle name="Comma 2 4 2 9 2 3" xfId="12926"/>
    <cellStyle name="Comma 2 4 2 9 2 4" xfId="12927"/>
    <cellStyle name="Comma 2 4 2 9 2 5" xfId="12928"/>
    <cellStyle name="Comma 2 4 2 9 2 6" xfId="12929"/>
    <cellStyle name="Comma 2 4 2 9 3" xfId="12930"/>
    <cellStyle name="Comma 2 4 2 9 3 2" xfId="12931"/>
    <cellStyle name="Comma 2 4 2 9 3 2 2" xfId="12932"/>
    <cellStyle name="Comma 2 4 2 9 3 2 3" xfId="12933"/>
    <cellStyle name="Comma 2 4 2 9 3 3" xfId="12934"/>
    <cellStyle name="Comma 2 4 2 9 3 4" xfId="12935"/>
    <cellStyle name="Comma 2 4 2 9 3 5" xfId="12936"/>
    <cellStyle name="Comma 2 4 2 9 3 6" xfId="12937"/>
    <cellStyle name="Comma 2 4 2 9 4" xfId="12938"/>
    <cellStyle name="Comma 2 4 2 9 4 2" xfId="12939"/>
    <cellStyle name="Comma 2 4 2 9 4 2 2" xfId="12940"/>
    <cellStyle name="Comma 2 4 2 9 4 3" xfId="12941"/>
    <cellStyle name="Comma 2 4 2 9 4 4" xfId="12942"/>
    <cellStyle name="Comma 2 4 2 9 4 5" xfId="12943"/>
    <cellStyle name="Comma 2 4 2 9 5" xfId="12944"/>
    <cellStyle name="Comma 2 4 2 9 5 2" xfId="12945"/>
    <cellStyle name="Comma 2 4 2 9 5 3" xfId="12946"/>
    <cellStyle name="Comma 2 4 2 9 5 4" xfId="12947"/>
    <cellStyle name="Comma 2 4 2 9 6" xfId="12948"/>
    <cellStyle name="Comma 2 4 2 9 6 2" xfId="12949"/>
    <cellStyle name="Comma 2 4 2 9 7" xfId="12950"/>
    <cellStyle name="Comma 2 4 2 9 8" xfId="12951"/>
    <cellStyle name="Comma 2 4 2 9 9" xfId="12952"/>
    <cellStyle name="Comma 2 4 20" xfId="12953"/>
    <cellStyle name="Comma 2 4 20 10" xfId="12954"/>
    <cellStyle name="Comma 2 4 20 2" xfId="12955"/>
    <cellStyle name="Comma 2 4 20 2 2" xfId="12956"/>
    <cellStyle name="Comma 2 4 20 2 2 2" xfId="12957"/>
    <cellStyle name="Comma 2 4 20 2 2 3" xfId="12958"/>
    <cellStyle name="Comma 2 4 20 2 3" xfId="12959"/>
    <cellStyle name="Comma 2 4 20 2 4" xfId="12960"/>
    <cellStyle name="Comma 2 4 20 2 5" xfId="12961"/>
    <cellStyle name="Comma 2 4 20 2 6" xfId="12962"/>
    <cellStyle name="Comma 2 4 20 3" xfId="12963"/>
    <cellStyle name="Comma 2 4 20 3 2" xfId="12964"/>
    <cellStyle name="Comma 2 4 20 3 2 2" xfId="12965"/>
    <cellStyle name="Comma 2 4 20 3 2 3" xfId="12966"/>
    <cellStyle name="Comma 2 4 20 3 3" xfId="12967"/>
    <cellStyle name="Comma 2 4 20 3 4" xfId="12968"/>
    <cellStyle name="Comma 2 4 20 3 5" xfId="12969"/>
    <cellStyle name="Comma 2 4 20 3 6" xfId="12970"/>
    <cellStyle name="Comma 2 4 20 4" xfId="12971"/>
    <cellStyle name="Comma 2 4 20 4 2" xfId="12972"/>
    <cellStyle name="Comma 2 4 20 4 2 2" xfId="12973"/>
    <cellStyle name="Comma 2 4 20 4 3" xfId="12974"/>
    <cellStyle name="Comma 2 4 20 4 4" xfId="12975"/>
    <cellStyle name="Comma 2 4 20 4 5" xfId="12976"/>
    <cellStyle name="Comma 2 4 20 5" xfId="12977"/>
    <cellStyle name="Comma 2 4 20 5 2" xfId="12978"/>
    <cellStyle name="Comma 2 4 20 5 3" xfId="12979"/>
    <cellStyle name="Comma 2 4 20 5 4" xfId="12980"/>
    <cellStyle name="Comma 2 4 20 6" xfId="12981"/>
    <cellStyle name="Comma 2 4 20 6 2" xfId="12982"/>
    <cellStyle name="Comma 2 4 20 7" xfId="12983"/>
    <cellStyle name="Comma 2 4 20 8" xfId="12984"/>
    <cellStyle name="Comma 2 4 20 9" xfId="12985"/>
    <cellStyle name="Comma 2 4 21" xfId="12986"/>
    <cellStyle name="Comma 2 4 21 10" xfId="12987"/>
    <cellStyle name="Comma 2 4 21 2" xfId="12988"/>
    <cellStyle name="Comma 2 4 21 2 2" xfId="12989"/>
    <cellStyle name="Comma 2 4 21 2 2 2" xfId="12990"/>
    <cellStyle name="Comma 2 4 21 2 2 3" xfId="12991"/>
    <cellStyle name="Comma 2 4 21 2 3" xfId="12992"/>
    <cellStyle name="Comma 2 4 21 2 4" xfId="12993"/>
    <cellStyle name="Comma 2 4 21 2 5" xfId="12994"/>
    <cellStyle name="Comma 2 4 21 2 6" xfId="12995"/>
    <cellStyle name="Comma 2 4 21 3" xfId="12996"/>
    <cellStyle name="Comma 2 4 21 3 2" xfId="12997"/>
    <cellStyle name="Comma 2 4 21 3 2 2" xfId="12998"/>
    <cellStyle name="Comma 2 4 21 3 2 3" xfId="12999"/>
    <cellStyle name="Comma 2 4 21 3 3" xfId="13000"/>
    <cellStyle name="Comma 2 4 21 3 4" xfId="13001"/>
    <cellStyle name="Comma 2 4 21 3 5" xfId="13002"/>
    <cellStyle name="Comma 2 4 21 3 6" xfId="13003"/>
    <cellStyle name="Comma 2 4 21 4" xfId="13004"/>
    <cellStyle name="Comma 2 4 21 4 2" xfId="13005"/>
    <cellStyle name="Comma 2 4 21 4 2 2" xfId="13006"/>
    <cellStyle name="Comma 2 4 21 4 3" xfId="13007"/>
    <cellStyle name="Comma 2 4 21 4 4" xfId="13008"/>
    <cellStyle name="Comma 2 4 21 4 5" xfId="13009"/>
    <cellStyle name="Comma 2 4 21 5" xfId="13010"/>
    <cellStyle name="Comma 2 4 21 5 2" xfId="13011"/>
    <cellStyle name="Comma 2 4 21 5 3" xfId="13012"/>
    <cellStyle name="Comma 2 4 21 5 4" xfId="13013"/>
    <cellStyle name="Comma 2 4 21 6" xfId="13014"/>
    <cellStyle name="Comma 2 4 21 6 2" xfId="13015"/>
    <cellStyle name="Comma 2 4 21 7" xfId="13016"/>
    <cellStyle name="Comma 2 4 21 8" xfId="13017"/>
    <cellStyle name="Comma 2 4 21 9" xfId="13018"/>
    <cellStyle name="Comma 2 4 22" xfId="13019"/>
    <cellStyle name="Comma 2 4 22 10" xfId="13020"/>
    <cellStyle name="Comma 2 4 22 2" xfId="13021"/>
    <cellStyle name="Comma 2 4 22 2 2" xfId="13022"/>
    <cellStyle name="Comma 2 4 22 2 2 2" xfId="13023"/>
    <cellStyle name="Comma 2 4 22 2 2 3" xfId="13024"/>
    <cellStyle name="Comma 2 4 22 2 3" xfId="13025"/>
    <cellStyle name="Comma 2 4 22 2 4" xfId="13026"/>
    <cellStyle name="Comma 2 4 22 2 5" xfId="13027"/>
    <cellStyle name="Comma 2 4 22 2 6" xfId="13028"/>
    <cellStyle name="Comma 2 4 22 3" xfId="13029"/>
    <cellStyle name="Comma 2 4 22 3 2" xfId="13030"/>
    <cellStyle name="Comma 2 4 22 3 2 2" xfId="13031"/>
    <cellStyle name="Comma 2 4 22 3 2 3" xfId="13032"/>
    <cellStyle name="Comma 2 4 22 3 3" xfId="13033"/>
    <cellStyle name="Comma 2 4 22 3 4" xfId="13034"/>
    <cellStyle name="Comma 2 4 22 3 5" xfId="13035"/>
    <cellStyle name="Comma 2 4 22 3 6" xfId="13036"/>
    <cellStyle name="Comma 2 4 22 4" xfId="13037"/>
    <cellStyle name="Comma 2 4 22 4 2" xfId="13038"/>
    <cellStyle name="Comma 2 4 22 4 2 2" xfId="13039"/>
    <cellStyle name="Comma 2 4 22 4 3" xfId="13040"/>
    <cellStyle name="Comma 2 4 22 4 4" xfId="13041"/>
    <cellStyle name="Comma 2 4 22 4 5" xfId="13042"/>
    <cellStyle name="Comma 2 4 22 5" xfId="13043"/>
    <cellStyle name="Comma 2 4 22 5 2" xfId="13044"/>
    <cellStyle name="Comma 2 4 22 5 3" xfId="13045"/>
    <cellStyle name="Comma 2 4 22 5 4" xfId="13046"/>
    <cellStyle name="Comma 2 4 22 6" xfId="13047"/>
    <cellStyle name="Comma 2 4 22 6 2" xfId="13048"/>
    <cellStyle name="Comma 2 4 22 7" xfId="13049"/>
    <cellStyle name="Comma 2 4 22 8" xfId="13050"/>
    <cellStyle name="Comma 2 4 22 9" xfId="13051"/>
    <cellStyle name="Comma 2 4 23" xfId="13052"/>
    <cellStyle name="Comma 2 4 23 10" xfId="13053"/>
    <cellStyle name="Comma 2 4 23 2" xfId="13054"/>
    <cellStyle name="Comma 2 4 23 2 2" xfId="13055"/>
    <cellStyle name="Comma 2 4 23 2 2 2" xfId="13056"/>
    <cellStyle name="Comma 2 4 23 2 2 3" xfId="13057"/>
    <cellStyle name="Comma 2 4 23 2 3" xfId="13058"/>
    <cellStyle name="Comma 2 4 23 2 4" xfId="13059"/>
    <cellStyle name="Comma 2 4 23 2 5" xfId="13060"/>
    <cellStyle name="Comma 2 4 23 2 6" xfId="13061"/>
    <cellStyle name="Comma 2 4 23 3" xfId="13062"/>
    <cellStyle name="Comma 2 4 23 3 2" xfId="13063"/>
    <cellStyle name="Comma 2 4 23 3 2 2" xfId="13064"/>
    <cellStyle name="Comma 2 4 23 3 2 3" xfId="13065"/>
    <cellStyle name="Comma 2 4 23 3 3" xfId="13066"/>
    <cellStyle name="Comma 2 4 23 3 4" xfId="13067"/>
    <cellStyle name="Comma 2 4 23 3 5" xfId="13068"/>
    <cellStyle name="Comma 2 4 23 3 6" xfId="13069"/>
    <cellStyle name="Comma 2 4 23 4" xfId="13070"/>
    <cellStyle name="Comma 2 4 23 4 2" xfId="13071"/>
    <cellStyle name="Comma 2 4 23 4 2 2" xfId="13072"/>
    <cellStyle name="Comma 2 4 23 4 3" xfId="13073"/>
    <cellStyle name="Comma 2 4 23 4 4" xfId="13074"/>
    <cellStyle name="Comma 2 4 23 4 5" xfId="13075"/>
    <cellStyle name="Comma 2 4 23 5" xfId="13076"/>
    <cellStyle name="Comma 2 4 23 5 2" xfId="13077"/>
    <cellStyle name="Comma 2 4 23 5 3" xfId="13078"/>
    <cellStyle name="Comma 2 4 23 5 4" xfId="13079"/>
    <cellStyle name="Comma 2 4 23 6" xfId="13080"/>
    <cellStyle name="Comma 2 4 23 6 2" xfId="13081"/>
    <cellStyle name="Comma 2 4 23 7" xfId="13082"/>
    <cellStyle name="Comma 2 4 23 8" xfId="13083"/>
    <cellStyle name="Comma 2 4 23 9" xfId="13084"/>
    <cellStyle name="Comma 2 4 24" xfId="13085"/>
    <cellStyle name="Comma 2 4 24 10" xfId="13086"/>
    <cellStyle name="Comma 2 4 24 2" xfId="13087"/>
    <cellStyle name="Comma 2 4 24 2 2" xfId="13088"/>
    <cellStyle name="Comma 2 4 24 2 2 2" xfId="13089"/>
    <cellStyle name="Comma 2 4 24 2 2 3" xfId="13090"/>
    <cellStyle name="Comma 2 4 24 2 3" xfId="13091"/>
    <cellStyle name="Comma 2 4 24 2 4" xfId="13092"/>
    <cellStyle name="Comma 2 4 24 2 5" xfId="13093"/>
    <cellStyle name="Comma 2 4 24 2 6" xfId="13094"/>
    <cellStyle name="Comma 2 4 24 3" xfId="13095"/>
    <cellStyle name="Comma 2 4 24 3 2" xfId="13096"/>
    <cellStyle name="Comma 2 4 24 3 2 2" xfId="13097"/>
    <cellStyle name="Comma 2 4 24 3 2 3" xfId="13098"/>
    <cellStyle name="Comma 2 4 24 3 3" xfId="13099"/>
    <cellStyle name="Comma 2 4 24 3 4" xfId="13100"/>
    <cellStyle name="Comma 2 4 24 3 5" xfId="13101"/>
    <cellStyle name="Comma 2 4 24 3 6" xfId="13102"/>
    <cellStyle name="Comma 2 4 24 4" xfId="13103"/>
    <cellStyle name="Comma 2 4 24 4 2" xfId="13104"/>
    <cellStyle name="Comma 2 4 24 4 2 2" xfId="13105"/>
    <cellStyle name="Comma 2 4 24 4 3" xfId="13106"/>
    <cellStyle name="Comma 2 4 24 4 4" xfId="13107"/>
    <cellStyle name="Comma 2 4 24 4 5" xfId="13108"/>
    <cellStyle name="Comma 2 4 24 5" xfId="13109"/>
    <cellStyle name="Comma 2 4 24 5 2" xfId="13110"/>
    <cellStyle name="Comma 2 4 24 5 3" xfId="13111"/>
    <cellStyle name="Comma 2 4 24 5 4" xfId="13112"/>
    <cellStyle name="Comma 2 4 24 6" xfId="13113"/>
    <cellStyle name="Comma 2 4 24 6 2" xfId="13114"/>
    <cellStyle name="Comma 2 4 24 7" xfId="13115"/>
    <cellStyle name="Comma 2 4 24 8" xfId="13116"/>
    <cellStyle name="Comma 2 4 24 9" xfId="13117"/>
    <cellStyle name="Comma 2 4 25" xfId="13118"/>
    <cellStyle name="Comma 2 4 25 10" xfId="13119"/>
    <cellStyle name="Comma 2 4 25 2" xfId="13120"/>
    <cellStyle name="Comma 2 4 25 2 2" xfId="13121"/>
    <cellStyle name="Comma 2 4 25 2 2 2" xfId="13122"/>
    <cellStyle name="Comma 2 4 25 2 2 3" xfId="13123"/>
    <cellStyle name="Comma 2 4 25 2 3" xfId="13124"/>
    <cellStyle name="Comma 2 4 25 2 4" xfId="13125"/>
    <cellStyle name="Comma 2 4 25 2 5" xfId="13126"/>
    <cellStyle name="Comma 2 4 25 2 6" xfId="13127"/>
    <cellStyle name="Comma 2 4 25 3" xfId="13128"/>
    <cellStyle name="Comma 2 4 25 3 2" xfId="13129"/>
    <cellStyle name="Comma 2 4 25 3 2 2" xfId="13130"/>
    <cellStyle name="Comma 2 4 25 3 2 3" xfId="13131"/>
    <cellStyle name="Comma 2 4 25 3 3" xfId="13132"/>
    <cellStyle name="Comma 2 4 25 3 4" xfId="13133"/>
    <cellStyle name="Comma 2 4 25 3 5" xfId="13134"/>
    <cellStyle name="Comma 2 4 25 3 6" xfId="13135"/>
    <cellStyle name="Comma 2 4 25 4" xfId="13136"/>
    <cellStyle name="Comma 2 4 25 4 2" xfId="13137"/>
    <cellStyle name="Comma 2 4 25 4 2 2" xfId="13138"/>
    <cellStyle name="Comma 2 4 25 4 3" xfId="13139"/>
    <cellStyle name="Comma 2 4 25 4 4" xfId="13140"/>
    <cellStyle name="Comma 2 4 25 4 5" xfId="13141"/>
    <cellStyle name="Comma 2 4 25 5" xfId="13142"/>
    <cellStyle name="Comma 2 4 25 5 2" xfId="13143"/>
    <cellStyle name="Comma 2 4 25 5 3" xfId="13144"/>
    <cellStyle name="Comma 2 4 25 5 4" xfId="13145"/>
    <cellStyle name="Comma 2 4 25 6" xfId="13146"/>
    <cellStyle name="Comma 2 4 25 6 2" xfId="13147"/>
    <cellStyle name="Comma 2 4 25 7" xfId="13148"/>
    <cellStyle name="Comma 2 4 25 8" xfId="13149"/>
    <cellStyle name="Comma 2 4 25 9" xfId="13150"/>
    <cellStyle name="Comma 2 4 26" xfId="13151"/>
    <cellStyle name="Comma 2 4 26 10" xfId="13152"/>
    <cellStyle name="Comma 2 4 26 2" xfId="13153"/>
    <cellStyle name="Comma 2 4 26 2 2" xfId="13154"/>
    <cellStyle name="Comma 2 4 26 2 2 2" xfId="13155"/>
    <cellStyle name="Comma 2 4 26 2 2 3" xfId="13156"/>
    <cellStyle name="Comma 2 4 26 2 3" xfId="13157"/>
    <cellStyle name="Comma 2 4 26 2 4" xfId="13158"/>
    <cellStyle name="Comma 2 4 26 2 5" xfId="13159"/>
    <cellStyle name="Comma 2 4 26 2 6" xfId="13160"/>
    <cellStyle name="Comma 2 4 26 3" xfId="13161"/>
    <cellStyle name="Comma 2 4 26 3 2" xfId="13162"/>
    <cellStyle name="Comma 2 4 26 3 2 2" xfId="13163"/>
    <cellStyle name="Comma 2 4 26 3 2 3" xfId="13164"/>
    <cellStyle name="Comma 2 4 26 3 3" xfId="13165"/>
    <cellStyle name="Comma 2 4 26 3 4" xfId="13166"/>
    <cellStyle name="Comma 2 4 26 3 5" xfId="13167"/>
    <cellStyle name="Comma 2 4 26 3 6" xfId="13168"/>
    <cellStyle name="Comma 2 4 26 4" xfId="13169"/>
    <cellStyle name="Comma 2 4 26 4 2" xfId="13170"/>
    <cellStyle name="Comma 2 4 26 4 2 2" xfId="13171"/>
    <cellStyle name="Comma 2 4 26 4 3" xfId="13172"/>
    <cellStyle name="Comma 2 4 26 4 4" xfId="13173"/>
    <cellStyle name="Comma 2 4 26 4 5" xfId="13174"/>
    <cellStyle name="Comma 2 4 26 5" xfId="13175"/>
    <cellStyle name="Comma 2 4 26 5 2" xfId="13176"/>
    <cellStyle name="Comma 2 4 26 5 3" xfId="13177"/>
    <cellStyle name="Comma 2 4 26 5 4" xfId="13178"/>
    <cellStyle name="Comma 2 4 26 6" xfId="13179"/>
    <cellStyle name="Comma 2 4 26 6 2" xfId="13180"/>
    <cellStyle name="Comma 2 4 26 7" xfId="13181"/>
    <cellStyle name="Comma 2 4 26 8" xfId="13182"/>
    <cellStyle name="Comma 2 4 26 9" xfId="13183"/>
    <cellStyle name="Comma 2 4 27" xfId="13184"/>
    <cellStyle name="Comma 2 4 27 10" xfId="13185"/>
    <cellStyle name="Comma 2 4 27 2" xfId="13186"/>
    <cellStyle name="Comma 2 4 27 2 2" xfId="13187"/>
    <cellStyle name="Comma 2 4 27 2 2 2" xfId="13188"/>
    <cellStyle name="Comma 2 4 27 2 2 3" xfId="13189"/>
    <cellStyle name="Comma 2 4 27 2 3" xfId="13190"/>
    <cellStyle name="Comma 2 4 27 2 4" xfId="13191"/>
    <cellStyle name="Comma 2 4 27 2 5" xfId="13192"/>
    <cellStyle name="Comma 2 4 27 2 6" xfId="13193"/>
    <cellStyle name="Comma 2 4 27 3" xfId="13194"/>
    <cellStyle name="Comma 2 4 27 3 2" xfId="13195"/>
    <cellStyle name="Comma 2 4 27 3 2 2" xfId="13196"/>
    <cellStyle name="Comma 2 4 27 3 2 3" xfId="13197"/>
    <cellStyle name="Comma 2 4 27 3 3" xfId="13198"/>
    <cellStyle name="Comma 2 4 27 3 4" xfId="13199"/>
    <cellStyle name="Comma 2 4 27 3 5" xfId="13200"/>
    <cellStyle name="Comma 2 4 27 3 6" xfId="13201"/>
    <cellStyle name="Comma 2 4 27 4" xfId="13202"/>
    <cellStyle name="Comma 2 4 27 4 2" xfId="13203"/>
    <cellStyle name="Comma 2 4 27 4 2 2" xfId="13204"/>
    <cellStyle name="Comma 2 4 27 4 3" xfId="13205"/>
    <cellStyle name="Comma 2 4 27 4 4" xfId="13206"/>
    <cellStyle name="Comma 2 4 27 4 5" xfId="13207"/>
    <cellStyle name="Comma 2 4 27 5" xfId="13208"/>
    <cellStyle name="Comma 2 4 27 5 2" xfId="13209"/>
    <cellStyle name="Comma 2 4 27 5 3" xfId="13210"/>
    <cellStyle name="Comma 2 4 27 5 4" xfId="13211"/>
    <cellStyle name="Comma 2 4 27 6" xfId="13212"/>
    <cellStyle name="Comma 2 4 27 6 2" xfId="13213"/>
    <cellStyle name="Comma 2 4 27 7" xfId="13214"/>
    <cellStyle name="Comma 2 4 27 8" xfId="13215"/>
    <cellStyle name="Comma 2 4 27 9" xfId="13216"/>
    <cellStyle name="Comma 2 4 28" xfId="13217"/>
    <cellStyle name="Comma 2 4 28 10" xfId="13218"/>
    <cellStyle name="Comma 2 4 28 2" xfId="13219"/>
    <cellStyle name="Comma 2 4 28 2 2" xfId="13220"/>
    <cellStyle name="Comma 2 4 28 2 2 2" xfId="13221"/>
    <cellStyle name="Comma 2 4 28 2 2 3" xfId="13222"/>
    <cellStyle name="Comma 2 4 28 2 3" xfId="13223"/>
    <cellStyle name="Comma 2 4 28 2 4" xfId="13224"/>
    <cellStyle name="Comma 2 4 28 2 5" xfId="13225"/>
    <cellStyle name="Comma 2 4 28 2 6" xfId="13226"/>
    <cellStyle name="Comma 2 4 28 3" xfId="13227"/>
    <cellStyle name="Comma 2 4 28 3 2" xfId="13228"/>
    <cellStyle name="Comma 2 4 28 3 2 2" xfId="13229"/>
    <cellStyle name="Comma 2 4 28 3 2 3" xfId="13230"/>
    <cellStyle name="Comma 2 4 28 3 3" xfId="13231"/>
    <cellStyle name="Comma 2 4 28 3 4" xfId="13232"/>
    <cellStyle name="Comma 2 4 28 3 5" xfId="13233"/>
    <cellStyle name="Comma 2 4 28 3 6" xfId="13234"/>
    <cellStyle name="Comma 2 4 28 4" xfId="13235"/>
    <cellStyle name="Comma 2 4 28 4 2" xfId="13236"/>
    <cellStyle name="Comma 2 4 28 4 2 2" xfId="13237"/>
    <cellStyle name="Comma 2 4 28 4 3" xfId="13238"/>
    <cellStyle name="Comma 2 4 28 4 4" xfId="13239"/>
    <cellStyle name="Comma 2 4 28 4 5" xfId="13240"/>
    <cellStyle name="Comma 2 4 28 5" xfId="13241"/>
    <cellStyle name="Comma 2 4 28 5 2" xfId="13242"/>
    <cellStyle name="Comma 2 4 28 5 3" xfId="13243"/>
    <cellStyle name="Comma 2 4 28 5 4" xfId="13244"/>
    <cellStyle name="Comma 2 4 28 6" xfId="13245"/>
    <cellStyle name="Comma 2 4 28 6 2" xfId="13246"/>
    <cellStyle name="Comma 2 4 28 7" xfId="13247"/>
    <cellStyle name="Comma 2 4 28 8" xfId="13248"/>
    <cellStyle name="Comma 2 4 28 9" xfId="13249"/>
    <cellStyle name="Comma 2 4 29" xfId="13250"/>
    <cellStyle name="Comma 2 4 29 2" xfId="13251"/>
    <cellStyle name="Comma 2 4 29 2 2" xfId="13252"/>
    <cellStyle name="Comma 2 4 29 2 2 2" xfId="13253"/>
    <cellStyle name="Comma 2 4 29 2 2 3" xfId="13254"/>
    <cellStyle name="Comma 2 4 29 2 3" xfId="13255"/>
    <cellStyle name="Comma 2 4 29 2 4" xfId="13256"/>
    <cellStyle name="Comma 2 4 29 2 5" xfId="13257"/>
    <cellStyle name="Comma 2 4 29 2 6" xfId="13258"/>
    <cellStyle name="Comma 2 4 29 3" xfId="13259"/>
    <cellStyle name="Comma 2 4 29 3 2" xfId="13260"/>
    <cellStyle name="Comma 2 4 29 3 2 2" xfId="13261"/>
    <cellStyle name="Comma 2 4 29 3 3" xfId="13262"/>
    <cellStyle name="Comma 2 4 29 3 4" xfId="13263"/>
    <cellStyle name="Comma 2 4 29 3 5" xfId="13264"/>
    <cellStyle name="Comma 2 4 29 4" xfId="13265"/>
    <cellStyle name="Comma 2 4 29 4 2" xfId="13266"/>
    <cellStyle name="Comma 2 4 29 4 3" xfId="13267"/>
    <cellStyle name="Comma 2 4 29 4 4" xfId="13268"/>
    <cellStyle name="Comma 2 4 29 5" xfId="13269"/>
    <cellStyle name="Comma 2 4 29 5 2" xfId="13270"/>
    <cellStyle name="Comma 2 4 29 6" xfId="13271"/>
    <cellStyle name="Comma 2 4 29 7" xfId="13272"/>
    <cellStyle name="Comma 2 4 29 8" xfId="13273"/>
    <cellStyle name="Comma 2 4 29 9" xfId="13274"/>
    <cellStyle name="Comma 2 4 3" xfId="13275"/>
    <cellStyle name="Comma 2 4 3 10" xfId="13276"/>
    <cellStyle name="Comma 2 4 3 10 10" xfId="13277"/>
    <cellStyle name="Comma 2 4 3 10 2" xfId="13278"/>
    <cellStyle name="Comma 2 4 3 10 2 2" xfId="13279"/>
    <cellStyle name="Comma 2 4 3 10 2 2 2" xfId="13280"/>
    <cellStyle name="Comma 2 4 3 10 2 2 3" xfId="13281"/>
    <cellStyle name="Comma 2 4 3 10 2 3" xfId="13282"/>
    <cellStyle name="Comma 2 4 3 10 2 4" xfId="13283"/>
    <cellStyle name="Comma 2 4 3 10 2 5" xfId="13284"/>
    <cellStyle name="Comma 2 4 3 10 2 6" xfId="13285"/>
    <cellStyle name="Comma 2 4 3 10 3" xfId="13286"/>
    <cellStyle name="Comma 2 4 3 10 3 2" xfId="13287"/>
    <cellStyle name="Comma 2 4 3 10 3 2 2" xfId="13288"/>
    <cellStyle name="Comma 2 4 3 10 3 2 3" xfId="13289"/>
    <cellStyle name="Comma 2 4 3 10 3 3" xfId="13290"/>
    <cellStyle name="Comma 2 4 3 10 3 4" xfId="13291"/>
    <cellStyle name="Comma 2 4 3 10 3 5" xfId="13292"/>
    <cellStyle name="Comma 2 4 3 10 3 6" xfId="13293"/>
    <cellStyle name="Comma 2 4 3 10 4" xfId="13294"/>
    <cellStyle name="Comma 2 4 3 10 4 2" xfId="13295"/>
    <cellStyle name="Comma 2 4 3 10 4 2 2" xfId="13296"/>
    <cellStyle name="Comma 2 4 3 10 4 3" xfId="13297"/>
    <cellStyle name="Comma 2 4 3 10 4 4" xfId="13298"/>
    <cellStyle name="Comma 2 4 3 10 4 5" xfId="13299"/>
    <cellStyle name="Comma 2 4 3 10 5" xfId="13300"/>
    <cellStyle name="Comma 2 4 3 10 5 2" xfId="13301"/>
    <cellStyle name="Comma 2 4 3 10 5 3" xfId="13302"/>
    <cellStyle name="Comma 2 4 3 10 5 4" xfId="13303"/>
    <cellStyle name="Comma 2 4 3 10 6" xfId="13304"/>
    <cellStyle name="Comma 2 4 3 10 6 2" xfId="13305"/>
    <cellStyle name="Comma 2 4 3 10 7" xfId="13306"/>
    <cellStyle name="Comma 2 4 3 10 8" xfId="13307"/>
    <cellStyle name="Comma 2 4 3 10 9" xfId="13308"/>
    <cellStyle name="Comma 2 4 3 11" xfId="13309"/>
    <cellStyle name="Comma 2 4 3 11 10" xfId="13310"/>
    <cellStyle name="Comma 2 4 3 11 2" xfId="13311"/>
    <cellStyle name="Comma 2 4 3 11 2 2" xfId="13312"/>
    <cellStyle name="Comma 2 4 3 11 2 2 2" xfId="13313"/>
    <cellStyle name="Comma 2 4 3 11 2 2 3" xfId="13314"/>
    <cellStyle name="Comma 2 4 3 11 2 3" xfId="13315"/>
    <cellStyle name="Comma 2 4 3 11 2 4" xfId="13316"/>
    <cellStyle name="Comma 2 4 3 11 2 5" xfId="13317"/>
    <cellStyle name="Comma 2 4 3 11 2 6" xfId="13318"/>
    <cellStyle name="Comma 2 4 3 11 3" xfId="13319"/>
    <cellStyle name="Comma 2 4 3 11 3 2" xfId="13320"/>
    <cellStyle name="Comma 2 4 3 11 3 2 2" xfId="13321"/>
    <cellStyle name="Comma 2 4 3 11 3 2 3" xfId="13322"/>
    <cellStyle name="Comma 2 4 3 11 3 3" xfId="13323"/>
    <cellStyle name="Comma 2 4 3 11 3 4" xfId="13324"/>
    <cellStyle name="Comma 2 4 3 11 3 5" xfId="13325"/>
    <cellStyle name="Comma 2 4 3 11 3 6" xfId="13326"/>
    <cellStyle name="Comma 2 4 3 11 4" xfId="13327"/>
    <cellStyle name="Comma 2 4 3 11 4 2" xfId="13328"/>
    <cellStyle name="Comma 2 4 3 11 4 2 2" xfId="13329"/>
    <cellStyle name="Comma 2 4 3 11 4 3" xfId="13330"/>
    <cellStyle name="Comma 2 4 3 11 4 4" xfId="13331"/>
    <cellStyle name="Comma 2 4 3 11 4 5" xfId="13332"/>
    <cellStyle name="Comma 2 4 3 11 5" xfId="13333"/>
    <cellStyle name="Comma 2 4 3 11 5 2" xfId="13334"/>
    <cellStyle name="Comma 2 4 3 11 5 3" xfId="13335"/>
    <cellStyle name="Comma 2 4 3 11 5 4" xfId="13336"/>
    <cellStyle name="Comma 2 4 3 11 6" xfId="13337"/>
    <cellStyle name="Comma 2 4 3 11 6 2" xfId="13338"/>
    <cellStyle name="Comma 2 4 3 11 7" xfId="13339"/>
    <cellStyle name="Comma 2 4 3 11 8" xfId="13340"/>
    <cellStyle name="Comma 2 4 3 11 9" xfId="13341"/>
    <cellStyle name="Comma 2 4 3 12" xfId="13342"/>
    <cellStyle name="Comma 2 4 3 12 10" xfId="13343"/>
    <cellStyle name="Comma 2 4 3 12 2" xfId="13344"/>
    <cellStyle name="Comma 2 4 3 12 2 2" xfId="13345"/>
    <cellStyle name="Comma 2 4 3 12 2 2 2" xfId="13346"/>
    <cellStyle name="Comma 2 4 3 12 2 2 3" xfId="13347"/>
    <cellStyle name="Comma 2 4 3 12 2 3" xfId="13348"/>
    <cellStyle name="Comma 2 4 3 12 2 4" xfId="13349"/>
    <cellStyle name="Comma 2 4 3 12 2 5" xfId="13350"/>
    <cellStyle name="Comma 2 4 3 12 2 6" xfId="13351"/>
    <cellStyle name="Comma 2 4 3 12 3" xfId="13352"/>
    <cellStyle name="Comma 2 4 3 12 3 2" xfId="13353"/>
    <cellStyle name="Comma 2 4 3 12 3 2 2" xfId="13354"/>
    <cellStyle name="Comma 2 4 3 12 3 2 3" xfId="13355"/>
    <cellStyle name="Comma 2 4 3 12 3 3" xfId="13356"/>
    <cellStyle name="Comma 2 4 3 12 3 4" xfId="13357"/>
    <cellStyle name="Comma 2 4 3 12 3 5" xfId="13358"/>
    <cellStyle name="Comma 2 4 3 12 3 6" xfId="13359"/>
    <cellStyle name="Comma 2 4 3 12 4" xfId="13360"/>
    <cellStyle name="Comma 2 4 3 12 4 2" xfId="13361"/>
    <cellStyle name="Comma 2 4 3 12 4 2 2" xfId="13362"/>
    <cellStyle name="Comma 2 4 3 12 4 3" xfId="13363"/>
    <cellStyle name="Comma 2 4 3 12 4 4" xfId="13364"/>
    <cellStyle name="Comma 2 4 3 12 4 5" xfId="13365"/>
    <cellStyle name="Comma 2 4 3 12 5" xfId="13366"/>
    <cellStyle name="Comma 2 4 3 12 5 2" xfId="13367"/>
    <cellStyle name="Comma 2 4 3 12 5 3" xfId="13368"/>
    <cellStyle name="Comma 2 4 3 12 5 4" xfId="13369"/>
    <cellStyle name="Comma 2 4 3 12 6" xfId="13370"/>
    <cellStyle name="Comma 2 4 3 12 6 2" xfId="13371"/>
    <cellStyle name="Comma 2 4 3 12 7" xfId="13372"/>
    <cellStyle name="Comma 2 4 3 12 8" xfId="13373"/>
    <cellStyle name="Comma 2 4 3 12 9" xfId="13374"/>
    <cellStyle name="Comma 2 4 3 13" xfId="13375"/>
    <cellStyle name="Comma 2 4 3 13 2" xfId="13376"/>
    <cellStyle name="Comma 2 4 3 13 2 2" xfId="13377"/>
    <cellStyle name="Comma 2 4 3 13 2 2 2" xfId="13378"/>
    <cellStyle name="Comma 2 4 3 13 2 2 3" xfId="13379"/>
    <cellStyle name="Comma 2 4 3 13 2 3" xfId="13380"/>
    <cellStyle name="Comma 2 4 3 13 2 4" xfId="13381"/>
    <cellStyle name="Comma 2 4 3 13 2 5" xfId="13382"/>
    <cellStyle name="Comma 2 4 3 13 2 6" xfId="13383"/>
    <cellStyle name="Comma 2 4 3 13 3" xfId="13384"/>
    <cellStyle name="Comma 2 4 3 13 3 2" xfId="13385"/>
    <cellStyle name="Comma 2 4 3 13 3 2 2" xfId="13386"/>
    <cellStyle name="Comma 2 4 3 13 3 3" xfId="13387"/>
    <cellStyle name="Comma 2 4 3 13 3 4" xfId="13388"/>
    <cellStyle name="Comma 2 4 3 13 3 5" xfId="13389"/>
    <cellStyle name="Comma 2 4 3 13 4" xfId="13390"/>
    <cellStyle name="Comma 2 4 3 13 4 2" xfId="13391"/>
    <cellStyle name="Comma 2 4 3 13 4 3" xfId="13392"/>
    <cellStyle name="Comma 2 4 3 13 4 4" xfId="13393"/>
    <cellStyle name="Comma 2 4 3 13 5" xfId="13394"/>
    <cellStyle name="Comma 2 4 3 13 5 2" xfId="13395"/>
    <cellStyle name="Comma 2 4 3 13 6" xfId="13396"/>
    <cellStyle name="Comma 2 4 3 13 7" xfId="13397"/>
    <cellStyle name="Comma 2 4 3 13 8" xfId="13398"/>
    <cellStyle name="Comma 2 4 3 13 9" xfId="13399"/>
    <cellStyle name="Comma 2 4 3 14" xfId="13400"/>
    <cellStyle name="Comma 2 4 3 14 2" xfId="13401"/>
    <cellStyle name="Comma 2 4 3 14 2 2" xfId="13402"/>
    <cellStyle name="Comma 2 4 3 14 2 2 2" xfId="13403"/>
    <cellStyle name="Comma 2 4 3 14 2 2 3" xfId="13404"/>
    <cellStyle name="Comma 2 4 3 14 2 3" xfId="13405"/>
    <cellStyle name="Comma 2 4 3 14 2 4" xfId="13406"/>
    <cellStyle name="Comma 2 4 3 14 2 5" xfId="13407"/>
    <cellStyle name="Comma 2 4 3 14 2 6" xfId="13408"/>
    <cellStyle name="Comma 2 4 3 14 3" xfId="13409"/>
    <cellStyle name="Comma 2 4 3 14 3 2" xfId="13410"/>
    <cellStyle name="Comma 2 4 3 14 3 2 2" xfId="13411"/>
    <cellStyle name="Comma 2 4 3 14 3 3" xfId="13412"/>
    <cellStyle name="Comma 2 4 3 14 3 4" xfId="13413"/>
    <cellStyle name="Comma 2 4 3 14 3 5" xfId="13414"/>
    <cellStyle name="Comma 2 4 3 14 4" xfId="13415"/>
    <cellStyle name="Comma 2 4 3 14 4 2" xfId="13416"/>
    <cellStyle name="Comma 2 4 3 14 4 3" xfId="13417"/>
    <cellStyle name="Comma 2 4 3 14 4 4" xfId="13418"/>
    <cellStyle name="Comma 2 4 3 14 5" xfId="13419"/>
    <cellStyle name="Comma 2 4 3 14 5 2" xfId="13420"/>
    <cellStyle name="Comma 2 4 3 14 6" xfId="13421"/>
    <cellStyle name="Comma 2 4 3 14 7" xfId="13422"/>
    <cellStyle name="Comma 2 4 3 14 8" xfId="13423"/>
    <cellStyle name="Comma 2 4 3 14 9" xfId="13424"/>
    <cellStyle name="Comma 2 4 3 15" xfId="13425"/>
    <cellStyle name="Comma 2 4 3 15 2" xfId="13426"/>
    <cellStyle name="Comma 2 4 3 15 2 2" xfId="13427"/>
    <cellStyle name="Comma 2 4 3 15 2 3" xfId="13428"/>
    <cellStyle name="Comma 2 4 3 15 3" xfId="13429"/>
    <cellStyle name="Comma 2 4 3 15 4" xfId="13430"/>
    <cellStyle name="Comma 2 4 3 15 5" xfId="13431"/>
    <cellStyle name="Comma 2 4 3 15 6" xfId="13432"/>
    <cellStyle name="Comma 2 4 3 16" xfId="13433"/>
    <cellStyle name="Comma 2 4 3 16 2" xfId="13434"/>
    <cellStyle name="Comma 2 4 3 16 2 2" xfId="13435"/>
    <cellStyle name="Comma 2 4 3 16 3" xfId="13436"/>
    <cellStyle name="Comma 2 4 3 16 4" xfId="13437"/>
    <cellStyle name="Comma 2 4 3 16 5" xfId="13438"/>
    <cellStyle name="Comma 2 4 3 17" xfId="13439"/>
    <cellStyle name="Comma 2 4 3 17 2" xfId="13440"/>
    <cellStyle name="Comma 2 4 3 17 2 2" xfId="13441"/>
    <cellStyle name="Comma 2 4 3 17 3" xfId="13442"/>
    <cellStyle name="Comma 2 4 3 17 4" xfId="13443"/>
    <cellStyle name="Comma 2 4 3 17 5" xfId="13444"/>
    <cellStyle name="Comma 2 4 3 18" xfId="13445"/>
    <cellStyle name="Comma 2 4 3 18 2" xfId="13446"/>
    <cellStyle name="Comma 2 4 3 19" xfId="13447"/>
    <cellStyle name="Comma 2 4 3 2" xfId="13448"/>
    <cellStyle name="Comma 2 4 3 2 10" xfId="13449"/>
    <cellStyle name="Comma 2 4 3 2 11" xfId="13450"/>
    <cellStyle name="Comma 2 4 3 2 2" xfId="13451"/>
    <cellStyle name="Comma 2 4 3 2 2 2" xfId="13452"/>
    <cellStyle name="Comma 2 4 3 2 2 2 2" xfId="13453"/>
    <cellStyle name="Comma 2 4 3 2 2 2 2 2" xfId="13454"/>
    <cellStyle name="Comma 2 4 3 2 2 2 2 3" xfId="13455"/>
    <cellStyle name="Comma 2 4 3 2 2 2 3" xfId="13456"/>
    <cellStyle name="Comma 2 4 3 2 2 2 4" xfId="13457"/>
    <cellStyle name="Comma 2 4 3 2 2 2 5" xfId="13458"/>
    <cellStyle name="Comma 2 4 3 2 2 2 6" xfId="13459"/>
    <cellStyle name="Comma 2 4 3 2 2 3" xfId="13460"/>
    <cellStyle name="Comma 2 4 3 2 2 3 2" xfId="13461"/>
    <cellStyle name="Comma 2 4 3 2 2 3 2 2" xfId="13462"/>
    <cellStyle name="Comma 2 4 3 2 2 3 3" xfId="13463"/>
    <cellStyle name="Comma 2 4 3 2 2 3 4" xfId="13464"/>
    <cellStyle name="Comma 2 4 3 2 2 3 5" xfId="13465"/>
    <cellStyle name="Comma 2 4 3 2 2 4" xfId="13466"/>
    <cellStyle name="Comma 2 4 3 2 2 4 2" xfId="13467"/>
    <cellStyle name="Comma 2 4 3 2 2 4 3" xfId="13468"/>
    <cellStyle name="Comma 2 4 3 2 2 4 4" xfId="13469"/>
    <cellStyle name="Comma 2 4 3 2 2 5" xfId="13470"/>
    <cellStyle name="Comma 2 4 3 2 2 5 2" xfId="13471"/>
    <cellStyle name="Comma 2 4 3 2 2 6" xfId="13472"/>
    <cellStyle name="Comma 2 4 3 2 2 7" xfId="13473"/>
    <cellStyle name="Comma 2 4 3 2 2 8" xfId="13474"/>
    <cellStyle name="Comma 2 4 3 2 2 9" xfId="13475"/>
    <cellStyle name="Comma 2 4 3 2 3" xfId="13476"/>
    <cellStyle name="Comma 2 4 3 2 3 2" xfId="13477"/>
    <cellStyle name="Comma 2 4 3 2 3 2 2" xfId="13478"/>
    <cellStyle name="Comma 2 4 3 2 3 2 2 2" xfId="13479"/>
    <cellStyle name="Comma 2 4 3 2 3 2 2 3" xfId="13480"/>
    <cellStyle name="Comma 2 4 3 2 3 2 3" xfId="13481"/>
    <cellStyle name="Comma 2 4 3 2 3 2 4" xfId="13482"/>
    <cellStyle name="Comma 2 4 3 2 3 2 5" xfId="13483"/>
    <cellStyle name="Comma 2 4 3 2 3 2 6" xfId="13484"/>
    <cellStyle name="Comma 2 4 3 2 3 3" xfId="13485"/>
    <cellStyle name="Comma 2 4 3 2 3 3 2" xfId="13486"/>
    <cellStyle name="Comma 2 4 3 2 3 3 2 2" xfId="13487"/>
    <cellStyle name="Comma 2 4 3 2 3 3 3" xfId="13488"/>
    <cellStyle name="Comma 2 4 3 2 3 3 4" xfId="13489"/>
    <cellStyle name="Comma 2 4 3 2 3 3 5" xfId="13490"/>
    <cellStyle name="Comma 2 4 3 2 3 4" xfId="13491"/>
    <cellStyle name="Comma 2 4 3 2 3 4 2" xfId="13492"/>
    <cellStyle name="Comma 2 4 3 2 3 4 3" xfId="13493"/>
    <cellStyle name="Comma 2 4 3 2 3 4 4" xfId="13494"/>
    <cellStyle name="Comma 2 4 3 2 3 5" xfId="13495"/>
    <cellStyle name="Comma 2 4 3 2 3 5 2" xfId="13496"/>
    <cellStyle name="Comma 2 4 3 2 3 6" xfId="13497"/>
    <cellStyle name="Comma 2 4 3 2 3 7" xfId="13498"/>
    <cellStyle name="Comma 2 4 3 2 3 8" xfId="13499"/>
    <cellStyle name="Comma 2 4 3 2 3 9" xfId="13500"/>
    <cellStyle name="Comma 2 4 3 2 4" xfId="13501"/>
    <cellStyle name="Comma 2 4 3 2 4 2" xfId="13502"/>
    <cellStyle name="Comma 2 4 3 2 4 2 2" xfId="13503"/>
    <cellStyle name="Comma 2 4 3 2 4 2 3" xfId="13504"/>
    <cellStyle name="Comma 2 4 3 2 4 3" xfId="13505"/>
    <cellStyle name="Comma 2 4 3 2 4 4" xfId="13506"/>
    <cellStyle name="Comma 2 4 3 2 4 5" xfId="13507"/>
    <cellStyle name="Comma 2 4 3 2 4 6" xfId="13508"/>
    <cellStyle name="Comma 2 4 3 2 5" xfId="13509"/>
    <cellStyle name="Comma 2 4 3 2 5 2" xfId="13510"/>
    <cellStyle name="Comma 2 4 3 2 5 2 2" xfId="13511"/>
    <cellStyle name="Comma 2 4 3 2 5 3" xfId="13512"/>
    <cellStyle name="Comma 2 4 3 2 5 4" xfId="13513"/>
    <cellStyle name="Comma 2 4 3 2 5 5" xfId="13514"/>
    <cellStyle name="Comma 2 4 3 2 6" xfId="13515"/>
    <cellStyle name="Comma 2 4 3 2 6 2" xfId="13516"/>
    <cellStyle name="Comma 2 4 3 2 6 3" xfId="13517"/>
    <cellStyle name="Comma 2 4 3 2 6 4" xfId="13518"/>
    <cellStyle name="Comma 2 4 3 2 7" xfId="13519"/>
    <cellStyle name="Comma 2 4 3 2 7 2" xfId="13520"/>
    <cellStyle name="Comma 2 4 3 2 8" xfId="13521"/>
    <cellStyle name="Comma 2 4 3 2 9" xfId="13522"/>
    <cellStyle name="Comma 2 4 3 20" xfId="13523"/>
    <cellStyle name="Comma 2 4 3 21" xfId="13524"/>
    <cellStyle name="Comma 2 4 3 22" xfId="13525"/>
    <cellStyle name="Comma 2 4 3 3" xfId="13526"/>
    <cellStyle name="Comma 2 4 3 3 10" xfId="13527"/>
    <cellStyle name="Comma 2 4 3 3 11" xfId="13528"/>
    <cellStyle name="Comma 2 4 3 3 2" xfId="13529"/>
    <cellStyle name="Comma 2 4 3 3 2 2" xfId="13530"/>
    <cellStyle name="Comma 2 4 3 3 2 2 2" xfId="13531"/>
    <cellStyle name="Comma 2 4 3 3 2 2 2 2" xfId="13532"/>
    <cellStyle name="Comma 2 4 3 3 2 2 2 3" xfId="13533"/>
    <cellStyle name="Comma 2 4 3 3 2 2 3" xfId="13534"/>
    <cellStyle name="Comma 2 4 3 3 2 2 4" xfId="13535"/>
    <cellStyle name="Comma 2 4 3 3 2 2 5" xfId="13536"/>
    <cellStyle name="Comma 2 4 3 3 2 2 6" xfId="13537"/>
    <cellStyle name="Comma 2 4 3 3 2 3" xfId="13538"/>
    <cellStyle name="Comma 2 4 3 3 2 3 2" xfId="13539"/>
    <cellStyle name="Comma 2 4 3 3 2 3 2 2" xfId="13540"/>
    <cellStyle name="Comma 2 4 3 3 2 3 3" xfId="13541"/>
    <cellStyle name="Comma 2 4 3 3 2 3 4" xfId="13542"/>
    <cellStyle name="Comma 2 4 3 3 2 3 5" xfId="13543"/>
    <cellStyle name="Comma 2 4 3 3 2 4" xfId="13544"/>
    <cellStyle name="Comma 2 4 3 3 2 4 2" xfId="13545"/>
    <cellStyle name="Comma 2 4 3 3 2 4 3" xfId="13546"/>
    <cellStyle name="Comma 2 4 3 3 2 4 4" xfId="13547"/>
    <cellStyle name="Comma 2 4 3 3 2 5" xfId="13548"/>
    <cellStyle name="Comma 2 4 3 3 2 5 2" xfId="13549"/>
    <cellStyle name="Comma 2 4 3 3 2 6" xfId="13550"/>
    <cellStyle name="Comma 2 4 3 3 2 7" xfId="13551"/>
    <cellStyle name="Comma 2 4 3 3 2 8" xfId="13552"/>
    <cellStyle name="Comma 2 4 3 3 2 9" xfId="13553"/>
    <cellStyle name="Comma 2 4 3 3 3" xfId="13554"/>
    <cellStyle name="Comma 2 4 3 3 3 2" xfId="13555"/>
    <cellStyle name="Comma 2 4 3 3 3 2 2" xfId="13556"/>
    <cellStyle name="Comma 2 4 3 3 3 2 2 2" xfId="13557"/>
    <cellStyle name="Comma 2 4 3 3 3 2 2 3" xfId="13558"/>
    <cellStyle name="Comma 2 4 3 3 3 2 3" xfId="13559"/>
    <cellStyle name="Comma 2 4 3 3 3 2 4" xfId="13560"/>
    <cellStyle name="Comma 2 4 3 3 3 2 5" xfId="13561"/>
    <cellStyle name="Comma 2 4 3 3 3 2 6" xfId="13562"/>
    <cellStyle name="Comma 2 4 3 3 3 3" xfId="13563"/>
    <cellStyle name="Comma 2 4 3 3 3 3 2" xfId="13564"/>
    <cellStyle name="Comma 2 4 3 3 3 3 2 2" xfId="13565"/>
    <cellStyle name="Comma 2 4 3 3 3 3 3" xfId="13566"/>
    <cellStyle name="Comma 2 4 3 3 3 3 4" xfId="13567"/>
    <cellStyle name="Comma 2 4 3 3 3 3 5" xfId="13568"/>
    <cellStyle name="Comma 2 4 3 3 3 4" xfId="13569"/>
    <cellStyle name="Comma 2 4 3 3 3 4 2" xfId="13570"/>
    <cellStyle name="Comma 2 4 3 3 3 4 3" xfId="13571"/>
    <cellStyle name="Comma 2 4 3 3 3 4 4" xfId="13572"/>
    <cellStyle name="Comma 2 4 3 3 3 5" xfId="13573"/>
    <cellStyle name="Comma 2 4 3 3 3 5 2" xfId="13574"/>
    <cellStyle name="Comma 2 4 3 3 3 6" xfId="13575"/>
    <cellStyle name="Comma 2 4 3 3 3 7" xfId="13576"/>
    <cellStyle name="Comma 2 4 3 3 3 8" xfId="13577"/>
    <cellStyle name="Comma 2 4 3 3 3 9" xfId="13578"/>
    <cellStyle name="Comma 2 4 3 3 4" xfId="13579"/>
    <cellStyle name="Comma 2 4 3 3 4 2" xfId="13580"/>
    <cellStyle name="Comma 2 4 3 3 4 2 2" xfId="13581"/>
    <cellStyle name="Comma 2 4 3 3 4 2 3" xfId="13582"/>
    <cellStyle name="Comma 2 4 3 3 4 3" xfId="13583"/>
    <cellStyle name="Comma 2 4 3 3 4 4" xfId="13584"/>
    <cellStyle name="Comma 2 4 3 3 4 5" xfId="13585"/>
    <cellStyle name="Comma 2 4 3 3 4 6" xfId="13586"/>
    <cellStyle name="Comma 2 4 3 3 5" xfId="13587"/>
    <cellStyle name="Comma 2 4 3 3 5 2" xfId="13588"/>
    <cellStyle name="Comma 2 4 3 3 5 2 2" xfId="13589"/>
    <cellStyle name="Comma 2 4 3 3 5 3" xfId="13590"/>
    <cellStyle name="Comma 2 4 3 3 5 4" xfId="13591"/>
    <cellStyle name="Comma 2 4 3 3 5 5" xfId="13592"/>
    <cellStyle name="Comma 2 4 3 3 6" xfId="13593"/>
    <cellStyle name="Comma 2 4 3 3 6 2" xfId="13594"/>
    <cellStyle name="Comma 2 4 3 3 6 3" xfId="13595"/>
    <cellStyle name="Comma 2 4 3 3 6 4" xfId="13596"/>
    <cellStyle name="Comma 2 4 3 3 7" xfId="13597"/>
    <cellStyle name="Comma 2 4 3 3 7 2" xfId="13598"/>
    <cellStyle name="Comma 2 4 3 3 8" xfId="13599"/>
    <cellStyle name="Comma 2 4 3 3 9" xfId="13600"/>
    <cellStyle name="Comma 2 4 3 4" xfId="13601"/>
    <cellStyle name="Comma 2 4 3 4 10" xfId="13602"/>
    <cellStyle name="Comma 2 4 3 4 11" xfId="13603"/>
    <cellStyle name="Comma 2 4 3 4 2" xfId="13604"/>
    <cellStyle name="Comma 2 4 3 4 2 2" xfId="13605"/>
    <cellStyle name="Comma 2 4 3 4 2 2 2" xfId="13606"/>
    <cellStyle name="Comma 2 4 3 4 2 2 2 2" xfId="13607"/>
    <cellStyle name="Comma 2 4 3 4 2 2 2 3" xfId="13608"/>
    <cellStyle name="Comma 2 4 3 4 2 2 3" xfId="13609"/>
    <cellStyle name="Comma 2 4 3 4 2 2 4" xfId="13610"/>
    <cellStyle name="Comma 2 4 3 4 2 2 5" xfId="13611"/>
    <cellStyle name="Comma 2 4 3 4 2 2 6" xfId="13612"/>
    <cellStyle name="Comma 2 4 3 4 2 3" xfId="13613"/>
    <cellStyle name="Comma 2 4 3 4 2 3 2" xfId="13614"/>
    <cellStyle name="Comma 2 4 3 4 2 3 2 2" xfId="13615"/>
    <cellStyle name="Comma 2 4 3 4 2 3 3" xfId="13616"/>
    <cellStyle name="Comma 2 4 3 4 2 3 4" xfId="13617"/>
    <cellStyle name="Comma 2 4 3 4 2 3 5" xfId="13618"/>
    <cellStyle name="Comma 2 4 3 4 2 4" xfId="13619"/>
    <cellStyle name="Comma 2 4 3 4 2 4 2" xfId="13620"/>
    <cellStyle name="Comma 2 4 3 4 2 4 3" xfId="13621"/>
    <cellStyle name="Comma 2 4 3 4 2 4 4" xfId="13622"/>
    <cellStyle name="Comma 2 4 3 4 2 5" xfId="13623"/>
    <cellStyle name="Comma 2 4 3 4 2 5 2" xfId="13624"/>
    <cellStyle name="Comma 2 4 3 4 2 6" xfId="13625"/>
    <cellStyle name="Comma 2 4 3 4 2 7" xfId="13626"/>
    <cellStyle name="Comma 2 4 3 4 2 8" xfId="13627"/>
    <cellStyle name="Comma 2 4 3 4 2 9" xfId="13628"/>
    <cellStyle name="Comma 2 4 3 4 3" xfId="13629"/>
    <cellStyle name="Comma 2 4 3 4 3 2" xfId="13630"/>
    <cellStyle name="Comma 2 4 3 4 3 2 2" xfId="13631"/>
    <cellStyle name="Comma 2 4 3 4 3 2 2 2" xfId="13632"/>
    <cellStyle name="Comma 2 4 3 4 3 2 2 3" xfId="13633"/>
    <cellStyle name="Comma 2 4 3 4 3 2 3" xfId="13634"/>
    <cellStyle name="Comma 2 4 3 4 3 2 4" xfId="13635"/>
    <cellStyle name="Comma 2 4 3 4 3 2 5" xfId="13636"/>
    <cellStyle name="Comma 2 4 3 4 3 2 6" xfId="13637"/>
    <cellStyle name="Comma 2 4 3 4 3 3" xfId="13638"/>
    <cellStyle name="Comma 2 4 3 4 3 3 2" xfId="13639"/>
    <cellStyle name="Comma 2 4 3 4 3 3 2 2" xfId="13640"/>
    <cellStyle name="Comma 2 4 3 4 3 3 3" xfId="13641"/>
    <cellStyle name="Comma 2 4 3 4 3 3 4" xfId="13642"/>
    <cellStyle name="Comma 2 4 3 4 3 3 5" xfId="13643"/>
    <cellStyle name="Comma 2 4 3 4 3 4" xfId="13644"/>
    <cellStyle name="Comma 2 4 3 4 3 4 2" xfId="13645"/>
    <cellStyle name="Comma 2 4 3 4 3 4 3" xfId="13646"/>
    <cellStyle name="Comma 2 4 3 4 3 4 4" xfId="13647"/>
    <cellStyle name="Comma 2 4 3 4 3 5" xfId="13648"/>
    <cellStyle name="Comma 2 4 3 4 3 5 2" xfId="13649"/>
    <cellStyle name="Comma 2 4 3 4 3 6" xfId="13650"/>
    <cellStyle name="Comma 2 4 3 4 3 7" xfId="13651"/>
    <cellStyle name="Comma 2 4 3 4 3 8" xfId="13652"/>
    <cellStyle name="Comma 2 4 3 4 3 9" xfId="13653"/>
    <cellStyle name="Comma 2 4 3 4 4" xfId="13654"/>
    <cellStyle name="Comma 2 4 3 4 4 2" xfId="13655"/>
    <cellStyle name="Comma 2 4 3 4 4 2 2" xfId="13656"/>
    <cellStyle name="Comma 2 4 3 4 4 2 3" xfId="13657"/>
    <cellStyle name="Comma 2 4 3 4 4 3" xfId="13658"/>
    <cellStyle name="Comma 2 4 3 4 4 4" xfId="13659"/>
    <cellStyle name="Comma 2 4 3 4 4 5" xfId="13660"/>
    <cellStyle name="Comma 2 4 3 4 4 6" xfId="13661"/>
    <cellStyle name="Comma 2 4 3 4 5" xfId="13662"/>
    <cellStyle name="Comma 2 4 3 4 5 2" xfId="13663"/>
    <cellStyle name="Comma 2 4 3 4 5 2 2" xfId="13664"/>
    <cellStyle name="Comma 2 4 3 4 5 3" xfId="13665"/>
    <cellStyle name="Comma 2 4 3 4 5 4" xfId="13666"/>
    <cellStyle name="Comma 2 4 3 4 5 5" xfId="13667"/>
    <cellStyle name="Comma 2 4 3 4 6" xfId="13668"/>
    <cellStyle name="Comma 2 4 3 4 6 2" xfId="13669"/>
    <cellStyle name="Comma 2 4 3 4 6 3" xfId="13670"/>
    <cellStyle name="Comma 2 4 3 4 6 4" xfId="13671"/>
    <cellStyle name="Comma 2 4 3 4 7" xfId="13672"/>
    <cellStyle name="Comma 2 4 3 4 7 2" xfId="13673"/>
    <cellStyle name="Comma 2 4 3 4 8" xfId="13674"/>
    <cellStyle name="Comma 2 4 3 4 9" xfId="13675"/>
    <cellStyle name="Comma 2 4 3 5" xfId="13676"/>
    <cellStyle name="Comma 2 4 3 5 10" xfId="13677"/>
    <cellStyle name="Comma 2 4 3 5 11" xfId="13678"/>
    <cellStyle name="Comma 2 4 3 5 2" xfId="13679"/>
    <cellStyle name="Comma 2 4 3 5 2 2" xfId="13680"/>
    <cellStyle name="Comma 2 4 3 5 2 2 2" xfId="13681"/>
    <cellStyle name="Comma 2 4 3 5 2 2 2 2" xfId="13682"/>
    <cellStyle name="Comma 2 4 3 5 2 2 2 3" xfId="13683"/>
    <cellStyle name="Comma 2 4 3 5 2 2 3" xfId="13684"/>
    <cellStyle name="Comma 2 4 3 5 2 2 4" xfId="13685"/>
    <cellStyle name="Comma 2 4 3 5 2 2 5" xfId="13686"/>
    <cellStyle name="Comma 2 4 3 5 2 2 6" xfId="13687"/>
    <cellStyle name="Comma 2 4 3 5 2 3" xfId="13688"/>
    <cellStyle name="Comma 2 4 3 5 2 3 2" xfId="13689"/>
    <cellStyle name="Comma 2 4 3 5 2 3 2 2" xfId="13690"/>
    <cellStyle name="Comma 2 4 3 5 2 3 3" xfId="13691"/>
    <cellStyle name="Comma 2 4 3 5 2 3 4" xfId="13692"/>
    <cellStyle name="Comma 2 4 3 5 2 3 5" xfId="13693"/>
    <cellStyle name="Comma 2 4 3 5 2 4" xfId="13694"/>
    <cellStyle name="Comma 2 4 3 5 2 4 2" xfId="13695"/>
    <cellStyle name="Comma 2 4 3 5 2 4 3" xfId="13696"/>
    <cellStyle name="Comma 2 4 3 5 2 4 4" xfId="13697"/>
    <cellStyle name="Comma 2 4 3 5 2 5" xfId="13698"/>
    <cellStyle name="Comma 2 4 3 5 2 5 2" xfId="13699"/>
    <cellStyle name="Comma 2 4 3 5 2 6" xfId="13700"/>
    <cellStyle name="Comma 2 4 3 5 2 7" xfId="13701"/>
    <cellStyle name="Comma 2 4 3 5 2 8" xfId="13702"/>
    <cellStyle name="Comma 2 4 3 5 2 9" xfId="13703"/>
    <cellStyle name="Comma 2 4 3 5 3" xfId="13704"/>
    <cellStyle name="Comma 2 4 3 5 3 2" xfId="13705"/>
    <cellStyle name="Comma 2 4 3 5 3 2 2" xfId="13706"/>
    <cellStyle name="Comma 2 4 3 5 3 2 2 2" xfId="13707"/>
    <cellStyle name="Comma 2 4 3 5 3 2 2 3" xfId="13708"/>
    <cellStyle name="Comma 2 4 3 5 3 2 3" xfId="13709"/>
    <cellStyle name="Comma 2 4 3 5 3 2 4" xfId="13710"/>
    <cellStyle name="Comma 2 4 3 5 3 2 5" xfId="13711"/>
    <cellStyle name="Comma 2 4 3 5 3 2 6" xfId="13712"/>
    <cellStyle name="Comma 2 4 3 5 3 3" xfId="13713"/>
    <cellStyle name="Comma 2 4 3 5 3 3 2" xfId="13714"/>
    <cellStyle name="Comma 2 4 3 5 3 3 2 2" xfId="13715"/>
    <cellStyle name="Comma 2 4 3 5 3 3 3" xfId="13716"/>
    <cellStyle name="Comma 2 4 3 5 3 3 4" xfId="13717"/>
    <cellStyle name="Comma 2 4 3 5 3 3 5" xfId="13718"/>
    <cellStyle name="Comma 2 4 3 5 3 4" xfId="13719"/>
    <cellStyle name="Comma 2 4 3 5 3 4 2" xfId="13720"/>
    <cellStyle name="Comma 2 4 3 5 3 4 3" xfId="13721"/>
    <cellStyle name="Comma 2 4 3 5 3 4 4" xfId="13722"/>
    <cellStyle name="Comma 2 4 3 5 3 5" xfId="13723"/>
    <cellStyle name="Comma 2 4 3 5 3 5 2" xfId="13724"/>
    <cellStyle name="Comma 2 4 3 5 3 6" xfId="13725"/>
    <cellStyle name="Comma 2 4 3 5 3 7" xfId="13726"/>
    <cellStyle name="Comma 2 4 3 5 3 8" xfId="13727"/>
    <cellStyle name="Comma 2 4 3 5 3 9" xfId="13728"/>
    <cellStyle name="Comma 2 4 3 5 4" xfId="13729"/>
    <cellStyle name="Comma 2 4 3 5 4 2" xfId="13730"/>
    <cellStyle name="Comma 2 4 3 5 4 2 2" xfId="13731"/>
    <cellStyle name="Comma 2 4 3 5 4 2 3" xfId="13732"/>
    <cellStyle name="Comma 2 4 3 5 4 3" xfId="13733"/>
    <cellStyle name="Comma 2 4 3 5 4 4" xfId="13734"/>
    <cellStyle name="Comma 2 4 3 5 4 5" xfId="13735"/>
    <cellStyle name="Comma 2 4 3 5 4 6" xfId="13736"/>
    <cellStyle name="Comma 2 4 3 5 5" xfId="13737"/>
    <cellStyle name="Comma 2 4 3 5 5 2" xfId="13738"/>
    <cellStyle name="Comma 2 4 3 5 5 2 2" xfId="13739"/>
    <cellStyle name="Comma 2 4 3 5 5 3" xfId="13740"/>
    <cellStyle name="Comma 2 4 3 5 5 4" xfId="13741"/>
    <cellStyle name="Comma 2 4 3 5 5 5" xfId="13742"/>
    <cellStyle name="Comma 2 4 3 5 6" xfId="13743"/>
    <cellStyle name="Comma 2 4 3 5 6 2" xfId="13744"/>
    <cellStyle name="Comma 2 4 3 5 6 3" xfId="13745"/>
    <cellStyle name="Comma 2 4 3 5 6 4" xfId="13746"/>
    <cellStyle name="Comma 2 4 3 5 7" xfId="13747"/>
    <cellStyle name="Comma 2 4 3 5 7 2" xfId="13748"/>
    <cellStyle name="Comma 2 4 3 5 8" xfId="13749"/>
    <cellStyle name="Comma 2 4 3 5 9" xfId="13750"/>
    <cellStyle name="Comma 2 4 3 6" xfId="13751"/>
    <cellStyle name="Comma 2 4 3 6 10" xfId="13752"/>
    <cellStyle name="Comma 2 4 3 6 11" xfId="13753"/>
    <cellStyle name="Comma 2 4 3 6 2" xfId="13754"/>
    <cellStyle name="Comma 2 4 3 6 2 2" xfId="13755"/>
    <cellStyle name="Comma 2 4 3 6 2 2 2" xfId="13756"/>
    <cellStyle name="Comma 2 4 3 6 2 2 2 2" xfId="13757"/>
    <cellStyle name="Comma 2 4 3 6 2 2 2 3" xfId="13758"/>
    <cellStyle name="Comma 2 4 3 6 2 2 3" xfId="13759"/>
    <cellStyle name="Comma 2 4 3 6 2 2 4" xfId="13760"/>
    <cellStyle name="Comma 2 4 3 6 2 2 5" xfId="13761"/>
    <cellStyle name="Comma 2 4 3 6 2 2 6" xfId="13762"/>
    <cellStyle name="Comma 2 4 3 6 2 3" xfId="13763"/>
    <cellStyle name="Comma 2 4 3 6 2 3 2" xfId="13764"/>
    <cellStyle name="Comma 2 4 3 6 2 3 2 2" xfId="13765"/>
    <cellStyle name="Comma 2 4 3 6 2 3 3" xfId="13766"/>
    <cellStyle name="Comma 2 4 3 6 2 3 4" xfId="13767"/>
    <cellStyle name="Comma 2 4 3 6 2 3 5" xfId="13768"/>
    <cellStyle name="Comma 2 4 3 6 2 4" xfId="13769"/>
    <cellStyle name="Comma 2 4 3 6 2 4 2" xfId="13770"/>
    <cellStyle name="Comma 2 4 3 6 2 4 3" xfId="13771"/>
    <cellStyle name="Comma 2 4 3 6 2 4 4" xfId="13772"/>
    <cellStyle name="Comma 2 4 3 6 2 5" xfId="13773"/>
    <cellStyle name="Comma 2 4 3 6 2 5 2" xfId="13774"/>
    <cellStyle name="Comma 2 4 3 6 2 6" xfId="13775"/>
    <cellStyle name="Comma 2 4 3 6 2 7" xfId="13776"/>
    <cellStyle name="Comma 2 4 3 6 2 8" xfId="13777"/>
    <cellStyle name="Comma 2 4 3 6 2 9" xfId="13778"/>
    <cellStyle name="Comma 2 4 3 6 3" xfId="13779"/>
    <cellStyle name="Comma 2 4 3 6 3 2" xfId="13780"/>
    <cellStyle name="Comma 2 4 3 6 3 2 2" xfId="13781"/>
    <cellStyle name="Comma 2 4 3 6 3 2 2 2" xfId="13782"/>
    <cellStyle name="Comma 2 4 3 6 3 2 2 3" xfId="13783"/>
    <cellStyle name="Comma 2 4 3 6 3 2 3" xfId="13784"/>
    <cellStyle name="Comma 2 4 3 6 3 2 4" xfId="13785"/>
    <cellStyle name="Comma 2 4 3 6 3 2 5" xfId="13786"/>
    <cellStyle name="Comma 2 4 3 6 3 2 6" xfId="13787"/>
    <cellStyle name="Comma 2 4 3 6 3 3" xfId="13788"/>
    <cellStyle name="Comma 2 4 3 6 3 3 2" xfId="13789"/>
    <cellStyle name="Comma 2 4 3 6 3 3 2 2" xfId="13790"/>
    <cellStyle name="Comma 2 4 3 6 3 3 3" xfId="13791"/>
    <cellStyle name="Comma 2 4 3 6 3 3 4" xfId="13792"/>
    <cellStyle name="Comma 2 4 3 6 3 3 5" xfId="13793"/>
    <cellStyle name="Comma 2 4 3 6 3 4" xfId="13794"/>
    <cellStyle name="Comma 2 4 3 6 3 4 2" xfId="13795"/>
    <cellStyle name="Comma 2 4 3 6 3 4 3" xfId="13796"/>
    <cellStyle name="Comma 2 4 3 6 3 4 4" xfId="13797"/>
    <cellStyle name="Comma 2 4 3 6 3 5" xfId="13798"/>
    <cellStyle name="Comma 2 4 3 6 3 5 2" xfId="13799"/>
    <cellStyle name="Comma 2 4 3 6 3 6" xfId="13800"/>
    <cellStyle name="Comma 2 4 3 6 3 7" xfId="13801"/>
    <cellStyle name="Comma 2 4 3 6 3 8" xfId="13802"/>
    <cellStyle name="Comma 2 4 3 6 3 9" xfId="13803"/>
    <cellStyle name="Comma 2 4 3 6 4" xfId="13804"/>
    <cellStyle name="Comma 2 4 3 6 4 2" xfId="13805"/>
    <cellStyle name="Comma 2 4 3 6 4 2 2" xfId="13806"/>
    <cellStyle name="Comma 2 4 3 6 4 2 3" xfId="13807"/>
    <cellStyle name="Comma 2 4 3 6 4 3" xfId="13808"/>
    <cellStyle name="Comma 2 4 3 6 4 4" xfId="13809"/>
    <cellStyle name="Comma 2 4 3 6 4 5" xfId="13810"/>
    <cellStyle name="Comma 2 4 3 6 4 6" xfId="13811"/>
    <cellStyle name="Comma 2 4 3 6 5" xfId="13812"/>
    <cellStyle name="Comma 2 4 3 6 5 2" xfId="13813"/>
    <cellStyle name="Comma 2 4 3 6 5 2 2" xfId="13814"/>
    <cellStyle name="Comma 2 4 3 6 5 3" xfId="13815"/>
    <cellStyle name="Comma 2 4 3 6 5 4" xfId="13816"/>
    <cellStyle name="Comma 2 4 3 6 5 5" xfId="13817"/>
    <cellStyle name="Comma 2 4 3 6 6" xfId="13818"/>
    <cellStyle name="Comma 2 4 3 6 6 2" xfId="13819"/>
    <cellStyle name="Comma 2 4 3 6 6 3" xfId="13820"/>
    <cellStyle name="Comma 2 4 3 6 6 4" xfId="13821"/>
    <cellStyle name="Comma 2 4 3 6 7" xfId="13822"/>
    <cellStyle name="Comma 2 4 3 6 7 2" xfId="13823"/>
    <cellStyle name="Comma 2 4 3 6 8" xfId="13824"/>
    <cellStyle name="Comma 2 4 3 6 9" xfId="13825"/>
    <cellStyle name="Comma 2 4 3 7" xfId="13826"/>
    <cellStyle name="Comma 2 4 3 7 10" xfId="13827"/>
    <cellStyle name="Comma 2 4 3 7 11" xfId="13828"/>
    <cellStyle name="Comma 2 4 3 7 2" xfId="13829"/>
    <cellStyle name="Comma 2 4 3 7 2 2" xfId="13830"/>
    <cellStyle name="Comma 2 4 3 7 2 2 2" xfId="13831"/>
    <cellStyle name="Comma 2 4 3 7 2 2 2 2" xfId="13832"/>
    <cellStyle name="Comma 2 4 3 7 2 2 2 3" xfId="13833"/>
    <cellStyle name="Comma 2 4 3 7 2 2 3" xfId="13834"/>
    <cellStyle name="Comma 2 4 3 7 2 2 4" xfId="13835"/>
    <cellStyle name="Comma 2 4 3 7 2 2 5" xfId="13836"/>
    <cellStyle name="Comma 2 4 3 7 2 2 6" xfId="13837"/>
    <cellStyle name="Comma 2 4 3 7 2 3" xfId="13838"/>
    <cellStyle name="Comma 2 4 3 7 2 3 2" xfId="13839"/>
    <cellStyle name="Comma 2 4 3 7 2 3 2 2" xfId="13840"/>
    <cellStyle name="Comma 2 4 3 7 2 3 3" xfId="13841"/>
    <cellStyle name="Comma 2 4 3 7 2 3 4" xfId="13842"/>
    <cellStyle name="Comma 2 4 3 7 2 3 5" xfId="13843"/>
    <cellStyle name="Comma 2 4 3 7 2 4" xfId="13844"/>
    <cellStyle name="Comma 2 4 3 7 2 4 2" xfId="13845"/>
    <cellStyle name="Comma 2 4 3 7 2 4 3" xfId="13846"/>
    <cellStyle name="Comma 2 4 3 7 2 4 4" xfId="13847"/>
    <cellStyle name="Comma 2 4 3 7 2 5" xfId="13848"/>
    <cellStyle name="Comma 2 4 3 7 2 5 2" xfId="13849"/>
    <cellStyle name="Comma 2 4 3 7 2 6" xfId="13850"/>
    <cellStyle name="Comma 2 4 3 7 2 7" xfId="13851"/>
    <cellStyle name="Comma 2 4 3 7 2 8" xfId="13852"/>
    <cellStyle name="Comma 2 4 3 7 2 9" xfId="13853"/>
    <cellStyle name="Comma 2 4 3 7 3" xfId="13854"/>
    <cellStyle name="Comma 2 4 3 7 3 2" xfId="13855"/>
    <cellStyle name="Comma 2 4 3 7 3 2 2" xfId="13856"/>
    <cellStyle name="Comma 2 4 3 7 3 2 2 2" xfId="13857"/>
    <cellStyle name="Comma 2 4 3 7 3 2 2 3" xfId="13858"/>
    <cellStyle name="Comma 2 4 3 7 3 2 3" xfId="13859"/>
    <cellStyle name="Comma 2 4 3 7 3 2 4" xfId="13860"/>
    <cellStyle name="Comma 2 4 3 7 3 2 5" xfId="13861"/>
    <cellStyle name="Comma 2 4 3 7 3 2 6" xfId="13862"/>
    <cellStyle name="Comma 2 4 3 7 3 3" xfId="13863"/>
    <cellStyle name="Comma 2 4 3 7 3 3 2" xfId="13864"/>
    <cellStyle name="Comma 2 4 3 7 3 3 2 2" xfId="13865"/>
    <cellStyle name="Comma 2 4 3 7 3 3 3" xfId="13866"/>
    <cellStyle name="Comma 2 4 3 7 3 3 4" xfId="13867"/>
    <cellStyle name="Comma 2 4 3 7 3 3 5" xfId="13868"/>
    <cellStyle name="Comma 2 4 3 7 3 4" xfId="13869"/>
    <cellStyle name="Comma 2 4 3 7 3 4 2" xfId="13870"/>
    <cellStyle name="Comma 2 4 3 7 3 4 3" xfId="13871"/>
    <cellStyle name="Comma 2 4 3 7 3 4 4" xfId="13872"/>
    <cellStyle name="Comma 2 4 3 7 3 5" xfId="13873"/>
    <cellStyle name="Comma 2 4 3 7 3 5 2" xfId="13874"/>
    <cellStyle name="Comma 2 4 3 7 3 6" xfId="13875"/>
    <cellStyle name="Comma 2 4 3 7 3 7" xfId="13876"/>
    <cellStyle name="Comma 2 4 3 7 3 8" xfId="13877"/>
    <cellStyle name="Comma 2 4 3 7 3 9" xfId="13878"/>
    <cellStyle name="Comma 2 4 3 7 4" xfId="13879"/>
    <cellStyle name="Comma 2 4 3 7 4 2" xfId="13880"/>
    <cellStyle name="Comma 2 4 3 7 4 2 2" xfId="13881"/>
    <cellStyle name="Comma 2 4 3 7 4 2 3" xfId="13882"/>
    <cellStyle name="Comma 2 4 3 7 4 3" xfId="13883"/>
    <cellStyle name="Comma 2 4 3 7 4 4" xfId="13884"/>
    <cellStyle name="Comma 2 4 3 7 4 5" xfId="13885"/>
    <cellStyle name="Comma 2 4 3 7 4 6" xfId="13886"/>
    <cellStyle name="Comma 2 4 3 7 5" xfId="13887"/>
    <cellStyle name="Comma 2 4 3 7 5 2" xfId="13888"/>
    <cellStyle name="Comma 2 4 3 7 5 2 2" xfId="13889"/>
    <cellStyle name="Comma 2 4 3 7 5 3" xfId="13890"/>
    <cellStyle name="Comma 2 4 3 7 5 4" xfId="13891"/>
    <cellStyle name="Comma 2 4 3 7 5 5" xfId="13892"/>
    <cellStyle name="Comma 2 4 3 7 6" xfId="13893"/>
    <cellStyle name="Comma 2 4 3 7 6 2" xfId="13894"/>
    <cellStyle name="Comma 2 4 3 7 6 3" xfId="13895"/>
    <cellStyle name="Comma 2 4 3 7 6 4" xfId="13896"/>
    <cellStyle name="Comma 2 4 3 7 7" xfId="13897"/>
    <cellStyle name="Comma 2 4 3 7 7 2" xfId="13898"/>
    <cellStyle name="Comma 2 4 3 7 8" xfId="13899"/>
    <cellStyle name="Comma 2 4 3 7 9" xfId="13900"/>
    <cellStyle name="Comma 2 4 3 8" xfId="13901"/>
    <cellStyle name="Comma 2 4 3 8 10" xfId="13902"/>
    <cellStyle name="Comma 2 4 3 8 2" xfId="13903"/>
    <cellStyle name="Comma 2 4 3 8 2 2" xfId="13904"/>
    <cellStyle name="Comma 2 4 3 8 2 2 2" xfId="13905"/>
    <cellStyle name="Comma 2 4 3 8 2 2 3" xfId="13906"/>
    <cellStyle name="Comma 2 4 3 8 2 3" xfId="13907"/>
    <cellStyle name="Comma 2 4 3 8 2 4" xfId="13908"/>
    <cellStyle name="Comma 2 4 3 8 2 5" xfId="13909"/>
    <cellStyle name="Comma 2 4 3 8 2 6" xfId="13910"/>
    <cellStyle name="Comma 2 4 3 8 3" xfId="13911"/>
    <cellStyle name="Comma 2 4 3 8 3 2" xfId="13912"/>
    <cellStyle name="Comma 2 4 3 8 3 2 2" xfId="13913"/>
    <cellStyle name="Comma 2 4 3 8 3 2 3" xfId="13914"/>
    <cellStyle name="Comma 2 4 3 8 3 3" xfId="13915"/>
    <cellStyle name="Comma 2 4 3 8 3 4" xfId="13916"/>
    <cellStyle name="Comma 2 4 3 8 3 5" xfId="13917"/>
    <cellStyle name="Comma 2 4 3 8 3 6" xfId="13918"/>
    <cellStyle name="Comma 2 4 3 8 4" xfId="13919"/>
    <cellStyle name="Comma 2 4 3 8 4 2" xfId="13920"/>
    <cellStyle name="Comma 2 4 3 8 4 2 2" xfId="13921"/>
    <cellStyle name="Comma 2 4 3 8 4 3" xfId="13922"/>
    <cellStyle name="Comma 2 4 3 8 4 4" xfId="13923"/>
    <cellStyle name="Comma 2 4 3 8 4 5" xfId="13924"/>
    <cellStyle name="Comma 2 4 3 8 5" xfId="13925"/>
    <cellStyle name="Comma 2 4 3 8 5 2" xfId="13926"/>
    <cellStyle name="Comma 2 4 3 8 5 3" xfId="13927"/>
    <cellStyle name="Comma 2 4 3 8 5 4" xfId="13928"/>
    <cellStyle name="Comma 2 4 3 8 6" xfId="13929"/>
    <cellStyle name="Comma 2 4 3 8 6 2" xfId="13930"/>
    <cellStyle name="Comma 2 4 3 8 7" xfId="13931"/>
    <cellStyle name="Comma 2 4 3 8 8" xfId="13932"/>
    <cellStyle name="Comma 2 4 3 8 9" xfId="13933"/>
    <cellStyle name="Comma 2 4 3 9" xfId="13934"/>
    <cellStyle name="Comma 2 4 3 9 10" xfId="13935"/>
    <cellStyle name="Comma 2 4 3 9 2" xfId="13936"/>
    <cellStyle name="Comma 2 4 3 9 2 2" xfId="13937"/>
    <cellStyle name="Comma 2 4 3 9 2 2 2" xfId="13938"/>
    <cellStyle name="Comma 2 4 3 9 2 2 3" xfId="13939"/>
    <cellStyle name="Comma 2 4 3 9 2 3" xfId="13940"/>
    <cellStyle name="Comma 2 4 3 9 2 4" xfId="13941"/>
    <cellStyle name="Comma 2 4 3 9 2 5" xfId="13942"/>
    <cellStyle name="Comma 2 4 3 9 2 6" xfId="13943"/>
    <cellStyle name="Comma 2 4 3 9 3" xfId="13944"/>
    <cellStyle name="Comma 2 4 3 9 3 2" xfId="13945"/>
    <cellStyle name="Comma 2 4 3 9 3 2 2" xfId="13946"/>
    <cellStyle name="Comma 2 4 3 9 3 2 3" xfId="13947"/>
    <cellStyle name="Comma 2 4 3 9 3 3" xfId="13948"/>
    <cellStyle name="Comma 2 4 3 9 3 4" xfId="13949"/>
    <cellStyle name="Comma 2 4 3 9 3 5" xfId="13950"/>
    <cellStyle name="Comma 2 4 3 9 3 6" xfId="13951"/>
    <cellStyle name="Comma 2 4 3 9 4" xfId="13952"/>
    <cellStyle name="Comma 2 4 3 9 4 2" xfId="13953"/>
    <cellStyle name="Comma 2 4 3 9 4 2 2" xfId="13954"/>
    <cellStyle name="Comma 2 4 3 9 4 3" xfId="13955"/>
    <cellStyle name="Comma 2 4 3 9 4 4" xfId="13956"/>
    <cellStyle name="Comma 2 4 3 9 4 5" xfId="13957"/>
    <cellStyle name="Comma 2 4 3 9 5" xfId="13958"/>
    <cellStyle name="Comma 2 4 3 9 5 2" xfId="13959"/>
    <cellStyle name="Comma 2 4 3 9 5 3" xfId="13960"/>
    <cellStyle name="Comma 2 4 3 9 5 4" xfId="13961"/>
    <cellStyle name="Comma 2 4 3 9 6" xfId="13962"/>
    <cellStyle name="Comma 2 4 3 9 6 2" xfId="13963"/>
    <cellStyle name="Comma 2 4 3 9 7" xfId="13964"/>
    <cellStyle name="Comma 2 4 3 9 8" xfId="13965"/>
    <cellStyle name="Comma 2 4 3 9 9" xfId="13966"/>
    <cellStyle name="Comma 2 4 30" xfId="13967"/>
    <cellStyle name="Comma 2 4 30 2" xfId="13968"/>
    <cellStyle name="Comma 2 4 30 2 2" xfId="13969"/>
    <cellStyle name="Comma 2 4 30 2 2 2" xfId="13970"/>
    <cellStyle name="Comma 2 4 30 2 2 3" xfId="13971"/>
    <cellStyle name="Comma 2 4 30 2 3" xfId="13972"/>
    <cellStyle name="Comma 2 4 30 2 4" xfId="13973"/>
    <cellStyle name="Comma 2 4 30 2 5" xfId="13974"/>
    <cellStyle name="Comma 2 4 30 2 6" xfId="13975"/>
    <cellStyle name="Comma 2 4 30 3" xfId="13976"/>
    <cellStyle name="Comma 2 4 30 3 2" xfId="13977"/>
    <cellStyle name="Comma 2 4 30 3 2 2" xfId="13978"/>
    <cellStyle name="Comma 2 4 30 3 3" xfId="13979"/>
    <cellStyle name="Comma 2 4 30 3 4" xfId="13980"/>
    <cellStyle name="Comma 2 4 30 3 5" xfId="13981"/>
    <cellStyle name="Comma 2 4 30 4" xfId="13982"/>
    <cellStyle name="Comma 2 4 30 4 2" xfId="13983"/>
    <cellStyle name="Comma 2 4 30 4 3" xfId="13984"/>
    <cellStyle name="Comma 2 4 30 4 4" xfId="13985"/>
    <cellStyle name="Comma 2 4 30 5" xfId="13986"/>
    <cellStyle name="Comma 2 4 30 5 2" xfId="13987"/>
    <cellStyle name="Comma 2 4 30 6" xfId="13988"/>
    <cellStyle name="Comma 2 4 30 7" xfId="13989"/>
    <cellStyle name="Comma 2 4 30 8" xfId="13990"/>
    <cellStyle name="Comma 2 4 30 9" xfId="13991"/>
    <cellStyle name="Comma 2 4 31" xfId="13992"/>
    <cellStyle name="Comma 2 4 31 2" xfId="13993"/>
    <cellStyle name="Comma 2 4 31 2 2" xfId="13994"/>
    <cellStyle name="Comma 2 4 31 2 3" xfId="13995"/>
    <cellStyle name="Comma 2 4 31 3" xfId="13996"/>
    <cellStyle name="Comma 2 4 31 4" xfId="13997"/>
    <cellStyle name="Comma 2 4 31 5" xfId="13998"/>
    <cellStyle name="Comma 2 4 31 6" xfId="13999"/>
    <cellStyle name="Comma 2 4 32" xfId="14000"/>
    <cellStyle name="Comma 2 4 32 2" xfId="14001"/>
    <cellStyle name="Comma 2 4 32 2 2" xfId="14002"/>
    <cellStyle name="Comma 2 4 32 3" xfId="14003"/>
    <cellStyle name="Comma 2 4 32 4" xfId="14004"/>
    <cellStyle name="Comma 2 4 32 5" xfId="14005"/>
    <cellStyle name="Comma 2 4 33" xfId="14006"/>
    <cellStyle name="Comma 2 4 33 2" xfId="14007"/>
    <cellStyle name="Comma 2 4 33 2 2" xfId="14008"/>
    <cellStyle name="Comma 2 4 33 3" xfId="14009"/>
    <cellStyle name="Comma 2 4 33 4" xfId="14010"/>
    <cellStyle name="Comma 2 4 33 5" xfId="14011"/>
    <cellStyle name="Comma 2 4 34" xfId="14012"/>
    <cellStyle name="Comma 2 4 34 2" xfId="14013"/>
    <cellStyle name="Comma 2 4 35" xfId="14014"/>
    <cellStyle name="Comma 2 4 36" xfId="14015"/>
    <cellStyle name="Comma 2 4 37" xfId="14016"/>
    <cellStyle name="Comma 2 4 38" xfId="14017"/>
    <cellStyle name="Comma 2 4 4" xfId="14018"/>
    <cellStyle name="Comma 2 4 4 10" xfId="14019"/>
    <cellStyle name="Comma 2 4 4 11" xfId="14020"/>
    <cellStyle name="Comma 2 4 4 2" xfId="14021"/>
    <cellStyle name="Comma 2 4 4 2 2" xfId="14022"/>
    <cellStyle name="Comma 2 4 4 2 2 2" xfId="14023"/>
    <cellStyle name="Comma 2 4 4 2 2 2 2" xfId="14024"/>
    <cellStyle name="Comma 2 4 4 2 2 2 3" xfId="14025"/>
    <cellStyle name="Comma 2 4 4 2 2 3" xfId="14026"/>
    <cellStyle name="Comma 2 4 4 2 2 4" xfId="14027"/>
    <cellStyle name="Comma 2 4 4 2 2 5" xfId="14028"/>
    <cellStyle name="Comma 2 4 4 2 2 6" xfId="14029"/>
    <cellStyle name="Comma 2 4 4 2 3" xfId="14030"/>
    <cellStyle name="Comma 2 4 4 2 3 2" xfId="14031"/>
    <cellStyle name="Comma 2 4 4 2 3 2 2" xfId="14032"/>
    <cellStyle name="Comma 2 4 4 2 3 3" xfId="14033"/>
    <cellStyle name="Comma 2 4 4 2 3 4" xfId="14034"/>
    <cellStyle name="Comma 2 4 4 2 3 5" xfId="14035"/>
    <cellStyle name="Comma 2 4 4 2 4" xfId="14036"/>
    <cellStyle name="Comma 2 4 4 2 4 2" xfId="14037"/>
    <cellStyle name="Comma 2 4 4 2 4 3" xfId="14038"/>
    <cellStyle name="Comma 2 4 4 2 4 4" xfId="14039"/>
    <cellStyle name="Comma 2 4 4 2 5" xfId="14040"/>
    <cellStyle name="Comma 2 4 4 2 5 2" xfId="14041"/>
    <cellStyle name="Comma 2 4 4 2 6" xfId="14042"/>
    <cellStyle name="Comma 2 4 4 2 7" xfId="14043"/>
    <cellStyle name="Comma 2 4 4 2 8" xfId="14044"/>
    <cellStyle name="Comma 2 4 4 2 9" xfId="14045"/>
    <cellStyle name="Comma 2 4 4 3" xfId="14046"/>
    <cellStyle name="Comma 2 4 4 3 2" xfId="14047"/>
    <cellStyle name="Comma 2 4 4 3 2 2" xfId="14048"/>
    <cellStyle name="Comma 2 4 4 3 2 2 2" xfId="14049"/>
    <cellStyle name="Comma 2 4 4 3 2 2 3" xfId="14050"/>
    <cellStyle name="Comma 2 4 4 3 2 3" xfId="14051"/>
    <cellStyle name="Comma 2 4 4 3 2 4" xfId="14052"/>
    <cellStyle name="Comma 2 4 4 3 2 5" xfId="14053"/>
    <cellStyle name="Comma 2 4 4 3 2 6" xfId="14054"/>
    <cellStyle name="Comma 2 4 4 3 3" xfId="14055"/>
    <cellStyle name="Comma 2 4 4 3 3 2" xfId="14056"/>
    <cellStyle name="Comma 2 4 4 3 3 2 2" xfId="14057"/>
    <cellStyle name="Comma 2 4 4 3 3 3" xfId="14058"/>
    <cellStyle name="Comma 2 4 4 3 3 4" xfId="14059"/>
    <cellStyle name="Comma 2 4 4 3 3 5" xfId="14060"/>
    <cellStyle name="Comma 2 4 4 3 4" xfId="14061"/>
    <cellStyle name="Comma 2 4 4 3 4 2" xfId="14062"/>
    <cellStyle name="Comma 2 4 4 3 4 3" xfId="14063"/>
    <cellStyle name="Comma 2 4 4 3 4 4" xfId="14064"/>
    <cellStyle name="Comma 2 4 4 3 5" xfId="14065"/>
    <cellStyle name="Comma 2 4 4 3 5 2" xfId="14066"/>
    <cellStyle name="Comma 2 4 4 3 6" xfId="14067"/>
    <cellStyle name="Comma 2 4 4 3 7" xfId="14068"/>
    <cellStyle name="Comma 2 4 4 3 8" xfId="14069"/>
    <cellStyle name="Comma 2 4 4 3 9" xfId="14070"/>
    <cellStyle name="Comma 2 4 4 4" xfId="14071"/>
    <cellStyle name="Comma 2 4 4 4 2" xfId="14072"/>
    <cellStyle name="Comma 2 4 4 4 2 2" xfId="14073"/>
    <cellStyle name="Comma 2 4 4 4 2 3" xfId="14074"/>
    <cellStyle name="Comma 2 4 4 4 3" xfId="14075"/>
    <cellStyle name="Comma 2 4 4 4 4" xfId="14076"/>
    <cellStyle name="Comma 2 4 4 4 5" xfId="14077"/>
    <cellStyle name="Comma 2 4 4 4 6" xfId="14078"/>
    <cellStyle name="Comma 2 4 4 5" xfId="14079"/>
    <cellStyle name="Comma 2 4 4 5 2" xfId="14080"/>
    <cellStyle name="Comma 2 4 4 5 2 2" xfId="14081"/>
    <cellStyle name="Comma 2 4 4 5 3" xfId="14082"/>
    <cellStyle name="Comma 2 4 4 5 4" xfId="14083"/>
    <cellStyle name="Comma 2 4 4 5 5" xfId="14084"/>
    <cellStyle name="Comma 2 4 4 6" xfId="14085"/>
    <cellStyle name="Comma 2 4 4 6 2" xfId="14086"/>
    <cellStyle name="Comma 2 4 4 6 3" xfId="14087"/>
    <cellStyle name="Comma 2 4 4 6 4" xfId="14088"/>
    <cellStyle name="Comma 2 4 4 7" xfId="14089"/>
    <cellStyle name="Comma 2 4 4 7 2" xfId="14090"/>
    <cellStyle name="Comma 2 4 4 8" xfId="14091"/>
    <cellStyle name="Comma 2 4 4 9" xfId="14092"/>
    <cellStyle name="Comma 2 4 5" xfId="14093"/>
    <cellStyle name="Comma 2 4 5 10" xfId="14094"/>
    <cellStyle name="Comma 2 4 5 11" xfId="14095"/>
    <cellStyle name="Comma 2 4 5 2" xfId="14096"/>
    <cellStyle name="Comma 2 4 5 2 2" xfId="14097"/>
    <cellStyle name="Comma 2 4 5 2 2 2" xfId="14098"/>
    <cellStyle name="Comma 2 4 5 2 2 2 2" xfId="14099"/>
    <cellStyle name="Comma 2 4 5 2 2 2 3" xfId="14100"/>
    <cellStyle name="Comma 2 4 5 2 2 3" xfId="14101"/>
    <cellStyle name="Comma 2 4 5 2 2 4" xfId="14102"/>
    <cellStyle name="Comma 2 4 5 2 2 5" xfId="14103"/>
    <cellStyle name="Comma 2 4 5 2 2 6" xfId="14104"/>
    <cellStyle name="Comma 2 4 5 2 3" xfId="14105"/>
    <cellStyle name="Comma 2 4 5 2 3 2" xfId="14106"/>
    <cellStyle name="Comma 2 4 5 2 3 2 2" xfId="14107"/>
    <cellStyle name="Comma 2 4 5 2 3 3" xfId="14108"/>
    <cellStyle name="Comma 2 4 5 2 3 4" xfId="14109"/>
    <cellStyle name="Comma 2 4 5 2 3 5" xfId="14110"/>
    <cellStyle name="Comma 2 4 5 2 4" xfId="14111"/>
    <cellStyle name="Comma 2 4 5 2 4 2" xfId="14112"/>
    <cellStyle name="Comma 2 4 5 2 4 3" xfId="14113"/>
    <cellStyle name="Comma 2 4 5 2 4 4" xfId="14114"/>
    <cellStyle name="Comma 2 4 5 2 5" xfId="14115"/>
    <cellStyle name="Comma 2 4 5 2 5 2" xfId="14116"/>
    <cellStyle name="Comma 2 4 5 2 6" xfId="14117"/>
    <cellStyle name="Comma 2 4 5 2 7" xfId="14118"/>
    <cellStyle name="Comma 2 4 5 2 8" xfId="14119"/>
    <cellStyle name="Comma 2 4 5 2 9" xfId="14120"/>
    <cellStyle name="Comma 2 4 5 3" xfId="14121"/>
    <cellStyle name="Comma 2 4 5 3 2" xfId="14122"/>
    <cellStyle name="Comma 2 4 5 3 2 2" xfId="14123"/>
    <cellStyle name="Comma 2 4 5 3 2 2 2" xfId="14124"/>
    <cellStyle name="Comma 2 4 5 3 2 2 3" xfId="14125"/>
    <cellStyle name="Comma 2 4 5 3 2 3" xfId="14126"/>
    <cellStyle name="Comma 2 4 5 3 2 4" xfId="14127"/>
    <cellStyle name="Comma 2 4 5 3 2 5" xfId="14128"/>
    <cellStyle name="Comma 2 4 5 3 2 6" xfId="14129"/>
    <cellStyle name="Comma 2 4 5 3 3" xfId="14130"/>
    <cellStyle name="Comma 2 4 5 3 3 2" xfId="14131"/>
    <cellStyle name="Comma 2 4 5 3 3 2 2" xfId="14132"/>
    <cellStyle name="Comma 2 4 5 3 3 3" xfId="14133"/>
    <cellStyle name="Comma 2 4 5 3 3 4" xfId="14134"/>
    <cellStyle name="Comma 2 4 5 3 3 5" xfId="14135"/>
    <cellStyle name="Comma 2 4 5 3 4" xfId="14136"/>
    <cellStyle name="Comma 2 4 5 3 4 2" xfId="14137"/>
    <cellStyle name="Comma 2 4 5 3 4 3" xfId="14138"/>
    <cellStyle name="Comma 2 4 5 3 4 4" xfId="14139"/>
    <cellStyle name="Comma 2 4 5 3 5" xfId="14140"/>
    <cellStyle name="Comma 2 4 5 3 5 2" xfId="14141"/>
    <cellStyle name="Comma 2 4 5 3 6" xfId="14142"/>
    <cellStyle name="Comma 2 4 5 3 7" xfId="14143"/>
    <cellStyle name="Comma 2 4 5 3 8" xfId="14144"/>
    <cellStyle name="Comma 2 4 5 3 9" xfId="14145"/>
    <cellStyle name="Comma 2 4 5 4" xfId="14146"/>
    <cellStyle name="Comma 2 4 5 4 2" xfId="14147"/>
    <cellStyle name="Comma 2 4 5 4 2 2" xfId="14148"/>
    <cellStyle name="Comma 2 4 5 4 2 3" xfId="14149"/>
    <cellStyle name="Comma 2 4 5 4 3" xfId="14150"/>
    <cellStyle name="Comma 2 4 5 4 4" xfId="14151"/>
    <cellStyle name="Comma 2 4 5 4 5" xfId="14152"/>
    <cellStyle name="Comma 2 4 5 4 6" xfId="14153"/>
    <cellStyle name="Comma 2 4 5 5" xfId="14154"/>
    <cellStyle name="Comma 2 4 5 5 2" xfId="14155"/>
    <cellStyle name="Comma 2 4 5 5 2 2" xfId="14156"/>
    <cellStyle name="Comma 2 4 5 5 3" xfId="14157"/>
    <cellStyle name="Comma 2 4 5 5 4" xfId="14158"/>
    <cellStyle name="Comma 2 4 5 5 5" xfId="14159"/>
    <cellStyle name="Comma 2 4 5 6" xfId="14160"/>
    <cellStyle name="Comma 2 4 5 6 2" xfId="14161"/>
    <cellStyle name="Comma 2 4 5 6 3" xfId="14162"/>
    <cellStyle name="Comma 2 4 5 6 4" xfId="14163"/>
    <cellStyle name="Comma 2 4 5 7" xfId="14164"/>
    <cellStyle name="Comma 2 4 5 7 2" xfId="14165"/>
    <cellStyle name="Comma 2 4 5 8" xfId="14166"/>
    <cellStyle name="Comma 2 4 5 9" xfId="14167"/>
    <cellStyle name="Comma 2 4 6" xfId="14168"/>
    <cellStyle name="Comma 2 4 6 10" xfId="14169"/>
    <cellStyle name="Comma 2 4 6 11" xfId="14170"/>
    <cellStyle name="Comma 2 4 6 2" xfId="14171"/>
    <cellStyle name="Comma 2 4 6 2 2" xfId="14172"/>
    <cellStyle name="Comma 2 4 6 2 2 2" xfId="14173"/>
    <cellStyle name="Comma 2 4 6 2 2 2 2" xfId="14174"/>
    <cellStyle name="Comma 2 4 6 2 2 2 3" xfId="14175"/>
    <cellStyle name="Comma 2 4 6 2 2 3" xfId="14176"/>
    <cellStyle name="Comma 2 4 6 2 2 4" xfId="14177"/>
    <cellStyle name="Comma 2 4 6 2 2 5" xfId="14178"/>
    <cellStyle name="Comma 2 4 6 2 2 6" xfId="14179"/>
    <cellStyle name="Comma 2 4 6 2 3" xfId="14180"/>
    <cellStyle name="Comma 2 4 6 2 3 2" xfId="14181"/>
    <cellStyle name="Comma 2 4 6 2 3 2 2" xfId="14182"/>
    <cellStyle name="Comma 2 4 6 2 3 3" xfId="14183"/>
    <cellStyle name="Comma 2 4 6 2 3 4" xfId="14184"/>
    <cellStyle name="Comma 2 4 6 2 3 5" xfId="14185"/>
    <cellStyle name="Comma 2 4 6 2 4" xfId="14186"/>
    <cellStyle name="Comma 2 4 6 2 4 2" xfId="14187"/>
    <cellStyle name="Comma 2 4 6 2 4 3" xfId="14188"/>
    <cellStyle name="Comma 2 4 6 2 4 4" xfId="14189"/>
    <cellStyle name="Comma 2 4 6 2 5" xfId="14190"/>
    <cellStyle name="Comma 2 4 6 2 5 2" xfId="14191"/>
    <cellStyle name="Comma 2 4 6 2 6" xfId="14192"/>
    <cellStyle name="Comma 2 4 6 2 7" xfId="14193"/>
    <cellStyle name="Comma 2 4 6 2 8" xfId="14194"/>
    <cellStyle name="Comma 2 4 6 2 9" xfId="14195"/>
    <cellStyle name="Comma 2 4 6 3" xfId="14196"/>
    <cellStyle name="Comma 2 4 6 3 2" xfId="14197"/>
    <cellStyle name="Comma 2 4 6 3 2 2" xfId="14198"/>
    <cellStyle name="Comma 2 4 6 3 2 2 2" xfId="14199"/>
    <cellStyle name="Comma 2 4 6 3 2 2 3" xfId="14200"/>
    <cellStyle name="Comma 2 4 6 3 2 3" xfId="14201"/>
    <cellStyle name="Comma 2 4 6 3 2 4" xfId="14202"/>
    <cellStyle name="Comma 2 4 6 3 2 5" xfId="14203"/>
    <cellStyle name="Comma 2 4 6 3 2 6" xfId="14204"/>
    <cellStyle name="Comma 2 4 6 3 3" xfId="14205"/>
    <cellStyle name="Comma 2 4 6 3 3 2" xfId="14206"/>
    <cellStyle name="Comma 2 4 6 3 3 2 2" xfId="14207"/>
    <cellStyle name="Comma 2 4 6 3 3 3" xfId="14208"/>
    <cellStyle name="Comma 2 4 6 3 3 4" xfId="14209"/>
    <cellStyle name="Comma 2 4 6 3 3 5" xfId="14210"/>
    <cellStyle name="Comma 2 4 6 3 4" xfId="14211"/>
    <cellStyle name="Comma 2 4 6 3 4 2" xfId="14212"/>
    <cellStyle name="Comma 2 4 6 3 4 3" xfId="14213"/>
    <cellStyle name="Comma 2 4 6 3 4 4" xfId="14214"/>
    <cellStyle name="Comma 2 4 6 3 5" xfId="14215"/>
    <cellStyle name="Comma 2 4 6 3 5 2" xfId="14216"/>
    <cellStyle name="Comma 2 4 6 3 6" xfId="14217"/>
    <cellStyle name="Comma 2 4 6 3 7" xfId="14218"/>
    <cellStyle name="Comma 2 4 6 3 8" xfId="14219"/>
    <cellStyle name="Comma 2 4 6 3 9" xfId="14220"/>
    <cellStyle name="Comma 2 4 6 4" xfId="14221"/>
    <cellStyle name="Comma 2 4 6 4 2" xfId="14222"/>
    <cellStyle name="Comma 2 4 6 4 2 2" xfId="14223"/>
    <cellStyle name="Comma 2 4 6 4 2 3" xfId="14224"/>
    <cellStyle name="Comma 2 4 6 4 3" xfId="14225"/>
    <cellStyle name="Comma 2 4 6 4 4" xfId="14226"/>
    <cellStyle name="Comma 2 4 6 4 5" xfId="14227"/>
    <cellStyle name="Comma 2 4 6 4 6" xfId="14228"/>
    <cellStyle name="Comma 2 4 6 5" xfId="14229"/>
    <cellStyle name="Comma 2 4 6 5 2" xfId="14230"/>
    <cellStyle name="Comma 2 4 6 5 2 2" xfId="14231"/>
    <cellStyle name="Comma 2 4 6 5 3" xfId="14232"/>
    <cellStyle name="Comma 2 4 6 5 4" xfId="14233"/>
    <cellStyle name="Comma 2 4 6 5 5" xfId="14234"/>
    <cellStyle name="Comma 2 4 6 6" xfId="14235"/>
    <cellStyle name="Comma 2 4 6 6 2" xfId="14236"/>
    <cellStyle name="Comma 2 4 6 6 3" xfId="14237"/>
    <cellStyle name="Comma 2 4 6 6 4" xfId="14238"/>
    <cellStyle name="Comma 2 4 6 7" xfId="14239"/>
    <cellStyle name="Comma 2 4 6 7 2" xfId="14240"/>
    <cellStyle name="Comma 2 4 6 8" xfId="14241"/>
    <cellStyle name="Comma 2 4 6 9" xfId="14242"/>
    <cellStyle name="Comma 2 4 7" xfId="14243"/>
    <cellStyle name="Comma 2 4 7 10" xfId="14244"/>
    <cellStyle name="Comma 2 4 7 11" xfId="14245"/>
    <cellStyle name="Comma 2 4 7 2" xfId="14246"/>
    <cellStyle name="Comma 2 4 7 2 2" xfId="14247"/>
    <cellStyle name="Comma 2 4 7 2 2 2" xfId="14248"/>
    <cellStyle name="Comma 2 4 7 2 2 2 2" xfId="14249"/>
    <cellStyle name="Comma 2 4 7 2 2 2 3" xfId="14250"/>
    <cellStyle name="Comma 2 4 7 2 2 3" xfId="14251"/>
    <cellStyle name="Comma 2 4 7 2 2 4" xfId="14252"/>
    <cellStyle name="Comma 2 4 7 2 2 5" xfId="14253"/>
    <cellStyle name="Comma 2 4 7 2 2 6" xfId="14254"/>
    <cellStyle name="Comma 2 4 7 2 3" xfId="14255"/>
    <cellStyle name="Comma 2 4 7 2 3 2" xfId="14256"/>
    <cellStyle name="Comma 2 4 7 2 3 2 2" xfId="14257"/>
    <cellStyle name="Comma 2 4 7 2 3 3" xfId="14258"/>
    <cellStyle name="Comma 2 4 7 2 3 4" xfId="14259"/>
    <cellStyle name="Comma 2 4 7 2 3 5" xfId="14260"/>
    <cellStyle name="Comma 2 4 7 2 4" xfId="14261"/>
    <cellStyle name="Comma 2 4 7 2 4 2" xfId="14262"/>
    <cellStyle name="Comma 2 4 7 2 4 3" xfId="14263"/>
    <cellStyle name="Comma 2 4 7 2 4 4" xfId="14264"/>
    <cellStyle name="Comma 2 4 7 2 5" xfId="14265"/>
    <cellStyle name="Comma 2 4 7 2 5 2" xfId="14266"/>
    <cellStyle name="Comma 2 4 7 2 6" xfId="14267"/>
    <cellStyle name="Comma 2 4 7 2 7" xfId="14268"/>
    <cellStyle name="Comma 2 4 7 2 8" xfId="14269"/>
    <cellStyle name="Comma 2 4 7 2 9" xfId="14270"/>
    <cellStyle name="Comma 2 4 7 3" xfId="14271"/>
    <cellStyle name="Comma 2 4 7 3 2" xfId="14272"/>
    <cellStyle name="Comma 2 4 7 3 2 2" xfId="14273"/>
    <cellStyle name="Comma 2 4 7 3 2 2 2" xfId="14274"/>
    <cellStyle name="Comma 2 4 7 3 2 2 3" xfId="14275"/>
    <cellStyle name="Comma 2 4 7 3 2 3" xfId="14276"/>
    <cellStyle name="Comma 2 4 7 3 2 4" xfId="14277"/>
    <cellStyle name="Comma 2 4 7 3 2 5" xfId="14278"/>
    <cellStyle name="Comma 2 4 7 3 2 6" xfId="14279"/>
    <cellStyle name="Comma 2 4 7 3 3" xfId="14280"/>
    <cellStyle name="Comma 2 4 7 3 3 2" xfId="14281"/>
    <cellStyle name="Comma 2 4 7 3 3 2 2" xfId="14282"/>
    <cellStyle name="Comma 2 4 7 3 3 3" xfId="14283"/>
    <cellStyle name="Comma 2 4 7 3 3 4" xfId="14284"/>
    <cellStyle name="Comma 2 4 7 3 3 5" xfId="14285"/>
    <cellStyle name="Comma 2 4 7 3 4" xfId="14286"/>
    <cellStyle name="Comma 2 4 7 3 4 2" xfId="14287"/>
    <cellStyle name="Comma 2 4 7 3 4 3" xfId="14288"/>
    <cellStyle name="Comma 2 4 7 3 4 4" xfId="14289"/>
    <cellStyle name="Comma 2 4 7 3 5" xfId="14290"/>
    <cellStyle name="Comma 2 4 7 3 5 2" xfId="14291"/>
    <cellStyle name="Comma 2 4 7 3 6" xfId="14292"/>
    <cellStyle name="Comma 2 4 7 3 7" xfId="14293"/>
    <cellStyle name="Comma 2 4 7 3 8" xfId="14294"/>
    <cellStyle name="Comma 2 4 7 3 9" xfId="14295"/>
    <cellStyle name="Comma 2 4 7 4" xfId="14296"/>
    <cellStyle name="Comma 2 4 7 4 2" xfId="14297"/>
    <cellStyle name="Comma 2 4 7 4 2 2" xfId="14298"/>
    <cellStyle name="Comma 2 4 7 4 2 3" xfId="14299"/>
    <cellStyle name="Comma 2 4 7 4 3" xfId="14300"/>
    <cellStyle name="Comma 2 4 7 4 4" xfId="14301"/>
    <cellStyle name="Comma 2 4 7 4 5" xfId="14302"/>
    <cellStyle name="Comma 2 4 7 4 6" xfId="14303"/>
    <cellStyle name="Comma 2 4 7 5" xfId="14304"/>
    <cellStyle name="Comma 2 4 7 5 2" xfId="14305"/>
    <cellStyle name="Comma 2 4 7 5 2 2" xfId="14306"/>
    <cellStyle name="Comma 2 4 7 5 3" xfId="14307"/>
    <cellStyle name="Comma 2 4 7 5 4" xfId="14308"/>
    <cellStyle name="Comma 2 4 7 5 5" xfId="14309"/>
    <cellStyle name="Comma 2 4 7 6" xfId="14310"/>
    <cellStyle name="Comma 2 4 7 6 2" xfId="14311"/>
    <cellStyle name="Comma 2 4 7 6 3" xfId="14312"/>
    <cellStyle name="Comma 2 4 7 6 4" xfId="14313"/>
    <cellStyle name="Comma 2 4 7 7" xfId="14314"/>
    <cellStyle name="Comma 2 4 7 7 2" xfId="14315"/>
    <cellStyle name="Comma 2 4 7 8" xfId="14316"/>
    <cellStyle name="Comma 2 4 7 9" xfId="14317"/>
    <cellStyle name="Comma 2 4 8" xfId="14318"/>
    <cellStyle name="Comma 2 4 8 10" xfId="14319"/>
    <cellStyle name="Comma 2 4 8 11" xfId="14320"/>
    <cellStyle name="Comma 2 4 8 2" xfId="14321"/>
    <cellStyle name="Comma 2 4 8 2 2" xfId="14322"/>
    <cellStyle name="Comma 2 4 8 2 2 2" xfId="14323"/>
    <cellStyle name="Comma 2 4 8 2 2 2 2" xfId="14324"/>
    <cellStyle name="Comma 2 4 8 2 2 2 3" xfId="14325"/>
    <cellStyle name="Comma 2 4 8 2 2 3" xfId="14326"/>
    <cellStyle name="Comma 2 4 8 2 2 4" xfId="14327"/>
    <cellStyle name="Comma 2 4 8 2 2 5" xfId="14328"/>
    <cellStyle name="Comma 2 4 8 2 2 6" xfId="14329"/>
    <cellStyle name="Comma 2 4 8 2 3" xfId="14330"/>
    <cellStyle name="Comma 2 4 8 2 3 2" xfId="14331"/>
    <cellStyle name="Comma 2 4 8 2 3 2 2" xfId="14332"/>
    <cellStyle name="Comma 2 4 8 2 3 3" xfId="14333"/>
    <cellStyle name="Comma 2 4 8 2 3 4" xfId="14334"/>
    <cellStyle name="Comma 2 4 8 2 3 5" xfId="14335"/>
    <cellStyle name="Comma 2 4 8 2 4" xfId="14336"/>
    <cellStyle name="Comma 2 4 8 2 4 2" xfId="14337"/>
    <cellStyle name="Comma 2 4 8 2 4 3" xfId="14338"/>
    <cellStyle name="Comma 2 4 8 2 4 4" xfId="14339"/>
    <cellStyle name="Comma 2 4 8 2 5" xfId="14340"/>
    <cellStyle name="Comma 2 4 8 2 5 2" xfId="14341"/>
    <cellStyle name="Comma 2 4 8 2 6" xfId="14342"/>
    <cellStyle name="Comma 2 4 8 2 7" xfId="14343"/>
    <cellStyle name="Comma 2 4 8 2 8" xfId="14344"/>
    <cellStyle name="Comma 2 4 8 2 9" xfId="14345"/>
    <cellStyle name="Comma 2 4 8 3" xfId="14346"/>
    <cellStyle name="Comma 2 4 8 3 2" xfId="14347"/>
    <cellStyle name="Comma 2 4 8 3 2 2" xfId="14348"/>
    <cellStyle name="Comma 2 4 8 3 2 2 2" xfId="14349"/>
    <cellStyle name="Comma 2 4 8 3 2 2 3" xfId="14350"/>
    <cellStyle name="Comma 2 4 8 3 2 3" xfId="14351"/>
    <cellStyle name="Comma 2 4 8 3 2 4" xfId="14352"/>
    <cellStyle name="Comma 2 4 8 3 2 5" xfId="14353"/>
    <cellStyle name="Comma 2 4 8 3 2 6" xfId="14354"/>
    <cellStyle name="Comma 2 4 8 3 3" xfId="14355"/>
    <cellStyle name="Comma 2 4 8 3 3 2" xfId="14356"/>
    <cellStyle name="Comma 2 4 8 3 3 2 2" xfId="14357"/>
    <cellStyle name="Comma 2 4 8 3 3 3" xfId="14358"/>
    <cellStyle name="Comma 2 4 8 3 3 4" xfId="14359"/>
    <cellStyle name="Comma 2 4 8 3 3 5" xfId="14360"/>
    <cellStyle name="Comma 2 4 8 3 4" xfId="14361"/>
    <cellStyle name="Comma 2 4 8 3 4 2" xfId="14362"/>
    <cellStyle name="Comma 2 4 8 3 4 3" xfId="14363"/>
    <cellStyle name="Comma 2 4 8 3 4 4" xfId="14364"/>
    <cellStyle name="Comma 2 4 8 3 5" xfId="14365"/>
    <cellStyle name="Comma 2 4 8 3 5 2" xfId="14366"/>
    <cellStyle name="Comma 2 4 8 3 6" xfId="14367"/>
    <cellStyle name="Comma 2 4 8 3 7" xfId="14368"/>
    <cellStyle name="Comma 2 4 8 3 8" xfId="14369"/>
    <cellStyle name="Comma 2 4 8 3 9" xfId="14370"/>
    <cellStyle name="Comma 2 4 8 4" xfId="14371"/>
    <cellStyle name="Comma 2 4 8 4 2" xfId="14372"/>
    <cellStyle name="Comma 2 4 8 4 2 2" xfId="14373"/>
    <cellStyle name="Comma 2 4 8 4 2 3" xfId="14374"/>
    <cellStyle name="Comma 2 4 8 4 3" xfId="14375"/>
    <cellStyle name="Comma 2 4 8 4 4" xfId="14376"/>
    <cellStyle name="Comma 2 4 8 4 5" xfId="14377"/>
    <cellStyle name="Comma 2 4 8 4 6" xfId="14378"/>
    <cellStyle name="Comma 2 4 8 5" xfId="14379"/>
    <cellStyle name="Comma 2 4 8 5 2" xfId="14380"/>
    <cellStyle name="Comma 2 4 8 5 2 2" xfId="14381"/>
    <cellStyle name="Comma 2 4 8 5 3" xfId="14382"/>
    <cellStyle name="Comma 2 4 8 5 4" xfId="14383"/>
    <cellStyle name="Comma 2 4 8 5 5" xfId="14384"/>
    <cellStyle name="Comma 2 4 8 6" xfId="14385"/>
    <cellStyle name="Comma 2 4 8 6 2" xfId="14386"/>
    <cellStyle name="Comma 2 4 8 6 3" xfId="14387"/>
    <cellStyle name="Comma 2 4 8 6 4" xfId="14388"/>
    <cellStyle name="Comma 2 4 8 7" xfId="14389"/>
    <cellStyle name="Comma 2 4 8 7 2" xfId="14390"/>
    <cellStyle name="Comma 2 4 8 8" xfId="14391"/>
    <cellStyle name="Comma 2 4 8 9" xfId="14392"/>
    <cellStyle name="Comma 2 4 9" xfId="14393"/>
    <cellStyle name="Comma 2 4 9 10" xfId="14394"/>
    <cellStyle name="Comma 2 4 9 11" xfId="14395"/>
    <cellStyle name="Comma 2 4 9 2" xfId="14396"/>
    <cellStyle name="Comma 2 4 9 2 2" xfId="14397"/>
    <cellStyle name="Comma 2 4 9 2 2 2" xfId="14398"/>
    <cellStyle name="Comma 2 4 9 2 2 2 2" xfId="14399"/>
    <cellStyle name="Comma 2 4 9 2 2 2 3" xfId="14400"/>
    <cellStyle name="Comma 2 4 9 2 2 3" xfId="14401"/>
    <cellStyle name="Comma 2 4 9 2 2 4" xfId="14402"/>
    <cellStyle name="Comma 2 4 9 2 2 5" xfId="14403"/>
    <cellStyle name="Comma 2 4 9 2 2 6" xfId="14404"/>
    <cellStyle name="Comma 2 4 9 2 3" xfId="14405"/>
    <cellStyle name="Comma 2 4 9 2 3 2" xfId="14406"/>
    <cellStyle name="Comma 2 4 9 2 3 2 2" xfId="14407"/>
    <cellStyle name="Comma 2 4 9 2 3 3" xfId="14408"/>
    <cellStyle name="Comma 2 4 9 2 3 4" xfId="14409"/>
    <cellStyle name="Comma 2 4 9 2 3 5" xfId="14410"/>
    <cellStyle name="Comma 2 4 9 2 4" xfId="14411"/>
    <cellStyle name="Comma 2 4 9 2 4 2" xfId="14412"/>
    <cellStyle name="Comma 2 4 9 2 4 3" xfId="14413"/>
    <cellStyle name="Comma 2 4 9 2 4 4" xfId="14414"/>
    <cellStyle name="Comma 2 4 9 2 5" xfId="14415"/>
    <cellStyle name="Comma 2 4 9 2 5 2" xfId="14416"/>
    <cellStyle name="Comma 2 4 9 2 6" xfId="14417"/>
    <cellStyle name="Comma 2 4 9 2 7" xfId="14418"/>
    <cellStyle name="Comma 2 4 9 2 8" xfId="14419"/>
    <cellStyle name="Comma 2 4 9 2 9" xfId="14420"/>
    <cellStyle name="Comma 2 4 9 3" xfId="14421"/>
    <cellStyle name="Comma 2 4 9 3 2" xfId="14422"/>
    <cellStyle name="Comma 2 4 9 3 2 2" xfId="14423"/>
    <cellStyle name="Comma 2 4 9 3 2 2 2" xfId="14424"/>
    <cellStyle name="Comma 2 4 9 3 2 2 3" xfId="14425"/>
    <cellStyle name="Comma 2 4 9 3 2 3" xfId="14426"/>
    <cellStyle name="Comma 2 4 9 3 2 4" xfId="14427"/>
    <cellStyle name="Comma 2 4 9 3 2 5" xfId="14428"/>
    <cellStyle name="Comma 2 4 9 3 2 6" xfId="14429"/>
    <cellStyle name="Comma 2 4 9 3 3" xfId="14430"/>
    <cellStyle name="Comma 2 4 9 3 3 2" xfId="14431"/>
    <cellStyle name="Comma 2 4 9 3 3 2 2" xfId="14432"/>
    <cellStyle name="Comma 2 4 9 3 3 3" xfId="14433"/>
    <cellStyle name="Comma 2 4 9 3 3 4" xfId="14434"/>
    <cellStyle name="Comma 2 4 9 3 3 5" xfId="14435"/>
    <cellStyle name="Comma 2 4 9 3 4" xfId="14436"/>
    <cellStyle name="Comma 2 4 9 3 4 2" xfId="14437"/>
    <cellStyle name="Comma 2 4 9 3 4 3" xfId="14438"/>
    <cellStyle name="Comma 2 4 9 3 4 4" xfId="14439"/>
    <cellStyle name="Comma 2 4 9 3 5" xfId="14440"/>
    <cellStyle name="Comma 2 4 9 3 5 2" xfId="14441"/>
    <cellStyle name="Comma 2 4 9 3 6" xfId="14442"/>
    <cellStyle name="Comma 2 4 9 3 7" xfId="14443"/>
    <cellStyle name="Comma 2 4 9 3 8" xfId="14444"/>
    <cellStyle name="Comma 2 4 9 3 9" xfId="14445"/>
    <cellStyle name="Comma 2 4 9 4" xfId="14446"/>
    <cellStyle name="Comma 2 4 9 4 2" xfId="14447"/>
    <cellStyle name="Comma 2 4 9 4 2 2" xfId="14448"/>
    <cellStyle name="Comma 2 4 9 4 2 3" xfId="14449"/>
    <cellStyle name="Comma 2 4 9 4 3" xfId="14450"/>
    <cellStyle name="Comma 2 4 9 4 4" xfId="14451"/>
    <cellStyle name="Comma 2 4 9 4 5" xfId="14452"/>
    <cellStyle name="Comma 2 4 9 4 6" xfId="14453"/>
    <cellStyle name="Comma 2 4 9 5" xfId="14454"/>
    <cellStyle name="Comma 2 4 9 5 2" xfId="14455"/>
    <cellStyle name="Comma 2 4 9 5 2 2" xfId="14456"/>
    <cellStyle name="Comma 2 4 9 5 3" xfId="14457"/>
    <cellStyle name="Comma 2 4 9 5 4" xfId="14458"/>
    <cellStyle name="Comma 2 4 9 5 5" xfId="14459"/>
    <cellStyle name="Comma 2 4 9 6" xfId="14460"/>
    <cellStyle name="Comma 2 4 9 6 2" xfId="14461"/>
    <cellStyle name="Comma 2 4 9 6 3" xfId="14462"/>
    <cellStyle name="Comma 2 4 9 6 4" xfId="14463"/>
    <cellStyle name="Comma 2 4 9 7" xfId="14464"/>
    <cellStyle name="Comma 2 4 9 7 2" xfId="14465"/>
    <cellStyle name="Comma 2 4 9 8" xfId="14466"/>
    <cellStyle name="Comma 2 4 9 9" xfId="14467"/>
    <cellStyle name="Comma 2 40" xfId="14468"/>
    <cellStyle name="Comma 2 40 10" xfId="14469"/>
    <cellStyle name="Comma 2 40 2" xfId="14470"/>
    <cellStyle name="Comma 2 40 2 2" xfId="14471"/>
    <cellStyle name="Comma 2 40 2 2 2" xfId="14472"/>
    <cellStyle name="Comma 2 40 2 3" xfId="14473"/>
    <cellStyle name="Comma 2 40 2 4" xfId="14474"/>
    <cellStyle name="Comma 2 40 3" xfId="14475"/>
    <cellStyle name="Comma 2 40 3 2" xfId="14476"/>
    <cellStyle name="Comma 2 40 4" xfId="14477"/>
    <cellStyle name="Comma 2 40 4 2" xfId="14478"/>
    <cellStyle name="Comma 2 40 5" xfId="14479"/>
    <cellStyle name="Comma 2 40 6" xfId="14480"/>
    <cellStyle name="Comma 2 40 7" xfId="14481"/>
    <cellStyle name="Comma 2 40 8" xfId="14482"/>
    <cellStyle name="Comma 2 40 9" xfId="14483"/>
    <cellStyle name="Comma 2 41" xfId="14484"/>
    <cellStyle name="Comma 2 41 2" xfId="14485"/>
    <cellStyle name="Comma 2 41 2 2" xfId="14486"/>
    <cellStyle name="Comma 2 41 2 3" xfId="14487"/>
    <cellStyle name="Comma 2 41 3" xfId="14488"/>
    <cellStyle name="Comma 2 41 3 2" xfId="14489"/>
    <cellStyle name="Comma 2 41 4" xfId="14490"/>
    <cellStyle name="Comma 2 41 5" xfId="14491"/>
    <cellStyle name="Comma 2 41 6" xfId="14492"/>
    <cellStyle name="Comma 2 41 7" xfId="14493"/>
    <cellStyle name="Comma 2 41 8" xfId="14494"/>
    <cellStyle name="Comma 2 41 9" xfId="14495"/>
    <cellStyle name="Comma 2 42" xfId="14496"/>
    <cellStyle name="Comma 2 42 2" xfId="14497"/>
    <cellStyle name="Comma 2 42 2 2" xfId="14498"/>
    <cellStyle name="Comma 2 42 3" xfId="14499"/>
    <cellStyle name="Comma 2 42 3 2" xfId="14500"/>
    <cellStyle name="Comma 2 42 4" xfId="14501"/>
    <cellStyle name="Comma 2 42 5" xfId="14502"/>
    <cellStyle name="Comma 2 42 6" xfId="14503"/>
    <cellStyle name="Comma 2 42 7" xfId="14504"/>
    <cellStyle name="Comma 2 42 8" xfId="14505"/>
    <cellStyle name="Comma 2 42 9" xfId="14506"/>
    <cellStyle name="Comma 2 43" xfId="14507"/>
    <cellStyle name="Comma 2 43 2" xfId="14508"/>
    <cellStyle name="Comma 2 43 2 2" xfId="14509"/>
    <cellStyle name="Comma 2 43 3" xfId="14510"/>
    <cellStyle name="Comma 2 43 3 2" xfId="14511"/>
    <cellStyle name="Comma 2 43 4" xfId="14512"/>
    <cellStyle name="Comma 2 43 5" xfId="14513"/>
    <cellStyle name="Comma 2 43 6" xfId="14514"/>
    <cellStyle name="Comma 2 43 7" xfId="14515"/>
    <cellStyle name="Comma 2 43 8" xfId="14516"/>
    <cellStyle name="Comma 2 44" xfId="14517"/>
    <cellStyle name="Comma 2 44 2" xfId="14518"/>
    <cellStyle name="Comma 2 44 2 2" xfId="14519"/>
    <cellStyle name="Comma 2 44 3" xfId="14520"/>
    <cellStyle name="Comma 2 44 4" xfId="14521"/>
    <cellStyle name="Comma 2 44 5" xfId="14522"/>
    <cellStyle name="Comma 2 44 6" xfId="14523"/>
    <cellStyle name="Comma 2 44 7" xfId="14524"/>
    <cellStyle name="Comma 2 45" xfId="14525"/>
    <cellStyle name="Comma 2 45 2" xfId="14526"/>
    <cellStyle name="Comma 2 45 2 2" xfId="14527"/>
    <cellStyle name="Comma 2 45 3" xfId="14528"/>
    <cellStyle name="Comma 2 45 4" xfId="14529"/>
    <cellStyle name="Comma 2 45 5" xfId="14530"/>
    <cellStyle name="Comma 2 45 6" xfId="14531"/>
    <cellStyle name="Comma 2 45 7" xfId="14532"/>
    <cellStyle name="Comma 2 46" xfId="14533"/>
    <cellStyle name="Comma 2 46 2" xfId="14534"/>
    <cellStyle name="Comma 2 46 2 2" xfId="14535"/>
    <cellStyle name="Comma 2 46 3" xfId="14536"/>
    <cellStyle name="Comma 2 46 4" xfId="14537"/>
    <cellStyle name="Comma 2 46 5" xfId="14538"/>
    <cellStyle name="Comma 2 46 6" xfId="14539"/>
    <cellStyle name="Comma 2 46 7" xfId="14540"/>
    <cellStyle name="Comma 2 47" xfId="14541"/>
    <cellStyle name="Comma 2 47 2" xfId="14542"/>
    <cellStyle name="Comma 2 47 2 2" xfId="14543"/>
    <cellStyle name="Comma 2 47 3" xfId="14544"/>
    <cellStyle name="Comma 2 47 4" xfId="14545"/>
    <cellStyle name="Comma 2 47 5" xfId="14546"/>
    <cellStyle name="Comma 2 47 6" xfId="14547"/>
    <cellStyle name="Comma 2 47 7" xfId="14548"/>
    <cellStyle name="Comma 2 48" xfId="14549"/>
    <cellStyle name="Comma 2 48 2" xfId="14550"/>
    <cellStyle name="Comma 2 48 2 2" xfId="14551"/>
    <cellStyle name="Comma 2 48 3" xfId="14552"/>
    <cellStyle name="Comma 2 48 4" xfId="14553"/>
    <cellStyle name="Comma 2 48 5" xfId="14554"/>
    <cellStyle name="Comma 2 48 6" xfId="14555"/>
    <cellStyle name="Comma 2 48 7" xfId="14556"/>
    <cellStyle name="Comma 2 49" xfId="14557"/>
    <cellStyle name="Comma 2 49 2" xfId="14558"/>
    <cellStyle name="Comma 2 49 2 2" xfId="14559"/>
    <cellStyle name="Comma 2 49 3" xfId="14560"/>
    <cellStyle name="Comma 2 49 4" xfId="14561"/>
    <cellStyle name="Comma 2 49 5" xfId="14562"/>
    <cellStyle name="Comma 2 49 6" xfId="14563"/>
    <cellStyle name="Comma 2 49 7" xfId="14564"/>
    <cellStyle name="Comma 2 5" xfId="14565"/>
    <cellStyle name="Comma 2 5 10" xfId="14566"/>
    <cellStyle name="Comma 2 5 10 10" xfId="14567"/>
    <cellStyle name="Comma 2 5 10 2" xfId="14568"/>
    <cellStyle name="Comma 2 5 10 2 2" xfId="14569"/>
    <cellStyle name="Comma 2 5 10 2 2 2" xfId="14570"/>
    <cellStyle name="Comma 2 5 10 2 2 3" xfId="14571"/>
    <cellStyle name="Comma 2 5 10 2 3" xfId="14572"/>
    <cellStyle name="Comma 2 5 10 2 4" xfId="14573"/>
    <cellStyle name="Comma 2 5 10 2 5" xfId="14574"/>
    <cellStyle name="Comma 2 5 10 2 6" xfId="14575"/>
    <cellStyle name="Comma 2 5 10 3" xfId="14576"/>
    <cellStyle name="Comma 2 5 10 3 2" xfId="14577"/>
    <cellStyle name="Comma 2 5 10 3 2 2" xfId="14578"/>
    <cellStyle name="Comma 2 5 10 3 2 3" xfId="14579"/>
    <cellStyle name="Comma 2 5 10 3 3" xfId="14580"/>
    <cellStyle name="Comma 2 5 10 3 4" xfId="14581"/>
    <cellStyle name="Comma 2 5 10 3 5" xfId="14582"/>
    <cellStyle name="Comma 2 5 10 3 6" xfId="14583"/>
    <cellStyle name="Comma 2 5 10 4" xfId="14584"/>
    <cellStyle name="Comma 2 5 10 4 2" xfId="14585"/>
    <cellStyle name="Comma 2 5 10 4 2 2" xfId="14586"/>
    <cellStyle name="Comma 2 5 10 4 3" xfId="14587"/>
    <cellStyle name="Comma 2 5 10 4 4" xfId="14588"/>
    <cellStyle name="Comma 2 5 10 4 5" xfId="14589"/>
    <cellStyle name="Comma 2 5 10 5" xfId="14590"/>
    <cellStyle name="Comma 2 5 10 5 2" xfId="14591"/>
    <cellStyle name="Comma 2 5 10 5 3" xfId="14592"/>
    <cellStyle name="Comma 2 5 10 5 4" xfId="14593"/>
    <cellStyle name="Comma 2 5 10 6" xfId="14594"/>
    <cellStyle name="Comma 2 5 10 6 2" xfId="14595"/>
    <cellStyle name="Comma 2 5 10 7" xfId="14596"/>
    <cellStyle name="Comma 2 5 10 8" xfId="14597"/>
    <cellStyle name="Comma 2 5 10 9" xfId="14598"/>
    <cellStyle name="Comma 2 5 11" xfId="14599"/>
    <cellStyle name="Comma 2 5 11 10" xfId="14600"/>
    <cellStyle name="Comma 2 5 11 2" xfId="14601"/>
    <cellStyle name="Comma 2 5 11 2 2" xfId="14602"/>
    <cellStyle name="Comma 2 5 11 2 2 2" xfId="14603"/>
    <cellStyle name="Comma 2 5 11 2 2 3" xfId="14604"/>
    <cellStyle name="Comma 2 5 11 2 3" xfId="14605"/>
    <cellStyle name="Comma 2 5 11 2 4" xfId="14606"/>
    <cellStyle name="Comma 2 5 11 2 5" xfId="14607"/>
    <cellStyle name="Comma 2 5 11 2 6" xfId="14608"/>
    <cellStyle name="Comma 2 5 11 3" xfId="14609"/>
    <cellStyle name="Comma 2 5 11 3 2" xfId="14610"/>
    <cellStyle name="Comma 2 5 11 3 2 2" xfId="14611"/>
    <cellStyle name="Comma 2 5 11 3 2 3" xfId="14612"/>
    <cellStyle name="Comma 2 5 11 3 3" xfId="14613"/>
    <cellStyle name="Comma 2 5 11 3 4" xfId="14614"/>
    <cellStyle name="Comma 2 5 11 3 5" xfId="14615"/>
    <cellStyle name="Comma 2 5 11 3 6" xfId="14616"/>
    <cellStyle name="Comma 2 5 11 4" xfId="14617"/>
    <cellStyle name="Comma 2 5 11 4 2" xfId="14618"/>
    <cellStyle name="Comma 2 5 11 4 2 2" xfId="14619"/>
    <cellStyle name="Comma 2 5 11 4 3" xfId="14620"/>
    <cellStyle name="Comma 2 5 11 4 4" xfId="14621"/>
    <cellStyle name="Comma 2 5 11 4 5" xfId="14622"/>
    <cellStyle name="Comma 2 5 11 5" xfId="14623"/>
    <cellStyle name="Comma 2 5 11 5 2" xfId="14624"/>
    <cellStyle name="Comma 2 5 11 5 3" xfId="14625"/>
    <cellStyle name="Comma 2 5 11 5 4" xfId="14626"/>
    <cellStyle name="Comma 2 5 11 6" xfId="14627"/>
    <cellStyle name="Comma 2 5 11 6 2" xfId="14628"/>
    <cellStyle name="Comma 2 5 11 7" xfId="14629"/>
    <cellStyle name="Comma 2 5 11 8" xfId="14630"/>
    <cellStyle name="Comma 2 5 11 9" xfId="14631"/>
    <cellStyle name="Comma 2 5 12" xfId="14632"/>
    <cellStyle name="Comma 2 5 12 10" xfId="14633"/>
    <cellStyle name="Comma 2 5 12 2" xfId="14634"/>
    <cellStyle name="Comma 2 5 12 2 2" xfId="14635"/>
    <cellStyle name="Comma 2 5 12 2 2 2" xfId="14636"/>
    <cellStyle name="Comma 2 5 12 2 2 3" xfId="14637"/>
    <cellStyle name="Comma 2 5 12 2 3" xfId="14638"/>
    <cellStyle name="Comma 2 5 12 2 4" xfId="14639"/>
    <cellStyle name="Comma 2 5 12 2 5" xfId="14640"/>
    <cellStyle name="Comma 2 5 12 2 6" xfId="14641"/>
    <cellStyle name="Comma 2 5 12 3" xfId="14642"/>
    <cellStyle name="Comma 2 5 12 3 2" xfId="14643"/>
    <cellStyle name="Comma 2 5 12 3 2 2" xfId="14644"/>
    <cellStyle name="Comma 2 5 12 3 2 3" xfId="14645"/>
    <cellStyle name="Comma 2 5 12 3 3" xfId="14646"/>
    <cellStyle name="Comma 2 5 12 3 4" xfId="14647"/>
    <cellStyle name="Comma 2 5 12 3 5" xfId="14648"/>
    <cellStyle name="Comma 2 5 12 3 6" xfId="14649"/>
    <cellStyle name="Comma 2 5 12 4" xfId="14650"/>
    <cellStyle name="Comma 2 5 12 4 2" xfId="14651"/>
    <cellStyle name="Comma 2 5 12 4 2 2" xfId="14652"/>
    <cellStyle name="Comma 2 5 12 4 3" xfId="14653"/>
    <cellStyle name="Comma 2 5 12 4 4" xfId="14654"/>
    <cellStyle name="Comma 2 5 12 4 5" xfId="14655"/>
    <cellStyle name="Comma 2 5 12 5" xfId="14656"/>
    <cellStyle name="Comma 2 5 12 5 2" xfId="14657"/>
    <cellStyle name="Comma 2 5 12 5 3" xfId="14658"/>
    <cellStyle name="Comma 2 5 12 5 4" xfId="14659"/>
    <cellStyle name="Comma 2 5 12 6" xfId="14660"/>
    <cellStyle name="Comma 2 5 12 6 2" xfId="14661"/>
    <cellStyle name="Comma 2 5 12 7" xfId="14662"/>
    <cellStyle name="Comma 2 5 12 8" xfId="14663"/>
    <cellStyle name="Comma 2 5 12 9" xfId="14664"/>
    <cellStyle name="Comma 2 5 13" xfId="14665"/>
    <cellStyle name="Comma 2 5 13 2" xfId="14666"/>
    <cellStyle name="Comma 2 5 13 2 2" xfId="14667"/>
    <cellStyle name="Comma 2 5 13 2 2 2" xfId="14668"/>
    <cellStyle name="Comma 2 5 13 2 2 3" xfId="14669"/>
    <cellStyle name="Comma 2 5 13 2 3" xfId="14670"/>
    <cellStyle name="Comma 2 5 13 2 4" xfId="14671"/>
    <cellStyle name="Comma 2 5 13 2 5" xfId="14672"/>
    <cellStyle name="Comma 2 5 13 2 6" xfId="14673"/>
    <cellStyle name="Comma 2 5 13 3" xfId="14674"/>
    <cellStyle name="Comma 2 5 13 3 2" xfId="14675"/>
    <cellStyle name="Comma 2 5 13 3 2 2" xfId="14676"/>
    <cellStyle name="Comma 2 5 13 3 3" xfId="14677"/>
    <cellStyle name="Comma 2 5 13 3 4" xfId="14678"/>
    <cellStyle name="Comma 2 5 13 3 5" xfId="14679"/>
    <cellStyle name="Comma 2 5 13 4" xfId="14680"/>
    <cellStyle name="Comma 2 5 13 4 2" xfId="14681"/>
    <cellStyle name="Comma 2 5 13 4 3" xfId="14682"/>
    <cellStyle name="Comma 2 5 13 4 4" xfId="14683"/>
    <cellStyle name="Comma 2 5 13 5" xfId="14684"/>
    <cellStyle name="Comma 2 5 13 5 2" xfId="14685"/>
    <cellStyle name="Comma 2 5 13 6" xfId="14686"/>
    <cellStyle name="Comma 2 5 13 7" xfId="14687"/>
    <cellStyle name="Comma 2 5 13 8" xfId="14688"/>
    <cellStyle name="Comma 2 5 13 9" xfId="14689"/>
    <cellStyle name="Comma 2 5 14" xfId="14690"/>
    <cellStyle name="Comma 2 5 14 2" xfId="14691"/>
    <cellStyle name="Comma 2 5 14 2 2" xfId="14692"/>
    <cellStyle name="Comma 2 5 14 2 2 2" xfId="14693"/>
    <cellStyle name="Comma 2 5 14 2 2 3" xfId="14694"/>
    <cellStyle name="Comma 2 5 14 2 3" xfId="14695"/>
    <cellStyle name="Comma 2 5 14 2 4" xfId="14696"/>
    <cellStyle name="Comma 2 5 14 2 5" xfId="14697"/>
    <cellStyle name="Comma 2 5 14 2 6" xfId="14698"/>
    <cellStyle name="Comma 2 5 14 3" xfId="14699"/>
    <cellStyle name="Comma 2 5 14 3 2" xfId="14700"/>
    <cellStyle name="Comma 2 5 14 3 2 2" xfId="14701"/>
    <cellStyle name="Comma 2 5 14 3 3" xfId="14702"/>
    <cellStyle name="Comma 2 5 14 3 4" xfId="14703"/>
    <cellStyle name="Comma 2 5 14 3 5" xfId="14704"/>
    <cellStyle name="Comma 2 5 14 4" xfId="14705"/>
    <cellStyle name="Comma 2 5 14 4 2" xfId="14706"/>
    <cellStyle name="Comma 2 5 14 4 3" xfId="14707"/>
    <cellStyle name="Comma 2 5 14 4 4" xfId="14708"/>
    <cellStyle name="Comma 2 5 14 5" xfId="14709"/>
    <cellStyle name="Comma 2 5 14 5 2" xfId="14710"/>
    <cellStyle name="Comma 2 5 14 6" xfId="14711"/>
    <cellStyle name="Comma 2 5 14 7" xfId="14712"/>
    <cellStyle name="Comma 2 5 14 8" xfId="14713"/>
    <cellStyle name="Comma 2 5 14 9" xfId="14714"/>
    <cellStyle name="Comma 2 5 15" xfId="14715"/>
    <cellStyle name="Comma 2 5 15 2" xfId="14716"/>
    <cellStyle name="Comma 2 5 15 2 2" xfId="14717"/>
    <cellStyle name="Comma 2 5 15 2 3" xfId="14718"/>
    <cellStyle name="Comma 2 5 15 3" xfId="14719"/>
    <cellStyle name="Comma 2 5 15 4" xfId="14720"/>
    <cellStyle name="Comma 2 5 15 5" xfId="14721"/>
    <cellStyle name="Comma 2 5 15 6" xfId="14722"/>
    <cellStyle name="Comma 2 5 16" xfId="14723"/>
    <cellStyle name="Comma 2 5 16 2" xfId="14724"/>
    <cellStyle name="Comma 2 5 16 2 2" xfId="14725"/>
    <cellStyle name="Comma 2 5 16 3" xfId="14726"/>
    <cellStyle name="Comma 2 5 16 4" xfId="14727"/>
    <cellStyle name="Comma 2 5 16 5" xfId="14728"/>
    <cellStyle name="Comma 2 5 17" xfId="14729"/>
    <cellStyle name="Comma 2 5 17 2" xfId="14730"/>
    <cellStyle name="Comma 2 5 17 2 2" xfId="14731"/>
    <cellStyle name="Comma 2 5 17 3" xfId="14732"/>
    <cellStyle name="Comma 2 5 17 4" xfId="14733"/>
    <cellStyle name="Comma 2 5 17 5" xfId="14734"/>
    <cellStyle name="Comma 2 5 18" xfId="14735"/>
    <cellStyle name="Comma 2 5 18 2" xfId="14736"/>
    <cellStyle name="Comma 2 5 19" xfId="14737"/>
    <cellStyle name="Comma 2 5 2" xfId="14738"/>
    <cellStyle name="Comma 2 5 2 10" xfId="14739"/>
    <cellStyle name="Comma 2 5 2 11" xfId="14740"/>
    <cellStyle name="Comma 2 5 2 2" xfId="14741"/>
    <cellStyle name="Comma 2 5 2 2 2" xfId="14742"/>
    <cellStyle name="Comma 2 5 2 2 2 2" xfId="14743"/>
    <cellStyle name="Comma 2 5 2 2 2 2 2" xfId="14744"/>
    <cellStyle name="Comma 2 5 2 2 2 2 3" xfId="14745"/>
    <cellStyle name="Comma 2 5 2 2 2 3" xfId="14746"/>
    <cellStyle name="Comma 2 5 2 2 2 4" xfId="14747"/>
    <cellStyle name="Comma 2 5 2 2 2 5" xfId="14748"/>
    <cellStyle name="Comma 2 5 2 2 2 6" xfId="14749"/>
    <cellStyle name="Comma 2 5 2 2 3" xfId="14750"/>
    <cellStyle name="Comma 2 5 2 2 3 2" xfId="14751"/>
    <cellStyle name="Comma 2 5 2 2 3 2 2" xfId="14752"/>
    <cellStyle name="Comma 2 5 2 2 3 3" xfId="14753"/>
    <cellStyle name="Comma 2 5 2 2 3 4" xfId="14754"/>
    <cellStyle name="Comma 2 5 2 2 3 5" xfId="14755"/>
    <cellStyle name="Comma 2 5 2 2 4" xfId="14756"/>
    <cellStyle name="Comma 2 5 2 2 4 2" xfId="14757"/>
    <cellStyle name="Comma 2 5 2 2 4 3" xfId="14758"/>
    <cellStyle name="Comma 2 5 2 2 4 4" xfId="14759"/>
    <cellStyle name="Comma 2 5 2 2 5" xfId="14760"/>
    <cellStyle name="Comma 2 5 2 2 5 2" xfId="14761"/>
    <cellStyle name="Comma 2 5 2 2 6" xfId="14762"/>
    <cellStyle name="Comma 2 5 2 2 7" xfId="14763"/>
    <cellStyle name="Comma 2 5 2 2 8" xfId="14764"/>
    <cellStyle name="Comma 2 5 2 2 9" xfId="14765"/>
    <cellStyle name="Comma 2 5 2 3" xfId="14766"/>
    <cellStyle name="Comma 2 5 2 3 2" xfId="14767"/>
    <cellStyle name="Comma 2 5 2 3 2 2" xfId="14768"/>
    <cellStyle name="Comma 2 5 2 3 2 2 2" xfId="14769"/>
    <cellStyle name="Comma 2 5 2 3 2 2 3" xfId="14770"/>
    <cellStyle name="Comma 2 5 2 3 2 3" xfId="14771"/>
    <cellStyle name="Comma 2 5 2 3 2 4" xfId="14772"/>
    <cellStyle name="Comma 2 5 2 3 2 5" xfId="14773"/>
    <cellStyle name="Comma 2 5 2 3 2 6" xfId="14774"/>
    <cellStyle name="Comma 2 5 2 3 3" xfId="14775"/>
    <cellStyle name="Comma 2 5 2 3 3 2" xfId="14776"/>
    <cellStyle name="Comma 2 5 2 3 3 2 2" xfId="14777"/>
    <cellStyle name="Comma 2 5 2 3 3 3" xfId="14778"/>
    <cellStyle name="Comma 2 5 2 3 3 4" xfId="14779"/>
    <cellStyle name="Comma 2 5 2 3 3 5" xfId="14780"/>
    <cellStyle name="Comma 2 5 2 3 4" xfId="14781"/>
    <cellStyle name="Comma 2 5 2 3 4 2" xfId="14782"/>
    <cellStyle name="Comma 2 5 2 3 4 3" xfId="14783"/>
    <cellStyle name="Comma 2 5 2 3 4 4" xfId="14784"/>
    <cellStyle name="Comma 2 5 2 3 5" xfId="14785"/>
    <cellStyle name="Comma 2 5 2 3 5 2" xfId="14786"/>
    <cellStyle name="Comma 2 5 2 3 6" xfId="14787"/>
    <cellStyle name="Comma 2 5 2 3 7" xfId="14788"/>
    <cellStyle name="Comma 2 5 2 3 8" xfId="14789"/>
    <cellStyle name="Comma 2 5 2 3 9" xfId="14790"/>
    <cellStyle name="Comma 2 5 2 4" xfId="14791"/>
    <cellStyle name="Comma 2 5 2 4 2" xfId="14792"/>
    <cellStyle name="Comma 2 5 2 4 2 2" xfId="14793"/>
    <cellStyle name="Comma 2 5 2 4 2 3" xfId="14794"/>
    <cellStyle name="Comma 2 5 2 4 3" xfId="14795"/>
    <cellStyle name="Comma 2 5 2 4 4" xfId="14796"/>
    <cellStyle name="Comma 2 5 2 4 5" xfId="14797"/>
    <cellStyle name="Comma 2 5 2 4 6" xfId="14798"/>
    <cellStyle name="Comma 2 5 2 5" xfId="14799"/>
    <cellStyle name="Comma 2 5 2 5 2" xfId="14800"/>
    <cellStyle name="Comma 2 5 2 5 2 2" xfId="14801"/>
    <cellStyle name="Comma 2 5 2 5 3" xfId="14802"/>
    <cellStyle name="Comma 2 5 2 5 4" xfId="14803"/>
    <cellStyle name="Comma 2 5 2 5 5" xfId="14804"/>
    <cellStyle name="Comma 2 5 2 6" xfId="14805"/>
    <cellStyle name="Comma 2 5 2 6 2" xfId="14806"/>
    <cellStyle name="Comma 2 5 2 6 3" xfId="14807"/>
    <cellStyle name="Comma 2 5 2 6 4" xfId="14808"/>
    <cellStyle name="Comma 2 5 2 7" xfId="14809"/>
    <cellStyle name="Comma 2 5 2 7 2" xfId="14810"/>
    <cellStyle name="Comma 2 5 2 8" xfId="14811"/>
    <cellStyle name="Comma 2 5 2 9" xfId="14812"/>
    <cellStyle name="Comma 2 5 20" xfId="14813"/>
    <cellStyle name="Comma 2 5 21" xfId="14814"/>
    <cellStyle name="Comma 2 5 22" xfId="14815"/>
    <cellStyle name="Comma 2 5 3" xfId="14816"/>
    <cellStyle name="Comma 2 5 3 10" xfId="14817"/>
    <cellStyle name="Comma 2 5 3 11" xfId="14818"/>
    <cellStyle name="Comma 2 5 3 2" xfId="14819"/>
    <cellStyle name="Comma 2 5 3 2 2" xfId="14820"/>
    <cellStyle name="Comma 2 5 3 2 2 2" xfId="14821"/>
    <cellStyle name="Comma 2 5 3 2 2 2 2" xfId="14822"/>
    <cellStyle name="Comma 2 5 3 2 2 2 3" xfId="14823"/>
    <cellStyle name="Comma 2 5 3 2 2 3" xfId="14824"/>
    <cellStyle name="Comma 2 5 3 2 2 4" xfId="14825"/>
    <cellStyle name="Comma 2 5 3 2 2 5" xfId="14826"/>
    <cellStyle name="Comma 2 5 3 2 2 6" xfId="14827"/>
    <cellStyle name="Comma 2 5 3 2 3" xfId="14828"/>
    <cellStyle name="Comma 2 5 3 2 3 2" xfId="14829"/>
    <cellStyle name="Comma 2 5 3 2 3 2 2" xfId="14830"/>
    <cellStyle name="Comma 2 5 3 2 3 3" xfId="14831"/>
    <cellStyle name="Comma 2 5 3 2 3 4" xfId="14832"/>
    <cellStyle name="Comma 2 5 3 2 3 5" xfId="14833"/>
    <cellStyle name="Comma 2 5 3 2 4" xfId="14834"/>
    <cellStyle name="Comma 2 5 3 2 4 2" xfId="14835"/>
    <cellStyle name="Comma 2 5 3 2 4 3" xfId="14836"/>
    <cellStyle name="Comma 2 5 3 2 4 4" xfId="14837"/>
    <cellStyle name="Comma 2 5 3 2 5" xfId="14838"/>
    <cellStyle name="Comma 2 5 3 2 5 2" xfId="14839"/>
    <cellStyle name="Comma 2 5 3 2 6" xfId="14840"/>
    <cellStyle name="Comma 2 5 3 2 7" xfId="14841"/>
    <cellStyle name="Comma 2 5 3 2 8" xfId="14842"/>
    <cellStyle name="Comma 2 5 3 2 9" xfId="14843"/>
    <cellStyle name="Comma 2 5 3 3" xfId="14844"/>
    <cellStyle name="Comma 2 5 3 3 2" xfId="14845"/>
    <cellStyle name="Comma 2 5 3 3 2 2" xfId="14846"/>
    <cellStyle name="Comma 2 5 3 3 2 2 2" xfId="14847"/>
    <cellStyle name="Comma 2 5 3 3 2 2 3" xfId="14848"/>
    <cellStyle name="Comma 2 5 3 3 2 3" xfId="14849"/>
    <cellStyle name="Comma 2 5 3 3 2 4" xfId="14850"/>
    <cellStyle name="Comma 2 5 3 3 2 5" xfId="14851"/>
    <cellStyle name="Comma 2 5 3 3 2 6" xfId="14852"/>
    <cellStyle name="Comma 2 5 3 3 3" xfId="14853"/>
    <cellStyle name="Comma 2 5 3 3 3 2" xfId="14854"/>
    <cellStyle name="Comma 2 5 3 3 3 2 2" xfId="14855"/>
    <cellStyle name="Comma 2 5 3 3 3 3" xfId="14856"/>
    <cellStyle name="Comma 2 5 3 3 3 4" xfId="14857"/>
    <cellStyle name="Comma 2 5 3 3 3 5" xfId="14858"/>
    <cellStyle name="Comma 2 5 3 3 4" xfId="14859"/>
    <cellStyle name="Comma 2 5 3 3 4 2" xfId="14860"/>
    <cellStyle name="Comma 2 5 3 3 4 3" xfId="14861"/>
    <cellStyle name="Comma 2 5 3 3 4 4" xfId="14862"/>
    <cellStyle name="Comma 2 5 3 3 5" xfId="14863"/>
    <cellStyle name="Comma 2 5 3 3 5 2" xfId="14864"/>
    <cellStyle name="Comma 2 5 3 3 6" xfId="14865"/>
    <cellStyle name="Comma 2 5 3 3 7" xfId="14866"/>
    <cellStyle name="Comma 2 5 3 3 8" xfId="14867"/>
    <cellStyle name="Comma 2 5 3 3 9" xfId="14868"/>
    <cellStyle name="Comma 2 5 3 4" xfId="14869"/>
    <cellStyle name="Comma 2 5 3 4 2" xfId="14870"/>
    <cellStyle name="Comma 2 5 3 4 2 2" xfId="14871"/>
    <cellStyle name="Comma 2 5 3 4 2 3" xfId="14872"/>
    <cellStyle name="Comma 2 5 3 4 3" xfId="14873"/>
    <cellStyle name="Comma 2 5 3 4 4" xfId="14874"/>
    <cellStyle name="Comma 2 5 3 4 5" xfId="14875"/>
    <cellStyle name="Comma 2 5 3 4 6" xfId="14876"/>
    <cellStyle name="Comma 2 5 3 5" xfId="14877"/>
    <cellStyle name="Comma 2 5 3 5 2" xfId="14878"/>
    <cellStyle name="Comma 2 5 3 5 2 2" xfId="14879"/>
    <cellStyle name="Comma 2 5 3 5 3" xfId="14880"/>
    <cellStyle name="Comma 2 5 3 5 4" xfId="14881"/>
    <cellStyle name="Comma 2 5 3 5 5" xfId="14882"/>
    <cellStyle name="Comma 2 5 3 6" xfId="14883"/>
    <cellStyle name="Comma 2 5 3 6 2" xfId="14884"/>
    <cellStyle name="Comma 2 5 3 6 3" xfId="14885"/>
    <cellStyle name="Comma 2 5 3 6 4" xfId="14886"/>
    <cellStyle name="Comma 2 5 3 7" xfId="14887"/>
    <cellStyle name="Comma 2 5 3 7 2" xfId="14888"/>
    <cellStyle name="Comma 2 5 3 8" xfId="14889"/>
    <cellStyle name="Comma 2 5 3 9" xfId="14890"/>
    <cellStyle name="Comma 2 5 4" xfId="14891"/>
    <cellStyle name="Comma 2 5 4 10" xfId="14892"/>
    <cellStyle name="Comma 2 5 4 11" xfId="14893"/>
    <cellStyle name="Comma 2 5 4 2" xfId="14894"/>
    <cellStyle name="Comma 2 5 4 2 2" xfId="14895"/>
    <cellStyle name="Comma 2 5 4 2 2 2" xfId="14896"/>
    <cellStyle name="Comma 2 5 4 2 2 2 2" xfId="14897"/>
    <cellStyle name="Comma 2 5 4 2 2 2 3" xfId="14898"/>
    <cellStyle name="Comma 2 5 4 2 2 3" xfId="14899"/>
    <cellStyle name="Comma 2 5 4 2 2 4" xfId="14900"/>
    <cellStyle name="Comma 2 5 4 2 2 5" xfId="14901"/>
    <cellStyle name="Comma 2 5 4 2 2 6" xfId="14902"/>
    <cellStyle name="Comma 2 5 4 2 3" xfId="14903"/>
    <cellStyle name="Comma 2 5 4 2 3 2" xfId="14904"/>
    <cellStyle name="Comma 2 5 4 2 3 2 2" xfId="14905"/>
    <cellStyle name="Comma 2 5 4 2 3 3" xfId="14906"/>
    <cellStyle name="Comma 2 5 4 2 3 4" xfId="14907"/>
    <cellStyle name="Comma 2 5 4 2 3 5" xfId="14908"/>
    <cellStyle name="Comma 2 5 4 2 4" xfId="14909"/>
    <cellStyle name="Comma 2 5 4 2 4 2" xfId="14910"/>
    <cellStyle name="Comma 2 5 4 2 4 3" xfId="14911"/>
    <cellStyle name="Comma 2 5 4 2 4 4" xfId="14912"/>
    <cellStyle name="Comma 2 5 4 2 5" xfId="14913"/>
    <cellStyle name="Comma 2 5 4 2 5 2" xfId="14914"/>
    <cellStyle name="Comma 2 5 4 2 6" xfId="14915"/>
    <cellStyle name="Comma 2 5 4 2 7" xfId="14916"/>
    <cellStyle name="Comma 2 5 4 2 8" xfId="14917"/>
    <cellStyle name="Comma 2 5 4 2 9" xfId="14918"/>
    <cellStyle name="Comma 2 5 4 3" xfId="14919"/>
    <cellStyle name="Comma 2 5 4 3 2" xfId="14920"/>
    <cellStyle name="Comma 2 5 4 3 2 2" xfId="14921"/>
    <cellStyle name="Comma 2 5 4 3 2 2 2" xfId="14922"/>
    <cellStyle name="Comma 2 5 4 3 2 2 3" xfId="14923"/>
    <cellStyle name="Comma 2 5 4 3 2 3" xfId="14924"/>
    <cellStyle name="Comma 2 5 4 3 2 4" xfId="14925"/>
    <cellStyle name="Comma 2 5 4 3 2 5" xfId="14926"/>
    <cellStyle name="Comma 2 5 4 3 2 6" xfId="14927"/>
    <cellStyle name="Comma 2 5 4 3 3" xfId="14928"/>
    <cellStyle name="Comma 2 5 4 3 3 2" xfId="14929"/>
    <cellStyle name="Comma 2 5 4 3 3 2 2" xfId="14930"/>
    <cellStyle name="Comma 2 5 4 3 3 3" xfId="14931"/>
    <cellStyle name="Comma 2 5 4 3 3 4" xfId="14932"/>
    <cellStyle name="Comma 2 5 4 3 3 5" xfId="14933"/>
    <cellStyle name="Comma 2 5 4 3 4" xfId="14934"/>
    <cellStyle name="Comma 2 5 4 3 4 2" xfId="14935"/>
    <cellStyle name="Comma 2 5 4 3 4 3" xfId="14936"/>
    <cellStyle name="Comma 2 5 4 3 4 4" xfId="14937"/>
    <cellStyle name="Comma 2 5 4 3 5" xfId="14938"/>
    <cellStyle name="Comma 2 5 4 3 5 2" xfId="14939"/>
    <cellStyle name="Comma 2 5 4 3 6" xfId="14940"/>
    <cellStyle name="Comma 2 5 4 3 7" xfId="14941"/>
    <cellStyle name="Comma 2 5 4 3 8" xfId="14942"/>
    <cellStyle name="Comma 2 5 4 3 9" xfId="14943"/>
    <cellStyle name="Comma 2 5 4 4" xfId="14944"/>
    <cellStyle name="Comma 2 5 4 4 2" xfId="14945"/>
    <cellStyle name="Comma 2 5 4 4 2 2" xfId="14946"/>
    <cellStyle name="Comma 2 5 4 4 2 3" xfId="14947"/>
    <cellStyle name="Comma 2 5 4 4 3" xfId="14948"/>
    <cellStyle name="Comma 2 5 4 4 4" xfId="14949"/>
    <cellStyle name="Comma 2 5 4 4 5" xfId="14950"/>
    <cellStyle name="Comma 2 5 4 4 6" xfId="14951"/>
    <cellStyle name="Comma 2 5 4 5" xfId="14952"/>
    <cellStyle name="Comma 2 5 4 5 2" xfId="14953"/>
    <cellStyle name="Comma 2 5 4 5 2 2" xfId="14954"/>
    <cellStyle name="Comma 2 5 4 5 3" xfId="14955"/>
    <cellStyle name="Comma 2 5 4 5 4" xfId="14956"/>
    <cellStyle name="Comma 2 5 4 5 5" xfId="14957"/>
    <cellStyle name="Comma 2 5 4 6" xfId="14958"/>
    <cellStyle name="Comma 2 5 4 6 2" xfId="14959"/>
    <cellStyle name="Comma 2 5 4 6 3" xfId="14960"/>
    <cellStyle name="Comma 2 5 4 6 4" xfId="14961"/>
    <cellStyle name="Comma 2 5 4 7" xfId="14962"/>
    <cellStyle name="Comma 2 5 4 7 2" xfId="14963"/>
    <cellStyle name="Comma 2 5 4 8" xfId="14964"/>
    <cellStyle name="Comma 2 5 4 9" xfId="14965"/>
    <cellStyle name="Comma 2 5 5" xfId="14966"/>
    <cellStyle name="Comma 2 5 5 10" xfId="14967"/>
    <cellStyle name="Comma 2 5 5 11" xfId="14968"/>
    <cellStyle name="Comma 2 5 5 2" xfId="14969"/>
    <cellStyle name="Comma 2 5 5 2 2" xfId="14970"/>
    <cellStyle name="Comma 2 5 5 2 2 2" xfId="14971"/>
    <cellStyle name="Comma 2 5 5 2 2 2 2" xfId="14972"/>
    <cellStyle name="Comma 2 5 5 2 2 2 3" xfId="14973"/>
    <cellStyle name="Comma 2 5 5 2 2 3" xfId="14974"/>
    <cellStyle name="Comma 2 5 5 2 2 4" xfId="14975"/>
    <cellStyle name="Comma 2 5 5 2 2 5" xfId="14976"/>
    <cellStyle name="Comma 2 5 5 2 2 6" xfId="14977"/>
    <cellStyle name="Comma 2 5 5 2 3" xfId="14978"/>
    <cellStyle name="Comma 2 5 5 2 3 2" xfId="14979"/>
    <cellStyle name="Comma 2 5 5 2 3 2 2" xfId="14980"/>
    <cellStyle name="Comma 2 5 5 2 3 3" xfId="14981"/>
    <cellStyle name="Comma 2 5 5 2 3 4" xfId="14982"/>
    <cellStyle name="Comma 2 5 5 2 3 5" xfId="14983"/>
    <cellStyle name="Comma 2 5 5 2 4" xfId="14984"/>
    <cellStyle name="Comma 2 5 5 2 4 2" xfId="14985"/>
    <cellStyle name="Comma 2 5 5 2 4 3" xfId="14986"/>
    <cellStyle name="Comma 2 5 5 2 4 4" xfId="14987"/>
    <cellStyle name="Comma 2 5 5 2 5" xfId="14988"/>
    <cellStyle name="Comma 2 5 5 2 5 2" xfId="14989"/>
    <cellStyle name="Comma 2 5 5 2 6" xfId="14990"/>
    <cellStyle name="Comma 2 5 5 2 7" xfId="14991"/>
    <cellStyle name="Comma 2 5 5 2 8" xfId="14992"/>
    <cellStyle name="Comma 2 5 5 2 9" xfId="14993"/>
    <cellStyle name="Comma 2 5 5 3" xfId="14994"/>
    <cellStyle name="Comma 2 5 5 3 2" xfId="14995"/>
    <cellStyle name="Comma 2 5 5 3 2 2" xfId="14996"/>
    <cellStyle name="Comma 2 5 5 3 2 2 2" xfId="14997"/>
    <cellStyle name="Comma 2 5 5 3 2 2 3" xfId="14998"/>
    <cellStyle name="Comma 2 5 5 3 2 3" xfId="14999"/>
    <cellStyle name="Comma 2 5 5 3 2 4" xfId="15000"/>
    <cellStyle name="Comma 2 5 5 3 2 5" xfId="15001"/>
    <cellStyle name="Comma 2 5 5 3 2 6" xfId="15002"/>
    <cellStyle name="Comma 2 5 5 3 3" xfId="15003"/>
    <cellStyle name="Comma 2 5 5 3 3 2" xfId="15004"/>
    <cellStyle name="Comma 2 5 5 3 3 2 2" xfId="15005"/>
    <cellStyle name="Comma 2 5 5 3 3 3" xfId="15006"/>
    <cellStyle name="Comma 2 5 5 3 3 4" xfId="15007"/>
    <cellStyle name="Comma 2 5 5 3 3 5" xfId="15008"/>
    <cellStyle name="Comma 2 5 5 3 4" xfId="15009"/>
    <cellStyle name="Comma 2 5 5 3 4 2" xfId="15010"/>
    <cellStyle name="Comma 2 5 5 3 4 3" xfId="15011"/>
    <cellStyle name="Comma 2 5 5 3 4 4" xfId="15012"/>
    <cellStyle name="Comma 2 5 5 3 5" xfId="15013"/>
    <cellStyle name="Comma 2 5 5 3 5 2" xfId="15014"/>
    <cellStyle name="Comma 2 5 5 3 6" xfId="15015"/>
    <cellStyle name="Comma 2 5 5 3 7" xfId="15016"/>
    <cellStyle name="Comma 2 5 5 3 8" xfId="15017"/>
    <cellStyle name="Comma 2 5 5 3 9" xfId="15018"/>
    <cellStyle name="Comma 2 5 5 4" xfId="15019"/>
    <cellStyle name="Comma 2 5 5 4 2" xfId="15020"/>
    <cellStyle name="Comma 2 5 5 4 2 2" xfId="15021"/>
    <cellStyle name="Comma 2 5 5 4 2 3" xfId="15022"/>
    <cellStyle name="Comma 2 5 5 4 3" xfId="15023"/>
    <cellStyle name="Comma 2 5 5 4 4" xfId="15024"/>
    <cellStyle name="Comma 2 5 5 4 5" xfId="15025"/>
    <cellStyle name="Comma 2 5 5 4 6" xfId="15026"/>
    <cellStyle name="Comma 2 5 5 5" xfId="15027"/>
    <cellStyle name="Comma 2 5 5 5 2" xfId="15028"/>
    <cellStyle name="Comma 2 5 5 5 2 2" xfId="15029"/>
    <cellStyle name="Comma 2 5 5 5 3" xfId="15030"/>
    <cellStyle name="Comma 2 5 5 5 4" xfId="15031"/>
    <cellStyle name="Comma 2 5 5 5 5" xfId="15032"/>
    <cellStyle name="Comma 2 5 5 6" xfId="15033"/>
    <cellStyle name="Comma 2 5 5 6 2" xfId="15034"/>
    <cellStyle name="Comma 2 5 5 6 3" xfId="15035"/>
    <cellStyle name="Comma 2 5 5 6 4" xfId="15036"/>
    <cellStyle name="Comma 2 5 5 7" xfId="15037"/>
    <cellStyle name="Comma 2 5 5 7 2" xfId="15038"/>
    <cellStyle name="Comma 2 5 5 8" xfId="15039"/>
    <cellStyle name="Comma 2 5 5 9" xfId="15040"/>
    <cellStyle name="Comma 2 5 6" xfId="15041"/>
    <cellStyle name="Comma 2 5 6 10" xfId="15042"/>
    <cellStyle name="Comma 2 5 6 11" xfId="15043"/>
    <cellStyle name="Comma 2 5 6 2" xfId="15044"/>
    <cellStyle name="Comma 2 5 6 2 2" xfId="15045"/>
    <cellStyle name="Comma 2 5 6 2 2 2" xfId="15046"/>
    <cellStyle name="Comma 2 5 6 2 2 2 2" xfId="15047"/>
    <cellStyle name="Comma 2 5 6 2 2 2 3" xfId="15048"/>
    <cellStyle name="Comma 2 5 6 2 2 3" xfId="15049"/>
    <cellStyle name="Comma 2 5 6 2 2 4" xfId="15050"/>
    <cellStyle name="Comma 2 5 6 2 2 5" xfId="15051"/>
    <cellStyle name="Comma 2 5 6 2 2 6" xfId="15052"/>
    <cellStyle name="Comma 2 5 6 2 3" xfId="15053"/>
    <cellStyle name="Comma 2 5 6 2 3 2" xfId="15054"/>
    <cellStyle name="Comma 2 5 6 2 3 2 2" xfId="15055"/>
    <cellStyle name="Comma 2 5 6 2 3 3" xfId="15056"/>
    <cellStyle name="Comma 2 5 6 2 3 4" xfId="15057"/>
    <cellStyle name="Comma 2 5 6 2 3 5" xfId="15058"/>
    <cellStyle name="Comma 2 5 6 2 4" xfId="15059"/>
    <cellStyle name="Comma 2 5 6 2 4 2" xfId="15060"/>
    <cellStyle name="Comma 2 5 6 2 4 3" xfId="15061"/>
    <cellStyle name="Comma 2 5 6 2 4 4" xfId="15062"/>
    <cellStyle name="Comma 2 5 6 2 5" xfId="15063"/>
    <cellStyle name="Comma 2 5 6 2 5 2" xfId="15064"/>
    <cellStyle name="Comma 2 5 6 2 6" xfId="15065"/>
    <cellStyle name="Comma 2 5 6 2 7" xfId="15066"/>
    <cellStyle name="Comma 2 5 6 2 8" xfId="15067"/>
    <cellStyle name="Comma 2 5 6 2 9" xfId="15068"/>
    <cellStyle name="Comma 2 5 6 3" xfId="15069"/>
    <cellStyle name="Comma 2 5 6 3 2" xfId="15070"/>
    <cellStyle name="Comma 2 5 6 3 2 2" xfId="15071"/>
    <cellStyle name="Comma 2 5 6 3 2 2 2" xfId="15072"/>
    <cellStyle name="Comma 2 5 6 3 2 2 3" xfId="15073"/>
    <cellStyle name="Comma 2 5 6 3 2 3" xfId="15074"/>
    <cellStyle name="Comma 2 5 6 3 2 4" xfId="15075"/>
    <cellStyle name="Comma 2 5 6 3 2 5" xfId="15076"/>
    <cellStyle name="Comma 2 5 6 3 2 6" xfId="15077"/>
    <cellStyle name="Comma 2 5 6 3 3" xfId="15078"/>
    <cellStyle name="Comma 2 5 6 3 3 2" xfId="15079"/>
    <cellStyle name="Comma 2 5 6 3 3 2 2" xfId="15080"/>
    <cellStyle name="Comma 2 5 6 3 3 3" xfId="15081"/>
    <cellStyle name="Comma 2 5 6 3 3 4" xfId="15082"/>
    <cellStyle name="Comma 2 5 6 3 3 5" xfId="15083"/>
    <cellStyle name="Comma 2 5 6 3 4" xfId="15084"/>
    <cellStyle name="Comma 2 5 6 3 4 2" xfId="15085"/>
    <cellStyle name="Comma 2 5 6 3 4 3" xfId="15086"/>
    <cellStyle name="Comma 2 5 6 3 4 4" xfId="15087"/>
    <cellStyle name="Comma 2 5 6 3 5" xfId="15088"/>
    <cellStyle name="Comma 2 5 6 3 5 2" xfId="15089"/>
    <cellStyle name="Comma 2 5 6 3 6" xfId="15090"/>
    <cellStyle name="Comma 2 5 6 3 7" xfId="15091"/>
    <cellStyle name="Comma 2 5 6 3 8" xfId="15092"/>
    <cellStyle name="Comma 2 5 6 3 9" xfId="15093"/>
    <cellStyle name="Comma 2 5 6 4" xfId="15094"/>
    <cellStyle name="Comma 2 5 6 4 2" xfId="15095"/>
    <cellStyle name="Comma 2 5 6 4 2 2" xfId="15096"/>
    <cellStyle name="Comma 2 5 6 4 2 3" xfId="15097"/>
    <cellStyle name="Comma 2 5 6 4 3" xfId="15098"/>
    <cellStyle name="Comma 2 5 6 4 4" xfId="15099"/>
    <cellStyle name="Comma 2 5 6 4 5" xfId="15100"/>
    <cellStyle name="Comma 2 5 6 4 6" xfId="15101"/>
    <cellStyle name="Comma 2 5 6 5" xfId="15102"/>
    <cellStyle name="Comma 2 5 6 5 2" xfId="15103"/>
    <cellStyle name="Comma 2 5 6 5 2 2" xfId="15104"/>
    <cellStyle name="Comma 2 5 6 5 3" xfId="15105"/>
    <cellStyle name="Comma 2 5 6 5 4" xfId="15106"/>
    <cellStyle name="Comma 2 5 6 5 5" xfId="15107"/>
    <cellStyle name="Comma 2 5 6 6" xfId="15108"/>
    <cellStyle name="Comma 2 5 6 6 2" xfId="15109"/>
    <cellStyle name="Comma 2 5 6 6 3" xfId="15110"/>
    <cellStyle name="Comma 2 5 6 6 4" xfId="15111"/>
    <cellStyle name="Comma 2 5 6 7" xfId="15112"/>
    <cellStyle name="Comma 2 5 6 7 2" xfId="15113"/>
    <cellStyle name="Comma 2 5 6 8" xfId="15114"/>
    <cellStyle name="Comma 2 5 6 9" xfId="15115"/>
    <cellStyle name="Comma 2 5 7" xfId="15116"/>
    <cellStyle name="Comma 2 5 7 10" xfId="15117"/>
    <cellStyle name="Comma 2 5 7 11" xfId="15118"/>
    <cellStyle name="Comma 2 5 7 2" xfId="15119"/>
    <cellStyle name="Comma 2 5 7 2 2" xfId="15120"/>
    <cellStyle name="Comma 2 5 7 2 2 2" xfId="15121"/>
    <cellStyle name="Comma 2 5 7 2 2 2 2" xfId="15122"/>
    <cellStyle name="Comma 2 5 7 2 2 2 3" xfId="15123"/>
    <cellStyle name="Comma 2 5 7 2 2 3" xfId="15124"/>
    <cellStyle name="Comma 2 5 7 2 2 4" xfId="15125"/>
    <cellStyle name="Comma 2 5 7 2 2 5" xfId="15126"/>
    <cellStyle name="Comma 2 5 7 2 2 6" xfId="15127"/>
    <cellStyle name="Comma 2 5 7 2 3" xfId="15128"/>
    <cellStyle name="Comma 2 5 7 2 3 2" xfId="15129"/>
    <cellStyle name="Comma 2 5 7 2 3 2 2" xfId="15130"/>
    <cellStyle name="Comma 2 5 7 2 3 3" xfId="15131"/>
    <cellStyle name="Comma 2 5 7 2 3 4" xfId="15132"/>
    <cellStyle name="Comma 2 5 7 2 3 5" xfId="15133"/>
    <cellStyle name="Comma 2 5 7 2 4" xfId="15134"/>
    <cellStyle name="Comma 2 5 7 2 4 2" xfId="15135"/>
    <cellStyle name="Comma 2 5 7 2 4 3" xfId="15136"/>
    <cellStyle name="Comma 2 5 7 2 4 4" xfId="15137"/>
    <cellStyle name="Comma 2 5 7 2 5" xfId="15138"/>
    <cellStyle name="Comma 2 5 7 2 5 2" xfId="15139"/>
    <cellStyle name="Comma 2 5 7 2 6" xfId="15140"/>
    <cellStyle name="Comma 2 5 7 2 7" xfId="15141"/>
    <cellStyle name="Comma 2 5 7 2 8" xfId="15142"/>
    <cellStyle name="Comma 2 5 7 2 9" xfId="15143"/>
    <cellStyle name="Comma 2 5 7 3" xfId="15144"/>
    <cellStyle name="Comma 2 5 7 3 2" xfId="15145"/>
    <cellStyle name="Comma 2 5 7 3 2 2" xfId="15146"/>
    <cellStyle name="Comma 2 5 7 3 2 2 2" xfId="15147"/>
    <cellStyle name="Comma 2 5 7 3 2 2 3" xfId="15148"/>
    <cellStyle name="Comma 2 5 7 3 2 3" xfId="15149"/>
    <cellStyle name="Comma 2 5 7 3 2 4" xfId="15150"/>
    <cellStyle name="Comma 2 5 7 3 2 5" xfId="15151"/>
    <cellStyle name="Comma 2 5 7 3 2 6" xfId="15152"/>
    <cellStyle name="Comma 2 5 7 3 3" xfId="15153"/>
    <cellStyle name="Comma 2 5 7 3 3 2" xfId="15154"/>
    <cellStyle name="Comma 2 5 7 3 3 2 2" xfId="15155"/>
    <cellStyle name="Comma 2 5 7 3 3 3" xfId="15156"/>
    <cellStyle name="Comma 2 5 7 3 3 4" xfId="15157"/>
    <cellStyle name="Comma 2 5 7 3 3 5" xfId="15158"/>
    <cellStyle name="Comma 2 5 7 3 4" xfId="15159"/>
    <cellStyle name="Comma 2 5 7 3 4 2" xfId="15160"/>
    <cellStyle name="Comma 2 5 7 3 4 3" xfId="15161"/>
    <cellStyle name="Comma 2 5 7 3 4 4" xfId="15162"/>
    <cellStyle name="Comma 2 5 7 3 5" xfId="15163"/>
    <cellStyle name="Comma 2 5 7 3 5 2" xfId="15164"/>
    <cellStyle name="Comma 2 5 7 3 6" xfId="15165"/>
    <cellStyle name="Comma 2 5 7 3 7" xfId="15166"/>
    <cellStyle name="Comma 2 5 7 3 8" xfId="15167"/>
    <cellStyle name="Comma 2 5 7 3 9" xfId="15168"/>
    <cellStyle name="Comma 2 5 7 4" xfId="15169"/>
    <cellStyle name="Comma 2 5 7 4 2" xfId="15170"/>
    <cellStyle name="Comma 2 5 7 4 2 2" xfId="15171"/>
    <cellStyle name="Comma 2 5 7 4 2 3" xfId="15172"/>
    <cellStyle name="Comma 2 5 7 4 3" xfId="15173"/>
    <cellStyle name="Comma 2 5 7 4 4" xfId="15174"/>
    <cellStyle name="Comma 2 5 7 4 5" xfId="15175"/>
    <cellStyle name="Comma 2 5 7 4 6" xfId="15176"/>
    <cellStyle name="Comma 2 5 7 5" xfId="15177"/>
    <cellStyle name="Comma 2 5 7 5 2" xfId="15178"/>
    <cellStyle name="Comma 2 5 7 5 2 2" xfId="15179"/>
    <cellStyle name="Comma 2 5 7 5 3" xfId="15180"/>
    <cellStyle name="Comma 2 5 7 5 4" xfId="15181"/>
    <cellStyle name="Comma 2 5 7 5 5" xfId="15182"/>
    <cellStyle name="Comma 2 5 7 6" xfId="15183"/>
    <cellStyle name="Comma 2 5 7 6 2" xfId="15184"/>
    <cellStyle name="Comma 2 5 7 6 3" xfId="15185"/>
    <cellStyle name="Comma 2 5 7 6 4" xfId="15186"/>
    <cellStyle name="Comma 2 5 7 7" xfId="15187"/>
    <cellStyle name="Comma 2 5 7 7 2" xfId="15188"/>
    <cellStyle name="Comma 2 5 7 8" xfId="15189"/>
    <cellStyle name="Comma 2 5 7 9" xfId="15190"/>
    <cellStyle name="Comma 2 5 8" xfId="15191"/>
    <cellStyle name="Comma 2 5 8 10" xfId="15192"/>
    <cellStyle name="Comma 2 5 8 2" xfId="15193"/>
    <cellStyle name="Comma 2 5 8 2 2" xfId="15194"/>
    <cellStyle name="Comma 2 5 8 2 2 2" xfId="15195"/>
    <cellStyle name="Comma 2 5 8 2 2 3" xfId="15196"/>
    <cellStyle name="Comma 2 5 8 2 3" xfId="15197"/>
    <cellStyle name="Comma 2 5 8 2 4" xfId="15198"/>
    <cellStyle name="Comma 2 5 8 2 5" xfId="15199"/>
    <cellStyle name="Comma 2 5 8 2 6" xfId="15200"/>
    <cellStyle name="Comma 2 5 8 3" xfId="15201"/>
    <cellStyle name="Comma 2 5 8 3 2" xfId="15202"/>
    <cellStyle name="Comma 2 5 8 3 2 2" xfId="15203"/>
    <cellStyle name="Comma 2 5 8 3 2 3" xfId="15204"/>
    <cellStyle name="Comma 2 5 8 3 3" xfId="15205"/>
    <cellStyle name="Comma 2 5 8 3 4" xfId="15206"/>
    <cellStyle name="Comma 2 5 8 3 5" xfId="15207"/>
    <cellStyle name="Comma 2 5 8 3 6" xfId="15208"/>
    <cellStyle name="Comma 2 5 8 4" xfId="15209"/>
    <cellStyle name="Comma 2 5 8 4 2" xfId="15210"/>
    <cellStyle name="Comma 2 5 8 4 2 2" xfId="15211"/>
    <cellStyle name="Comma 2 5 8 4 3" xfId="15212"/>
    <cellStyle name="Comma 2 5 8 4 4" xfId="15213"/>
    <cellStyle name="Comma 2 5 8 4 5" xfId="15214"/>
    <cellStyle name="Comma 2 5 8 5" xfId="15215"/>
    <cellStyle name="Comma 2 5 8 5 2" xfId="15216"/>
    <cellStyle name="Comma 2 5 8 5 3" xfId="15217"/>
    <cellStyle name="Comma 2 5 8 5 4" xfId="15218"/>
    <cellStyle name="Comma 2 5 8 6" xfId="15219"/>
    <cellStyle name="Comma 2 5 8 6 2" xfId="15220"/>
    <cellStyle name="Comma 2 5 8 7" xfId="15221"/>
    <cellStyle name="Comma 2 5 8 8" xfId="15222"/>
    <cellStyle name="Comma 2 5 8 9" xfId="15223"/>
    <cellStyle name="Comma 2 5 9" xfId="15224"/>
    <cellStyle name="Comma 2 5 9 10" xfId="15225"/>
    <cellStyle name="Comma 2 5 9 2" xfId="15226"/>
    <cellStyle name="Comma 2 5 9 2 2" xfId="15227"/>
    <cellStyle name="Comma 2 5 9 2 2 2" xfId="15228"/>
    <cellStyle name="Comma 2 5 9 2 2 3" xfId="15229"/>
    <cellStyle name="Comma 2 5 9 2 3" xfId="15230"/>
    <cellStyle name="Comma 2 5 9 2 4" xfId="15231"/>
    <cellStyle name="Comma 2 5 9 2 5" xfId="15232"/>
    <cellStyle name="Comma 2 5 9 2 6" xfId="15233"/>
    <cellStyle name="Comma 2 5 9 3" xfId="15234"/>
    <cellStyle name="Comma 2 5 9 3 2" xfId="15235"/>
    <cellStyle name="Comma 2 5 9 3 2 2" xfId="15236"/>
    <cellStyle name="Comma 2 5 9 3 2 3" xfId="15237"/>
    <cellStyle name="Comma 2 5 9 3 3" xfId="15238"/>
    <cellStyle name="Comma 2 5 9 3 4" xfId="15239"/>
    <cellStyle name="Comma 2 5 9 3 5" xfId="15240"/>
    <cellStyle name="Comma 2 5 9 3 6" xfId="15241"/>
    <cellStyle name="Comma 2 5 9 4" xfId="15242"/>
    <cellStyle name="Comma 2 5 9 4 2" xfId="15243"/>
    <cellStyle name="Comma 2 5 9 4 2 2" xfId="15244"/>
    <cellStyle name="Comma 2 5 9 4 3" xfId="15245"/>
    <cellStyle name="Comma 2 5 9 4 4" xfId="15246"/>
    <cellStyle name="Comma 2 5 9 4 5" xfId="15247"/>
    <cellStyle name="Comma 2 5 9 5" xfId="15248"/>
    <cellStyle name="Comma 2 5 9 5 2" xfId="15249"/>
    <cellStyle name="Comma 2 5 9 5 3" xfId="15250"/>
    <cellStyle name="Comma 2 5 9 5 4" xfId="15251"/>
    <cellStyle name="Comma 2 5 9 6" xfId="15252"/>
    <cellStyle name="Comma 2 5 9 6 2" xfId="15253"/>
    <cellStyle name="Comma 2 5 9 7" xfId="15254"/>
    <cellStyle name="Comma 2 5 9 8" xfId="15255"/>
    <cellStyle name="Comma 2 5 9 9" xfId="15256"/>
    <cellStyle name="Comma 2 50" xfId="15257"/>
    <cellStyle name="Comma 2 50 2" xfId="15258"/>
    <cellStyle name="Comma 2 50 2 2" xfId="15259"/>
    <cellStyle name="Comma 2 50 3" xfId="15260"/>
    <cellStyle name="Comma 2 50 4" xfId="15261"/>
    <cellStyle name="Comma 2 50 5" xfId="15262"/>
    <cellStyle name="Comma 2 50 6" xfId="15263"/>
    <cellStyle name="Comma 2 50 7" xfId="15264"/>
    <cellStyle name="Comma 2 51" xfId="15265"/>
    <cellStyle name="Comma 2 51 2" xfId="15266"/>
    <cellStyle name="Comma 2 51 2 2" xfId="15267"/>
    <cellStyle name="Comma 2 51 3" xfId="15268"/>
    <cellStyle name="Comma 2 51 4" xfId="15269"/>
    <cellStyle name="Comma 2 51 5" xfId="15270"/>
    <cellStyle name="Comma 2 51 6" xfId="15271"/>
    <cellStyle name="Comma 2 51 7" xfId="15272"/>
    <cellStyle name="Comma 2 52" xfId="15273"/>
    <cellStyle name="Comma 2 52 2" xfId="15274"/>
    <cellStyle name="Comma 2 52 2 2" xfId="15275"/>
    <cellStyle name="Comma 2 52 3" xfId="15276"/>
    <cellStyle name="Comma 2 52 4" xfId="15277"/>
    <cellStyle name="Comma 2 52 5" xfId="15278"/>
    <cellStyle name="Comma 2 52 6" xfId="15279"/>
    <cellStyle name="Comma 2 52 7" xfId="15280"/>
    <cellStyle name="Comma 2 53" xfId="15281"/>
    <cellStyle name="Comma 2 53 2" xfId="15282"/>
    <cellStyle name="Comma 2 53 2 2" xfId="15283"/>
    <cellStyle name="Comma 2 53 3" xfId="15284"/>
    <cellStyle name="Comma 2 53 4" xfId="15285"/>
    <cellStyle name="Comma 2 53 5" xfId="15286"/>
    <cellStyle name="Comma 2 53 6" xfId="15287"/>
    <cellStyle name="Comma 2 53 7" xfId="15288"/>
    <cellStyle name="Comma 2 54" xfId="15289"/>
    <cellStyle name="Comma 2 54 2" xfId="15290"/>
    <cellStyle name="Comma 2 54 2 2" xfId="15291"/>
    <cellStyle name="Comma 2 54 3" xfId="15292"/>
    <cellStyle name="Comma 2 54 4" xfId="15293"/>
    <cellStyle name="Comma 2 54 5" xfId="15294"/>
    <cellStyle name="Comma 2 54 6" xfId="15295"/>
    <cellStyle name="Comma 2 54 7" xfId="15296"/>
    <cellStyle name="Comma 2 55" xfId="15297"/>
    <cellStyle name="Comma 2 55 2" xfId="15298"/>
    <cellStyle name="Comma 2 55 2 2" xfId="15299"/>
    <cellStyle name="Comma 2 55 3" xfId="15300"/>
    <cellStyle name="Comma 2 55 4" xfId="15301"/>
    <cellStyle name="Comma 2 55 5" xfId="15302"/>
    <cellStyle name="Comma 2 55 6" xfId="15303"/>
    <cellStyle name="Comma 2 55 7" xfId="15304"/>
    <cellStyle name="Comma 2 56" xfId="15305"/>
    <cellStyle name="Comma 2 56 2" xfId="15306"/>
    <cellStyle name="Comma 2 57" xfId="15307"/>
    <cellStyle name="Comma 2 57 2" xfId="15308"/>
    <cellStyle name="Comma 2 58" xfId="15309"/>
    <cellStyle name="Comma 2 58 2" xfId="15310"/>
    <cellStyle name="Comma 2 59" xfId="15311"/>
    <cellStyle name="Comma 2 59 2" xfId="15312"/>
    <cellStyle name="Comma 2 6" xfId="15313"/>
    <cellStyle name="Comma 2 6 10" xfId="15314"/>
    <cellStyle name="Comma 2 6 10 10" xfId="15315"/>
    <cellStyle name="Comma 2 6 10 2" xfId="15316"/>
    <cellStyle name="Comma 2 6 10 2 2" xfId="15317"/>
    <cellStyle name="Comma 2 6 10 2 2 2" xfId="15318"/>
    <cellStyle name="Comma 2 6 10 2 2 3" xfId="15319"/>
    <cellStyle name="Comma 2 6 10 2 3" xfId="15320"/>
    <cellStyle name="Comma 2 6 10 2 4" xfId="15321"/>
    <cellStyle name="Comma 2 6 10 2 5" xfId="15322"/>
    <cellStyle name="Comma 2 6 10 2 6" xfId="15323"/>
    <cellStyle name="Comma 2 6 10 3" xfId="15324"/>
    <cellStyle name="Comma 2 6 10 3 2" xfId="15325"/>
    <cellStyle name="Comma 2 6 10 3 2 2" xfId="15326"/>
    <cellStyle name="Comma 2 6 10 3 2 3" xfId="15327"/>
    <cellStyle name="Comma 2 6 10 3 3" xfId="15328"/>
    <cellStyle name="Comma 2 6 10 3 4" xfId="15329"/>
    <cellStyle name="Comma 2 6 10 3 5" xfId="15330"/>
    <cellStyle name="Comma 2 6 10 3 6" xfId="15331"/>
    <cellStyle name="Comma 2 6 10 4" xfId="15332"/>
    <cellStyle name="Comma 2 6 10 4 2" xfId="15333"/>
    <cellStyle name="Comma 2 6 10 4 2 2" xfId="15334"/>
    <cellStyle name="Comma 2 6 10 4 3" xfId="15335"/>
    <cellStyle name="Comma 2 6 10 4 4" xfId="15336"/>
    <cellStyle name="Comma 2 6 10 4 5" xfId="15337"/>
    <cellStyle name="Comma 2 6 10 5" xfId="15338"/>
    <cellStyle name="Comma 2 6 10 5 2" xfId="15339"/>
    <cellStyle name="Comma 2 6 10 5 3" xfId="15340"/>
    <cellStyle name="Comma 2 6 10 5 4" xfId="15341"/>
    <cellStyle name="Comma 2 6 10 6" xfId="15342"/>
    <cellStyle name="Comma 2 6 10 6 2" xfId="15343"/>
    <cellStyle name="Comma 2 6 10 7" xfId="15344"/>
    <cellStyle name="Comma 2 6 10 8" xfId="15345"/>
    <cellStyle name="Comma 2 6 10 9" xfId="15346"/>
    <cellStyle name="Comma 2 6 11" xfId="15347"/>
    <cellStyle name="Comma 2 6 11 10" xfId="15348"/>
    <cellStyle name="Comma 2 6 11 2" xfId="15349"/>
    <cellStyle name="Comma 2 6 11 2 2" xfId="15350"/>
    <cellStyle name="Comma 2 6 11 2 2 2" xfId="15351"/>
    <cellStyle name="Comma 2 6 11 2 2 3" xfId="15352"/>
    <cellStyle name="Comma 2 6 11 2 3" xfId="15353"/>
    <cellStyle name="Comma 2 6 11 2 4" xfId="15354"/>
    <cellStyle name="Comma 2 6 11 2 5" xfId="15355"/>
    <cellStyle name="Comma 2 6 11 2 6" xfId="15356"/>
    <cellStyle name="Comma 2 6 11 3" xfId="15357"/>
    <cellStyle name="Comma 2 6 11 3 2" xfId="15358"/>
    <cellStyle name="Comma 2 6 11 3 2 2" xfId="15359"/>
    <cellStyle name="Comma 2 6 11 3 2 3" xfId="15360"/>
    <cellStyle name="Comma 2 6 11 3 3" xfId="15361"/>
    <cellStyle name="Comma 2 6 11 3 4" xfId="15362"/>
    <cellStyle name="Comma 2 6 11 3 5" xfId="15363"/>
    <cellStyle name="Comma 2 6 11 3 6" xfId="15364"/>
    <cellStyle name="Comma 2 6 11 4" xfId="15365"/>
    <cellStyle name="Comma 2 6 11 4 2" xfId="15366"/>
    <cellStyle name="Comma 2 6 11 4 2 2" xfId="15367"/>
    <cellStyle name="Comma 2 6 11 4 3" xfId="15368"/>
    <cellStyle name="Comma 2 6 11 4 4" xfId="15369"/>
    <cellStyle name="Comma 2 6 11 4 5" xfId="15370"/>
    <cellStyle name="Comma 2 6 11 5" xfId="15371"/>
    <cellStyle name="Comma 2 6 11 5 2" xfId="15372"/>
    <cellStyle name="Comma 2 6 11 5 3" xfId="15373"/>
    <cellStyle name="Comma 2 6 11 5 4" xfId="15374"/>
    <cellStyle name="Comma 2 6 11 6" xfId="15375"/>
    <cellStyle name="Comma 2 6 11 6 2" xfId="15376"/>
    <cellStyle name="Comma 2 6 11 7" xfId="15377"/>
    <cellStyle name="Comma 2 6 11 8" xfId="15378"/>
    <cellStyle name="Comma 2 6 11 9" xfId="15379"/>
    <cellStyle name="Comma 2 6 12" xfId="15380"/>
    <cellStyle name="Comma 2 6 12 10" xfId="15381"/>
    <cellStyle name="Comma 2 6 12 2" xfId="15382"/>
    <cellStyle name="Comma 2 6 12 2 2" xfId="15383"/>
    <cellStyle name="Comma 2 6 12 2 2 2" xfId="15384"/>
    <cellStyle name="Comma 2 6 12 2 2 3" xfId="15385"/>
    <cellStyle name="Comma 2 6 12 2 3" xfId="15386"/>
    <cellStyle name="Comma 2 6 12 2 4" xfId="15387"/>
    <cellStyle name="Comma 2 6 12 2 5" xfId="15388"/>
    <cellStyle name="Comma 2 6 12 2 6" xfId="15389"/>
    <cellStyle name="Comma 2 6 12 3" xfId="15390"/>
    <cellStyle name="Comma 2 6 12 3 2" xfId="15391"/>
    <cellStyle name="Comma 2 6 12 3 2 2" xfId="15392"/>
    <cellStyle name="Comma 2 6 12 3 2 3" xfId="15393"/>
    <cellStyle name="Comma 2 6 12 3 3" xfId="15394"/>
    <cellStyle name="Comma 2 6 12 3 4" xfId="15395"/>
    <cellStyle name="Comma 2 6 12 3 5" xfId="15396"/>
    <cellStyle name="Comma 2 6 12 3 6" xfId="15397"/>
    <cellStyle name="Comma 2 6 12 4" xfId="15398"/>
    <cellStyle name="Comma 2 6 12 4 2" xfId="15399"/>
    <cellStyle name="Comma 2 6 12 4 2 2" xfId="15400"/>
    <cellStyle name="Comma 2 6 12 4 3" xfId="15401"/>
    <cellStyle name="Comma 2 6 12 4 4" xfId="15402"/>
    <cellStyle name="Comma 2 6 12 4 5" xfId="15403"/>
    <cellStyle name="Comma 2 6 12 5" xfId="15404"/>
    <cellStyle name="Comma 2 6 12 5 2" xfId="15405"/>
    <cellStyle name="Comma 2 6 12 5 3" xfId="15406"/>
    <cellStyle name="Comma 2 6 12 5 4" xfId="15407"/>
    <cellStyle name="Comma 2 6 12 6" xfId="15408"/>
    <cellStyle name="Comma 2 6 12 6 2" xfId="15409"/>
    <cellStyle name="Comma 2 6 12 7" xfId="15410"/>
    <cellStyle name="Comma 2 6 12 8" xfId="15411"/>
    <cellStyle name="Comma 2 6 12 9" xfId="15412"/>
    <cellStyle name="Comma 2 6 13" xfId="15413"/>
    <cellStyle name="Comma 2 6 13 2" xfId="15414"/>
    <cellStyle name="Comma 2 6 13 2 2" xfId="15415"/>
    <cellStyle name="Comma 2 6 13 2 2 2" xfId="15416"/>
    <cellStyle name="Comma 2 6 13 2 2 3" xfId="15417"/>
    <cellStyle name="Comma 2 6 13 2 3" xfId="15418"/>
    <cellStyle name="Comma 2 6 13 2 4" xfId="15419"/>
    <cellStyle name="Comma 2 6 13 2 5" xfId="15420"/>
    <cellStyle name="Comma 2 6 13 2 6" xfId="15421"/>
    <cellStyle name="Comma 2 6 13 3" xfId="15422"/>
    <cellStyle name="Comma 2 6 13 3 2" xfId="15423"/>
    <cellStyle name="Comma 2 6 13 3 2 2" xfId="15424"/>
    <cellStyle name="Comma 2 6 13 3 3" xfId="15425"/>
    <cellStyle name="Comma 2 6 13 3 4" xfId="15426"/>
    <cellStyle name="Comma 2 6 13 3 5" xfId="15427"/>
    <cellStyle name="Comma 2 6 13 4" xfId="15428"/>
    <cellStyle name="Comma 2 6 13 4 2" xfId="15429"/>
    <cellStyle name="Comma 2 6 13 4 3" xfId="15430"/>
    <cellStyle name="Comma 2 6 13 4 4" xfId="15431"/>
    <cellStyle name="Comma 2 6 13 5" xfId="15432"/>
    <cellStyle name="Comma 2 6 13 5 2" xfId="15433"/>
    <cellStyle name="Comma 2 6 13 6" xfId="15434"/>
    <cellStyle name="Comma 2 6 13 7" xfId="15435"/>
    <cellStyle name="Comma 2 6 13 8" xfId="15436"/>
    <cellStyle name="Comma 2 6 13 9" xfId="15437"/>
    <cellStyle name="Comma 2 6 14" xfId="15438"/>
    <cellStyle name="Comma 2 6 14 2" xfId="15439"/>
    <cellStyle name="Comma 2 6 14 2 2" xfId="15440"/>
    <cellStyle name="Comma 2 6 14 2 2 2" xfId="15441"/>
    <cellStyle name="Comma 2 6 14 2 2 3" xfId="15442"/>
    <cellStyle name="Comma 2 6 14 2 3" xfId="15443"/>
    <cellStyle name="Comma 2 6 14 2 4" xfId="15444"/>
    <cellStyle name="Comma 2 6 14 2 5" xfId="15445"/>
    <cellStyle name="Comma 2 6 14 2 6" xfId="15446"/>
    <cellStyle name="Comma 2 6 14 3" xfId="15447"/>
    <cellStyle name="Comma 2 6 14 3 2" xfId="15448"/>
    <cellStyle name="Comma 2 6 14 3 2 2" xfId="15449"/>
    <cellStyle name="Comma 2 6 14 3 3" xfId="15450"/>
    <cellStyle name="Comma 2 6 14 3 4" xfId="15451"/>
    <cellStyle name="Comma 2 6 14 3 5" xfId="15452"/>
    <cellStyle name="Comma 2 6 14 4" xfId="15453"/>
    <cellStyle name="Comma 2 6 14 4 2" xfId="15454"/>
    <cellStyle name="Comma 2 6 14 4 3" xfId="15455"/>
    <cellStyle name="Comma 2 6 14 4 4" xfId="15456"/>
    <cellStyle name="Comma 2 6 14 5" xfId="15457"/>
    <cellStyle name="Comma 2 6 14 5 2" xfId="15458"/>
    <cellStyle name="Comma 2 6 14 6" xfId="15459"/>
    <cellStyle name="Comma 2 6 14 7" xfId="15460"/>
    <cellStyle name="Comma 2 6 14 8" xfId="15461"/>
    <cellStyle name="Comma 2 6 14 9" xfId="15462"/>
    <cellStyle name="Comma 2 6 15" xfId="15463"/>
    <cellStyle name="Comma 2 6 15 2" xfId="15464"/>
    <cellStyle name="Comma 2 6 15 2 2" xfId="15465"/>
    <cellStyle name="Comma 2 6 15 2 3" xfId="15466"/>
    <cellStyle name="Comma 2 6 15 3" xfId="15467"/>
    <cellStyle name="Comma 2 6 15 4" xfId="15468"/>
    <cellStyle name="Comma 2 6 15 5" xfId="15469"/>
    <cellStyle name="Comma 2 6 15 6" xfId="15470"/>
    <cellStyle name="Comma 2 6 16" xfId="15471"/>
    <cellStyle name="Comma 2 6 16 2" xfId="15472"/>
    <cellStyle name="Comma 2 6 16 2 2" xfId="15473"/>
    <cellStyle name="Comma 2 6 16 3" xfId="15474"/>
    <cellStyle name="Comma 2 6 16 4" xfId="15475"/>
    <cellStyle name="Comma 2 6 16 5" xfId="15476"/>
    <cellStyle name="Comma 2 6 17" xfId="15477"/>
    <cellStyle name="Comma 2 6 17 2" xfId="15478"/>
    <cellStyle name="Comma 2 6 17 2 2" xfId="15479"/>
    <cellStyle name="Comma 2 6 17 3" xfId="15480"/>
    <cellStyle name="Comma 2 6 17 4" xfId="15481"/>
    <cellStyle name="Comma 2 6 17 5" xfId="15482"/>
    <cellStyle name="Comma 2 6 18" xfId="15483"/>
    <cellStyle name="Comma 2 6 18 2" xfId="15484"/>
    <cellStyle name="Comma 2 6 19" xfId="15485"/>
    <cellStyle name="Comma 2 6 2" xfId="15486"/>
    <cellStyle name="Comma 2 6 2 10" xfId="15487"/>
    <cellStyle name="Comma 2 6 2 11" xfId="15488"/>
    <cellStyle name="Comma 2 6 2 2" xfId="15489"/>
    <cellStyle name="Comma 2 6 2 2 2" xfId="15490"/>
    <cellStyle name="Comma 2 6 2 2 2 2" xfId="15491"/>
    <cellStyle name="Comma 2 6 2 2 2 2 2" xfId="15492"/>
    <cellStyle name="Comma 2 6 2 2 2 2 3" xfId="15493"/>
    <cellStyle name="Comma 2 6 2 2 2 3" xfId="15494"/>
    <cellStyle name="Comma 2 6 2 2 2 4" xfId="15495"/>
    <cellStyle name="Comma 2 6 2 2 2 5" xfId="15496"/>
    <cellStyle name="Comma 2 6 2 2 2 6" xfId="15497"/>
    <cellStyle name="Comma 2 6 2 2 3" xfId="15498"/>
    <cellStyle name="Comma 2 6 2 2 3 2" xfId="15499"/>
    <cellStyle name="Comma 2 6 2 2 3 2 2" xfId="15500"/>
    <cellStyle name="Comma 2 6 2 2 3 3" xfId="15501"/>
    <cellStyle name="Comma 2 6 2 2 3 4" xfId="15502"/>
    <cellStyle name="Comma 2 6 2 2 3 5" xfId="15503"/>
    <cellStyle name="Comma 2 6 2 2 4" xfId="15504"/>
    <cellStyle name="Comma 2 6 2 2 4 2" xfId="15505"/>
    <cellStyle name="Comma 2 6 2 2 4 3" xfId="15506"/>
    <cellStyle name="Comma 2 6 2 2 4 4" xfId="15507"/>
    <cellStyle name="Comma 2 6 2 2 5" xfId="15508"/>
    <cellStyle name="Comma 2 6 2 2 5 2" xfId="15509"/>
    <cellStyle name="Comma 2 6 2 2 6" xfId="15510"/>
    <cellStyle name="Comma 2 6 2 2 7" xfId="15511"/>
    <cellStyle name="Comma 2 6 2 2 8" xfId="15512"/>
    <cellStyle name="Comma 2 6 2 2 9" xfId="15513"/>
    <cellStyle name="Comma 2 6 2 3" xfId="15514"/>
    <cellStyle name="Comma 2 6 2 3 2" xfId="15515"/>
    <cellStyle name="Comma 2 6 2 3 2 2" xfId="15516"/>
    <cellStyle name="Comma 2 6 2 3 2 2 2" xfId="15517"/>
    <cellStyle name="Comma 2 6 2 3 2 2 3" xfId="15518"/>
    <cellStyle name="Comma 2 6 2 3 2 3" xfId="15519"/>
    <cellStyle name="Comma 2 6 2 3 2 4" xfId="15520"/>
    <cellStyle name="Comma 2 6 2 3 2 5" xfId="15521"/>
    <cellStyle name="Comma 2 6 2 3 2 6" xfId="15522"/>
    <cellStyle name="Comma 2 6 2 3 3" xfId="15523"/>
    <cellStyle name="Comma 2 6 2 3 3 2" xfId="15524"/>
    <cellStyle name="Comma 2 6 2 3 3 2 2" xfId="15525"/>
    <cellStyle name="Comma 2 6 2 3 3 3" xfId="15526"/>
    <cellStyle name="Comma 2 6 2 3 3 4" xfId="15527"/>
    <cellStyle name="Comma 2 6 2 3 3 5" xfId="15528"/>
    <cellStyle name="Comma 2 6 2 3 4" xfId="15529"/>
    <cellStyle name="Comma 2 6 2 3 4 2" xfId="15530"/>
    <cellStyle name="Comma 2 6 2 3 4 3" xfId="15531"/>
    <cellStyle name="Comma 2 6 2 3 4 4" xfId="15532"/>
    <cellStyle name="Comma 2 6 2 3 5" xfId="15533"/>
    <cellStyle name="Comma 2 6 2 3 5 2" xfId="15534"/>
    <cellStyle name="Comma 2 6 2 3 6" xfId="15535"/>
    <cellStyle name="Comma 2 6 2 3 7" xfId="15536"/>
    <cellStyle name="Comma 2 6 2 3 8" xfId="15537"/>
    <cellStyle name="Comma 2 6 2 3 9" xfId="15538"/>
    <cellStyle name="Comma 2 6 2 4" xfId="15539"/>
    <cellStyle name="Comma 2 6 2 4 2" xfId="15540"/>
    <cellStyle name="Comma 2 6 2 4 2 2" xfId="15541"/>
    <cellStyle name="Comma 2 6 2 4 2 3" xfId="15542"/>
    <cellStyle name="Comma 2 6 2 4 3" xfId="15543"/>
    <cellStyle name="Comma 2 6 2 4 4" xfId="15544"/>
    <cellStyle name="Comma 2 6 2 4 5" xfId="15545"/>
    <cellStyle name="Comma 2 6 2 4 6" xfId="15546"/>
    <cellStyle name="Comma 2 6 2 5" xfId="15547"/>
    <cellStyle name="Comma 2 6 2 5 2" xfId="15548"/>
    <cellStyle name="Comma 2 6 2 5 2 2" xfId="15549"/>
    <cellStyle name="Comma 2 6 2 5 3" xfId="15550"/>
    <cellStyle name="Comma 2 6 2 5 4" xfId="15551"/>
    <cellStyle name="Comma 2 6 2 5 5" xfId="15552"/>
    <cellStyle name="Comma 2 6 2 6" xfId="15553"/>
    <cellStyle name="Comma 2 6 2 6 2" xfId="15554"/>
    <cellStyle name="Comma 2 6 2 6 3" xfId="15555"/>
    <cellStyle name="Comma 2 6 2 6 4" xfId="15556"/>
    <cellStyle name="Comma 2 6 2 7" xfId="15557"/>
    <cellStyle name="Comma 2 6 2 7 2" xfId="15558"/>
    <cellStyle name="Comma 2 6 2 8" xfId="15559"/>
    <cellStyle name="Comma 2 6 2 9" xfId="15560"/>
    <cellStyle name="Comma 2 6 20" xfId="15561"/>
    <cellStyle name="Comma 2 6 21" xfId="15562"/>
    <cellStyle name="Comma 2 6 22" xfId="15563"/>
    <cellStyle name="Comma 2 6 3" xfId="15564"/>
    <cellStyle name="Comma 2 6 3 10" xfId="15565"/>
    <cellStyle name="Comma 2 6 3 11" xfId="15566"/>
    <cellStyle name="Comma 2 6 3 2" xfId="15567"/>
    <cellStyle name="Comma 2 6 3 2 2" xfId="15568"/>
    <cellStyle name="Comma 2 6 3 2 2 2" xfId="15569"/>
    <cellStyle name="Comma 2 6 3 2 2 2 2" xfId="15570"/>
    <cellStyle name="Comma 2 6 3 2 2 2 3" xfId="15571"/>
    <cellStyle name="Comma 2 6 3 2 2 3" xfId="15572"/>
    <cellStyle name="Comma 2 6 3 2 2 4" xfId="15573"/>
    <cellStyle name="Comma 2 6 3 2 2 5" xfId="15574"/>
    <cellStyle name="Comma 2 6 3 2 2 6" xfId="15575"/>
    <cellStyle name="Comma 2 6 3 2 3" xfId="15576"/>
    <cellStyle name="Comma 2 6 3 2 3 2" xfId="15577"/>
    <cellStyle name="Comma 2 6 3 2 3 2 2" xfId="15578"/>
    <cellStyle name="Comma 2 6 3 2 3 3" xfId="15579"/>
    <cellStyle name="Comma 2 6 3 2 3 4" xfId="15580"/>
    <cellStyle name="Comma 2 6 3 2 3 5" xfId="15581"/>
    <cellStyle name="Comma 2 6 3 2 4" xfId="15582"/>
    <cellStyle name="Comma 2 6 3 2 4 2" xfId="15583"/>
    <cellStyle name="Comma 2 6 3 2 4 3" xfId="15584"/>
    <cellStyle name="Comma 2 6 3 2 4 4" xfId="15585"/>
    <cellStyle name="Comma 2 6 3 2 5" xfId="15586"/>
    <cellStyle name="Comma 2 6 3 2 5 2" xfId="15587"/>
    <cellStyle name="Comma 2 6 3 2 6" xfId="15588"/>
    <cellStyle name="Comma 2 6 3 2 7" xfId="15589"/>
    <cellStyle name="Comma 2 6 3 2 8" xfId="15590"/>
    <cellStyle name="Comma 2 6 3 2 9" xfId="15591"/>
    <cellStyle name="Comma 2 6 3 3" xfId="15592"/>
    <cellStyle name="Comma 2 6 3 3 2" xfId="15593"/>
    <cellStyle name="Comma 2 6 3 3 2 2" xfId="15594"/>
    <cellStyle name="Comma 2 6 3 3 2 2 2" xfId="15595"/>
    <cellStyle name="Comma 2 6 3 3 2 2 3" xfId="15596"/>
    <cellStyle name="Comma 2 6 3 3 2 3" xfId="15597"/>
    <cellStyle name="Comma 2 6 3 3 2 4" xfId="15598"/>
    <cellStyle name="Comma 2 6 3 3 2 5" xfId="15599"/>
    <cellStyle name="Comma 2 6 3 3 2 6" xfId="15600"/>
    <cellStyle name="Comma 2 6 3 3 3" xfId="15601"/>
    <cellStyle name="Comma 2 6 3 3 3 2" xfId="15602"/>
    <cellStyle name="Comma 2 6 3 3 3 2 2" xfId="15603"/>
    <cellStyle name="Comma 2 6 3 3 3 3" xfId="15604"/>
    <cellStyle name="Comma 2 6 3 3 3 4" xfId="15605"/>
    <cellStyle name="Comma 2 6 3 3 3 5" xfId="15606"/>
    <cellStyle name="Comma 2 6 3 3 4" xfId="15607"/>
    <cellStyle name="Comma 2 6 3 3 4 2" xfId="15608"/>
    <cellStyle name="Comma 2 6 3 3 4 3" xfId="15609"/>
    <cellStyle name="Comma 2 6 3 3 4 4" xfId="15610"/>
    <cellStyle name="Comma 2 6 3 3 5" xfId="15611"/>
    <cellStyle name="Comma 2 6 3 3 5 2" xfId="15612"/>
    <cellStyle name="Comma 2 6 3 3 6" xfId="15613"/>
    <cellStyle name="Comma 2 6 3 3 7" xfId="15614"/>
    <cellStyle name="Comma 2 6 3 3 8" xfId="15615"/>
    <cellStyle name="Comma 2 6 3 3 9" xfId="15616"/>
    <cellStyle name="Comma 2 6 3 4" xfId="15617"/>
    <cellStyle name="Comma 2 6 3 4 2" xfId="15618"/>
    <cellStyle name="Comma 2 6 3 4 2 2" xfId="15619"/>
    <cellStyle name="Comma 2 6 3 4 2 3" xfId="15620"/>
    <cellStyle name="Comma 2 6 3 4 3" xfId="15621"/>
    <cellStyle name="Comma 2 6 3 4 4" xfId="15622"/>
    <cellStyle name="Comma 2 6 3 4 5" xfId="15623"/>
    <cellStyle name="Comma 2 6 3 4 6" xfId="15624"/>
    <cellStyle name="Comma 2 6 3 5" xfId="15625"/>
    <cellStyle name="Comma 2 6 3 5 2" xfId="15626"/>
    <cellStyle name="Comma 2 6 3 5 2 2" xfId="15627"/>
    <cellStyle name="Comma 2 6 3 5 3" xfId="15628"/>
    <cellStyle name="Comma 2 6 3 5 4" xfId="15629"/>
    <cellStyle name="Comma 2 6 3 5 5" xfId="15630"/>
    <cellStyle name="Comma 2 6 3 6" xfId="15631"/>
    <cellStyle name="Comma 2 6 3 6 2" xfId="15632"/>
    <cellStyle name="Comma 2 6 3 6 3" xfId="15633"/>
    <cellStyle name="Comma 2 6 3 6 4" xfId="15634"/>
    <cellStyle name="Comma 2 6 3 7" xfId="15635"/>
    <cellStyle name="Comma 2 6 3 7 2" xfId="15636"/>
    <cellStyle name="Comma 2 6 3 8" xfId="15637"/>
    <cellStyle name="Comma 2 6 3 9" xfId="15638"/>
    <cellStyle name="Comma 2 6 4" xfId="15639"/>
    <cellStyle name="Comma 2 6 4 10" xfId="15640"/>
    <cellStyle name="Comma 2 6 4 11" xfId="15641"/>
    <cellStyle name="Comma 2 6 4 2" xfId="15642"/>
    <cellStyle name="Comma 2 6 4 2 2" xfId="15643"/>
    <cellStyle name="Comma 2 6 4 2 2 2" xfId="15644"/>
    <cellStyle name="Comma 2 6 4 2 2 2 2" xfId="15645"/>
    <cellStyle name="Comma 2 6 4 2 2 2 3" xfId="15646"/>
    <cellStyle name="Comma 2 6 4 2 2 3" xfId="15647"/>
    <cellStyle name="Comma 2 6 4 2 2 4" xfId="15648"/>
    <cellStyle name="Comma 2 6 4 2 2 5" xfId="15649"/>
    <cellStyle name="Comma 2 6 4 2 2 6" xfId="15650"/>
    <cellStyle name="Comma 2 6 4 2 3" xfId="15651"/>
    <cellStyle name="Comma 2 6 4 2 3 2" xfId="15652"/>
    <cellStyle name="Comma 2 6 4 2 3 2 2" xfId="15653"/>
    <cellStyle name="Comma 2 6 4 2 3 3" xfId="15654"/>
    <cellStyle name="Comma 2 6 4 2 3 4" xfId="15655"/>
    <cellStyle name="Comma 2 6 4 2 3 5" xfId="15656"/>
    <cellStyle name="Comma 2 6 4 2 4" xfId="15657"/>
    <cellStyle name="Comma 2 6 4 2 4 2" xfId="15658"/>
    <cellStyle name="Comma 2 6 4 2 4 3" xfId="15659"/>
    <cellStyle name="Comma 2 6 4 2 4 4" xfId="15660"/>
    <cellStyle name="Comma 2 6 4 2 5" xfId="15661"/>
    <cellStyle name="Comma 2 6 4 2 5 2" xfId="15662"/>
    <cellStyle name="Comma 2 6 4 2 6" xfId="15663"/>
    <cellStyle name="Comma 2 6 4 2 7" xfId="15664"/>
    <cellStyle name="Comma 2 6 4 2 8" xfId="15665"/>
    <cellStyle name="Comma 2 6 4 2 9" xfId="15666"/>
    <cellStyle name="Comma 2 6 4 3" xfId="15667"/>
    <cellStyle name="Comma 2 6 4 3 2" xfId="15668"/>
    <cellStyle name="Comma 2 6 4 3 2 2" xfId="15669"/>
    <cellStyle name="Comma 2 6 4 3 2 2 2" xfId="15670"/>
    <cellStyle name="Comma 2 6 4 3 2 2 3" xfId="15671"/>
    <cellStyle name="Comma 2 6 4 3 2 3" xfId="15672"/>
    <cellStyle name="Comma 2 6 4 3 2 4" xfId="15673"/>
    <cellStyle name="Comma 2 6 4 3 2 5" xfId="15674"/>
    <cellStyle name="Comma 2 6 4 3 2 6" xfId="15675"/>
    <cellStyle name="Comma 2 6 4 3 3" xfId="15676"/>
    <cellStyle name="Comma 2 6 4 3 3 2" xfId="15677"/>
    <cellStyle name="Comma 2 6 4 3 3 2 2" xfId="15678"/>
    <cellStyle name="Comma 2 6 4 3 3 3" xfId="15679"/>
    <cellStyle name="Comma 2 6 4 3 3 4" xfId="15680"/>
    <cellStyle name="Comma 2 6 4 3 3 5" xfId="15681"/>
    <cellStyle name="Comma 2 6 4 3 4" xfId="15682"/>
    <cellStyle name="Comma 2 6 4 3 4 2" xfId="15683"/>
    <cellStyle name="Comma 2 6 4 3 4 3" xfId="15684"/>
    <cellStyle name="Comma 2 6 4 3 4 4" xfId="15685"/>
    <cellStyle name="Comma 2 6 4 3 5" xfId="15686"/>
    <cellStyle name="Comma 2 6 4 3 5 2" xfId="15687"/>
    <cellStyle name="Comma 2 6 4 3 6" xfId="15688"/>
    <cellStyle name="Comma 2 6 4 3 7" xfId="15689"/>
    <cellStyle name="Comma 2 6 4 3 8" xfId="15690"/>
    <cellStyle name="Comma 2 6 4 3 9" xfId="15691"/>
    <cellStyle name="Comma 2 6 4 4" xfId="15692"/>
    <cellStyle name="Comma 2 6 4 4 2" xfId="15693"/>
    <cellStyle name="Comma 2 6 4 4 2 2" xfId="15694"/>
    <cellStyle name="Comma 2 6 4 4 2 3" xfId="15695"/>
    <cellStyle name="Comma 2 6 4 4 3" xfId="15696"/>
    <cellStyle name="Comma 2 6 4 4 4" xfId="15697"/>
    <cellStyle name="Comma 2 6 4 4 5" xfId="15698"/>
    <cellStyle name="Comma 2 6 4 4 6" xfId="15699"/>
    <cellStyle name="Comma 2 6 4 5" xfId="15700"/>
    <cellStyle name="Comma 2 6 4 5 2" xfId="15701"/>
    <cellStyle name="Comma 2 6 4 5 2 2" xfId="15702"/>
    <cellStyle name="Comma 2 6 4 5 3" xfId="15703"/>
    <cellStyle name="Comma 2 6 4 5 4" xfId="15704"/>
    <cellStyle name="Comma 2 6 4 5 5" xfId="15705"/>
    <cellStyle name="Comma 2 6 4 6" xfId="15706"/>
    <cellStyle name="Comma 2 6 4 6 2" xfId="15707"/>
    <cellStyle name="Comma 2 6 4 6 3" xfId="15708"/>
    <cellStyle name="Comma 2 6 4 6 4" xfId="15709"/>
    <cellStyle name="Comma 2 6 4 7" xfId="15710"/>
    <cellStyle name="Comma 2 6 4 7 2" xfId="15711"/>
    <cellStyle name="Comma 2 6 4 8" xfId="15712"/>
    <cellStyle name="Comma 2 6 4 9" xfId="15713"/>
    <cellStyle name="Comma 2 6 5" xfId="15714"/>
    <cellStyle name="Comma 2 6 5 10" xfId="15715"/>
    <cellStyle name="Comma 2 6 5 11" xfId="15716"/>
    <cellStyle name="Comma 2 6 5 2" xfId="15717"/>
    <cellStyle name="Comma 2 6 5 2 2" xfId="15718"/>
    <cellStyle name="Comma 2 6 5 2 2 2" xfId="15719"/>
    <cellStyle name="Comma 2 6 5 2 2 2 2" xfId="15720"/>
    <cellStyle name="Comma 2 6 5 2 2 2 3" xfId="15721"/>
    <cellStyle name="Comma 2 6 5 2 2 3" xfId="15722"/>
    <cellStyle name="Comma 2 6 5 2 2 4" xfId="15723"/>
    <cellStyle name="Comma 2 6 5 2 2 5" xfId="15724"/>
    <cellStyle name="Comma 2 6 5 2 2 6" xfId="15725"/>
    <cellStyle name="Comma 2 6 5 2 3" xfId="15726"/>
    <cellStyle name="Comma 2 6 5 2 3 2" xfId="15727"/>
    <cellStyle name="Comma 2 6 5 2 3 2 2" xfId="15728"/>
    <cellStyle name="Comma 2 6 5 2 3 3" xfId="15729"/>
    <cellStyle name="Comma 2 6 5 2 3 4" xfId="15730"/>
    <cellStyle name="Comma 2 6 5 2 3 5" xfId="15731"/>
    <cellStyle name="Comma 2 6 5 2 4" xfId="15732"/>
    <cellStyle name="Comma 2 6 5 2 4 2" xfId="15733"/>
    <cellStyle name="Comma 2 6 5 2 4 3" xfId="15734"/>
    <cellStyle name="Comma 2 6 5 2 4 4" xfId="15735"/>
    <cellStyle name="Comma 2 6 5 2 5" xfId="15736"/>
    <cellStyle name="Comma 2 6 5 2 5 2" xfId="15737"/>
    <cellStyle name="Comma 2 6 5 2 6" xfId="15738"/>
    <cellStyle name="Comma 2 6 5 2 7" xfId="15739"/>
    <cellStyle name="Comma 2 6 5 2 8" xfId="15740"/>
    <cellStyle name="Comma 2 6 5 2 9" xfId="15741"/>
    <cellStyle name="Comma 2 6 5 3" xfId="15742"/>
    <cellStyle name="Comma 2 6 5 3 2" xfId="15743"/>
    <cellStyle name="Comma 2 6 5 3 2 2" xfId="15744"/>
    <cellStyle name="Comma 2 6 5 3 2 2 2" xfId="15745"/>
    <cellStyle name="Comma 2 6 5 3 2 2 3" xfId="15746"/>
    <cellStyle name="Comma 2 6 5 3 2 3" xfId="15747"/>
    <cellStyle name="Comma 2 6 5 3 2 4" xfId="15748"/>
    <cellStyle name="Comma 2 6 5 3 2 5" xfId="15749"/>
    <cellStyle name="Comma 2 6 5 3 2 6" xfId="15750"/>
    <cellStyle name="Comma 2 6 5 3 3" xfId="15751"/>
    <cellStyle name="Comma 2 6 5 3 3 2" xfId="15752"/>
    <cellStyle name="Comma 2 6 5 3 3 2 2" xfId="15753"/>
    <cellStyle name="Comma 2 6 5 3 3 3" xfId="15754"/>
    <cellStyle name="Comma 2 6 5 3 3 4" xfId="15755"/>
    <cellStyle name="Comma 2 6 5 3 3 5" xfId="15756"/>
    <cellStyle name="Comma 2 6 5 3 4" xfId="15757"/>
    <cellStyle name="Comma 2 6 5 3 4 2" xfId="15758"/>
    <cellStyle name="Comma 2 6 5 3 4 3" xfId="15759"/>
    <cellStyle name="Comma 2 6 5 3 4 4" xfId="15760"/>
    <cellStyle name="Comma 2 6 5 3 5" xfId="15761"/>
    <cellStyle name="Comma 2 6 5 3 5 2" xfId="15762"/>
    <cellStyle name="Comma 2 6 5 3 6" xfId="15763"/>
    <cellStyle name="Comma 2 6 5 3 7" xfId="15764"/>
    <cellStyle name="Comma 2 6 5 3 8" xfId="15765"/>
    <cellStyle name="Comma 2 6 5 3 9" xfId="15766"/>
    <cellStyle name="Comma 2 6 5 4" xfId="15767"/>
    <cellStyle name="Comma 2 6 5 4 2" xfId="15768"/>
    <cellStyle name="Comma 2 6 5 4 2 2" xfId="15769"/>
    <cellStyle name="Comma 2 6 5 4 2 3" xfId="15770"/>
    <cellStyle name="Comma 2 6 5 4 3" xfId="15771"/>
    <cellStyle name="Comma 2 6 5 4 4" xfId="15772"/>
    <cellStyle name="Comma 2 6 5 4 5" xfId="15773"/>
    <cellStyle name="Comma 2 6 5 4 6" xfId="15774"/>
    <cellStyle name="Comma 2 6 5 5" xfId="15775"/>
    <cellStyle name="Comma 2 6 5 5 2" xfId="15776"/>
    <cellStyle name="Comma 2 6 5 5 2 2" xfId="15777"/>
    <cellStyle name="Comma 2 6 5 5 3" xfId="15778"/>
    <cellStyle name="Comma 2 6 5 5 4" xfId="15779"/>
    <cellStyle name="Comma 2 6 5 5 5" xfId="15780"/>
    <cellStyle name="Comma 2 6 5 6" xfId="15781"/>
    <cellStyle name="Comma 2 6 5 6 2" xfId="15782"/>
    <cellStyle name="Comma 2 6 5 6 3" xfId="15783"/>
    <cellStyle name="Comma 2 6 5 6 4" xfId="15784"/>
    <cellStyle name="Comma 2 6 5 7" xfId="15785"/>
    <cellStyle name="Comma 2 6 5 7 2" xfId="15786"/>
    <cellStyle name="Comma 2 6 5 8" xfId="15787"/>
    <cellStyle name="Comma 2 6 5 9" xfId="15788"/>
    <cellStyle name="Comma 2 6 6" xfId="15789"/>
    <cellStyle name="Comma 2 6 6 10" xfId="15790"/>
    <cellStyle name="Comma 2 6 6 11" xfId="15791"/>
    <cellStyle name="Comma 2 6 6 2" xfId="15792"/>
    <cellStyle name="Comma 2 6 6 2 2" xfId="15793"/>
    <cellStyle name="Comma 2 6 6 2 2 2" xfId="15794"/>
    <cellStyle name="Comma 2 6 6 2 2 2 2" xfId="15795"/>
    <cellStyle name="Comma 2 6 6 2 2 2 3" xfId="15796"/>
    <cellStyle name="Comma 2 6 6 2 2 3" xfId="15797"/>
    <cellStyle name="Comma 2 6 6 2 2 4" xfId="15798"/>
    <cellStyle name="Comma 2 6 6 2 2 5" xfId="15799"/>
    <cellStyle name="Comma 2 6 6 2 2 6" xfId="15800"/>
    <cellStyle name="Comma 2 6 6 2 3" xfId="15801"/>
    <cellStyle name="Comma 2 6 6 2 3 2" xfId="15802"/>
    <cellStyle name="Comma 2 6 6 2 3 2 2" xfId="15803"/>
    <cellStyle name="Comma 2 6 6 2 3 3" xfId="15804"/>
    <cellStyle name="Comma 2 6 6 2 3 4" xfId="15805"/>
    <cellStyle name="Comma 2 6 6 2 3 5" xfId="15806"/>
    <cellStyle name="Comma 2 6 6 2 4" xfId="15807"/>
    <cellStyle name="Comma 2 6 6 2 4 2" xfId="15808"/>
    <cellStyle name="Comma 2 6 6 2 4 3" xfId="15809"/>
    <cellStyle name="Comma 2 6 6 2 4 4" xfId="15810"/>
    <cellStyle name="Comma 2 6 6 2 5" xfId="15811"/>
    <cellStyle name="Comma 2 6 6 2 5 2" xfId="15812"/>
    <cellStyle name="Comma 2 6 6 2 6" xfId="15813"/>
    <cellStyle name="Comma 2 6 6 2 7" xfId="15814"/>
    <cellStyle name="Comma 2 6 6 2 8" xfId="15815"/>
    <cellStyle name="Comma 2 6 6 2 9" xfId="15816"/>
    <cellStyle name="Comma 2 6 6 3" xfId="15817"/>
    <cellStyle name="Comma 2 6 6 3 2" xfId="15818"/>
    <cellStyle name="Comma 2 6 6 3 2 2" xfId="15819"/>
    <cellStyle name="Comma 2 6 6 3 2 2 2" xfId="15820"/>
    <cellStyle name="Comma 2 6 6 3 2 2 3" xfId="15821"/>
    <cellStyle name="Comma 2 6 6 3 2 3" xfId="15822"/>
    <cellStyle name="Comma 2 6 6 3 2 4" xfId="15823"/>
    <cellStyle name="Comma 2 6 6 3 2 5" xfId="15824"/>
    <cellStyle name="Comma 2 6 6 3 2 6" xfId="15825"/>
    <cellStyle name="Comma 2 6 6 3 3" xfId="15826"/>
    <cellStyle name="Comma 2 6 6 3 3 2" xfId="15827"/>
    <cellStyle name="Comma 2 6 6 3 3 2 2" xfId="15828"/>
    <cellStyle name="Comma 2 6 6 3 3 3" xfId="15829"/>
    <cellStyle name="Comma 2 6 6 3 3 4" xfId="15830"/>
    <cellStyle name="Comma 2 6 6 3 3 5" xfId="15831"/>
    <cellStyle name="Comma 2 6 6 3 4" xfId="15832"/>
    <cellStyle name="Comma 2 6 6 3 4 2" xfId="15833"/>
    <cellStyle name="Comma 2 6 6 3 4 3" xfId="15834"/>
    <cellStyle name="Comma 2 6 6 3 4 4" xfId="15835"/>
    <cellStyle name="Comma 2 6 6 3 5" xfId="15836"/>
    <cellStyle name="Comma 2 6 6 3 5 2" xfId="15837"/>
    <cellStyle name="Comma 2 6 6 3 6" xfId="15838"/>
    <cellStyle name="Comma 2 6 6 3 7" xfId="15839"/>
    <cellStyle name="Comma 2 6 6 3 8" xfId="15840"/>
    <cellStyle name="Comma 2 6 6 3 9" xfId="15841"/>
    <cellStyle name="Comma 2 6 6 4" xfId="15842"/>
    <cellStyle name="Comma 2 6 6 4 2" xfId="15843"/>
    <cellStyle name="Comma 2 6 6 4 2 2" xfId="15844"/>
    <cellStyle name="Comma 2 6 6 4 2 3" xfId="15845"/>
    <cellStyle name="Comma 2 6 6 4 3" xfId="15846"/>
    <cellStyle name="Comma 2 6 6 4 4" xfId="15847"/>
    <cellStyle name="Comma 2 6 6 4 5" xfId="15848"/>
    <cellStyle name="Comma 2 6 6 4 6" xfId="15849"/>
    <cellStyle name="Comma 2 6 6 5" xfId="15850"/>
    <cellStyle name="Comma 2 6 6 5 2" xfId="15851"/>
    <cellStyle name="Comma 2 6 6 5 2 2" xfId="15852"/>
    <cellStyle name="Comma 2 6 6 5 3" xfId="15853"/>
    <cellStyle name="Comma 2 6 6 5 4" xfId="15854"/>
    <cellStyle name="Comma 2 6 6 5 5" xfId="15855"/>
    <cellStyle name="Comma 2 6 6 6" xfId="15856"/>
    <cellStyle name="Comma 2 6 6 6 2" xfId="15857"/>
    <cellStyle name="Comma 2 6 6 6 3" xfId="15858"/>
    <cellStyle name="Comma 2 6 6 6 4" xfId="15859"/>
    <cellStyle name="Comma 2 6 6 7" xfId="15860"/>
    <cellStyle name="Comma 2 6 6 7 2" xfId="15861"/>
    <cellStyle name="Comma 2 6 6 8" xfId="15862"/>
    <cellStyle name="Comma 2 6 6 9" xfId="15863"/>
    <cellStyle name="Comma 2 6 7" xfId="15864"/>
    <cellStyle name="Comma 2 6 7 10" xfId="15865"/>
    <cellStyle name="Comma 2 6 7 11" xfId="15866"/>
    <cellStyle name="Comma 2 6 7 2" xfId="15867"/>
    <cellStyle name="Comma 2 6 7 2 2" xfId="15868"/>
    <cellStyle name="Comma 2 6 7 2 2 2" xfId="15869"/>
    <cellStyle name="Comma 2 6 7 2 2 2 2" xfId="15870"/>
    <cellStyle name="Comma 2 6 7 2 2 2 3" xfId="15871"/>
    <cellStyle name="Comma 2 6 7 2 2 3" xfId="15872"/>
    <cellStyle name="Comma 2 6 7 2 2 4" xfId="15873"/>
    <cellStyle name="Comma 2 6 7 2 2 5" xfId="15874"/>
    <cellStyle name="Comma 2 6 7 2 2 6" xfId="15875"/>
    <cellStyle name="Comma 2 6 7 2 3" xfId="15876"/>
    <cellStyle name="Comma 2 6 7 2 3 2" xfId="15877"/>
    <cellStyle name="Comma 2 6 7 2 3 2 2" xfId="15878"/>
    <cellStyle name="Comma 2 6 7 2 3 3" xfId="15879"/>
    <cellStyle name="Comma 2 6 7 2 3 4" xfId="15880"/>
    <cellStyle name="Comma 2 6 7 2 3 5" xfId="15881"/>
    <cellStyle name="Comma 2 6 7 2 4" xfId="15882"/>
    <cellStyle name="Comma 2 6 7 2 4 2" xfId="15883"/>
    <cellStyle name="Comma 2 6 7 2 4 3" xfId="15884"/>
    <cellStyle name="Comma 2 6 7 2 4 4" xfId="15885"/>
    <cellStyle name="Comma 2 6 7 2 5" xfId="15886"/>
    <cellStyle name="Comma 2 6 7 2 5 2" xfId="15887"/>
    <cellStyle name="Comma 2 6 7 2 6" xfId="15888"/>
    <cellStyle name="Comma 2 6 7 2 7" xfId="15889"/>
    <cellStyle name="Comma 2 6 7 2 8" xfId="15890"/>
    <cellStyle name="Comma 2 6 7 2 9" xfId="15891"/>
    <cellStyle name="Comma 2 6 7 3" xfId="15892"/>
    <cellStyle name="Comma 2 6 7 3 2" xfId="15893"/>
    <cellStyle name="Comma 2 6 7 3 2 2" xfId="15894"/>
    <cellStyle name="Comma 2 6 7 3 2 2 2" xfId="15895"/>
    <cellStyle name="Comma 2 6 7 3 2 2 3" xfId="15896"/>
    <cellStyle name="Comma 2 6 7 3 2 3" xfId="15897"/>
    <cellStyle name="Comma 2 6 7 3 2 4" xfId="15898"/>
    <cellStyle name="Comma 2 6 7 3 2 5" xfId="15899"/>
    <cellStyle name="Comma 2 6 7 3 2 6" xfId="15900"/>
    <cellStyle name="Comma 2 6 7 3 3" xfId="15901"/>
    <cellStyle name="Comma 2 6 7 3 3 2" xfId="15902"/>
    <cellStyle name="Comma 2 6 7 3 3 2 2" xfId="15903"/>
    <cellStyle name="Comma 2 6 7 3 3 3" xfId="15904"/>
    <cellStyle name="Comma 2 6 7 3 3 4" xfId="15905"/>
    <cellStyle name="Comma 2 6 7 3 3 5" xfId="15906"/>
    <cellStyle name="Comma 2 6 7 3 4" xfId="15907"/>
    <cellStyle name="Comma 2 6 7 3 4 2" xfId="15908"/>
    <cellStyle name="Comma 2 6 7 3 4 3" xfId="15909"/>
    <cellStyle name="Comma 2 6 7 3 4 4" xfId="15910"/>
    <cellStyle name="Comma 2 6 7 3 5" xfId="15911"/>
    <cellStyle name="Comma 2 6 7 3 5 2" xfId="15912"/>
    <cellStyle name="Comma 2 6 7 3 6" xfId="15913"/>
    <cellStyle name="Comma 2 6 7 3 7" xfId="15914"/>
    <cellStyle name="Comma 2 6 7 3 8" xfId="15915"/>
    <cellStyle name="Comma 2 6 7 3 9" xfId="15916"/>
    <cellStyle name="Comma 2 6 7 4" xfId="15917"/>
    <cellStyle name="Comma 2 6 7 4 2" xfId="15918"/>
    <cellStyle name="Comma 2 6 7 4 2 2" xfId="15919"/>
    <cellStyle name="Comma 2 6 7 4 2 3" xfId="15920"/>
    <cellStyle name="Comma 2 6 7 4 3" xfId="15921"/>
    <cellStyle name="Comma 2 6 7 4 4" xfId="15922"/>
    <cellStyle name="Comma 2 6 7 4 5" xfId="15923"/>
    <cellStyle name="Comma 2 6 7 4 6" xfId="15924"/>
    <cellStyle name="Comma 2 6 7 5" xfId="15925"/>
    <cellStyle name="Comma 2 6 7 5 2" xfId="15926"/>
    <cellStyle name="Comma 2 6 7 5 2 2" xfId="15927"/>
    <cellStyle name="Comma 2 6 7 5 3" xfId="15928"/>
    <cellStyle name="Comma 2 6 7 5 4" xfId="15929"/>
    <cellStyle name="Comma 2 6 7 5 5" xfId="15930"/>
    <cellStyle name="Comma 2 6 7 6" xfId="15931"/>
    <cellStyle name="Comma 2 6 7 6 2" xfId="15932"/>
    <cellStyle name="Comma 2 6 7 6 3" xfId="15933"/>
    <cellStyle name="Comma 2 6 7 6 4" xfId="15934"/>
    <cellStyle name="Comma 2 6 7 7" xfId="15935"/>
    <cellStyle name="Comma 2 6 7 7 2" xfId="15936"/>
    <cellStyle name="Comma 2 6 7 8" xfId="15937"/>
    <cellStyle name="Comma 2 6 7 9" xfId="15938"/>
    <cellStyle name="Comma 2 6 8" xfId="15939"/>
    <cellStyle name="Comma 2 6 8 10" xfId="15940"/>
    <cellStyle name="Comma 2 6 8 2" xfId="15941"/>
    <cellStyle name="Comma 2 6 8 2 2" xfId="15942"/>
    <cellStyle name="Comma 2 6 8 2 2 2" xfId="15943"/>
    <cellStyle name="Comma 2 6 8 2 2 3" xfId="15944"/>
    <cellStyle name="Comma 2 6 8 2 3" xfId="15945"/>
    <cellStyle name="Comma 2 6 8 2 4" xfId="15946"/>
    <cellStyle name="Comma 2 6 8 2 5" xfId="15947"/>
    <cellStyle name="Comma 2 6 8 2 6" xfId="15948"/>
    <cellStyle name="Comma 2 6 8 3" xfId="15949"/>
    <cellStyle name="Comma 2 6 8 3 2" xfId="15950"/>
    <cellStyle name="Comma 2 6 8 3 2 2" xfId="15951"/>
    <cellStyle name="Comma 2 6 8 3 2 3" xfId="15952"/>
    <cellStyle name="Comma 2 6 8 3 3" xfId="15953"/>
    <cellStyle name="Comma 2 6 8 3 4" xfId="15954"/>
    <cellStyle name="Comma 2 6 8 3 5" xfId="15955"/>
    <cellStyle name="Comma 2 6 8 3 6" xfId="15956"/>
    <cellStyle name="Comma 2 6 8 4" xfId="15957"/>
    <cellStyle name="Comma 2 6 8 4 2" xfId="15958"/>
    <cellStyle name="Comma 2 6 8 4 2 2" xfId="15959"/>
    <cellStyle name="Comma 2 6 8 4 3" xfId="15960"/>
    <cellStyle name="Comma 2 6 8 4 4" xfId="15961"/>
    <cellStyle name="Comma 2 6 8 4 5" xfId="15962"/>
    <cellStyle name="Comma 2 6 8 5" xfId="15963"/>
    <cellStyle name="Comma 2 6 8 5 2" xfId="15964"/>
    <cellStyle name="Comma 2 6 8 5 3" xfId="15965"/>
    <cellStyle name="Comma 2 6 8 5 4" xfId="15966"/>
    <cellStyle name="Comma 2 6 8 6" xfId="15967"/>
    <cellStyle name="Comma 2 6 8 6 2" xfId="15968"/>
    <cellStyle name="Comma 2 6 8 7" xfId="15969"/>
    <cellStyle name="Comma 2 6 8 8" xfId="15970"/>
    <cellStyle name="Comma 2 6 8 9" xfId="15971"/>
    <cellStyle name="Comma 2 6 9" xfId="15972"/>
    <cellStyle name="Comma 2 6 9 10" xfId="15973"/>
    <cellStyle name="Comma 2 6 9 2" xfId="15974"/>
    <cellStyle name="Comma 2 6 9 2 2" xfId="15975"/>
    <cellStyle name="Comma 2 6 9 2 2 2" xfId="15976"/>
    <cellStyle name="Comma 2 6 9 2 2 3" xfId="15977"/>
    <cellStyle name="Comma 2 6 9 2 3" xfId="15978"/>
    <cellStyle name="Comma 2 6 9 2 4" xfId="15979"/>
    <cellStyle name="Comma 2 6 9 2 5" xfId="15980"/>
    <cellStyle name="Comma 2 6 9 2 6" xfId="15981"/>
    <cellStyle name="Comma 2 6 9 3" xfId="15982"/>
    <cellStyle name="Comma 2 6 9 3 2" xfId="15983"/>
    <cellStyle name="Comma 2 6 9 3 2 2" xfId="15984"/>
    <cellStyle name="Comma 2 6 9 3 2 3" xfId="15985"/>
    <cellStyle name="Comma 2 6 9 3 3" xfId="15986"/>
    <cellStyle name="Comma 2 6 9 3 4" xfId="15987"/>
    <cellStyle name="Comma 2 6 9 3 5" xfId="15988"/>
    <cellStyle name="Comma 2 6 9 3 6" xfId="15989"/>
    <cellStyle name="Comma 2 6 9 4" xfId="15990"/>
    <cellStyle name="Comma 2 6 9 4 2" xfId="15991"/>
    <cellStyle name="Comma 2 6 9 4 2 2" xfId="15992"/>
    <cellStyle name="Comma 2 6 9 4 3" xfId="15993"/>
    <cellStyle name="Comma 2 6 9 4 4" xfId="15994"/>
    <cellStyle name="Comma 2 6 9 4 5" xfId="15995"/>
    <cellStyle name="Comma 2 6 9 5" xfId="15996"/>
    <cellStyle name="Comma 2 6 9 5 2" xfId="15997"/>
    <cellStyle name="Comma 2 6 9 5 3" xfId="15998"/>
    <cellStyle name="Comma 2 6 9 5 4" xfId="15999"/>
    <cellStyle name="Comma 2 6 9 6" xfId="16000"/>
    <cellStyle name="Comma 2 6 9 6 2" xfId="16001"/>
    <cellStyle name="Comma 2 6 9 7" xfId="16002"/>
    <cellStyle name="Comma 2 6 9 8" xfId="16003"/>
    <cellStyle name="Comma 2 6 9 9" xfId="16004"/>
    <cellStyle name="Comma 2 60" xfId="16005"/>
    <cellStyle name="Comma 2 61" xfId="16006"/>
    <cellStyle name="Comma 2 62" xfId="16007"/>
    <cellStyle name="Comma 2 63" xfId="16008"/>
    <cellStyle name="Comma 2 64" xfId="16009"/>
    <cellStyle name="Comma 2 7" xfId="16010"/>
    <cellStyle name="Comma 2 7 10" xfId="16011"/>
    <cellStyle name="Comma 2 7 10 10" xfId="16012"/>
    <cellStyle name="Comma 2 7 10 2" xfId="16013"/>
    <cellStyle name="Comma 2 7 10 2 2" xfId="16014"/>
    <cellStyle name="Comma 2 7 10 2 2 2" xfId="16015"/>
    <cellStyle name="Comma 2 7 10 2 2 3" xfId="16016"/>
    <cellStyle name="Comma 2 7 10 2 3" xfId="16017"/>
    <cellStyle name="Comma 2 7 10 2 4" xfId="16018"/>
    <cellStyle name="Comma 2 7 10 2 5" xfId="16019"/>
    <cellStyle name="Comma 2 7 10 2 6" xfId="16020"/>
    <cellStyle name="Comma 2 7 10 3" xfId="16021"/>
    <cellStyle name="Comma 2 7 10 3 2" xfId="16022"/>
    <cellStyle name="Comma 2 7 10 3 2 2" xfId="16023"/>
    <cellStyle name="Comma 2 7 10 3 2 3" xfId="16024"/>
    <cellStyle name="Comma 2 7 10 3 3" xfId="16025"/>
    <cellStyle name="Comma 2 7 10 3 4" xfId="16026"/>
    <cellStyle name="Comma 2 7 10 3 5" xfId="16027"/>
    <cellStyle name="Comma 2 7 10 3 6" xfId="16028"/>
    <cellStyle name="Comma 2 7 10 4" xfId="16029"/>
    <cellStyle name="Comma 2 7 10 4 2" xfId="16030"/>
    <cellStyle name="Comma 2 7 10 4 2 2" xfId="16031"/>
    <cellStyle name="Comma 2 7 10 4 3" xfId="16032"/>
    <cellStyle name="Comma 2 7 10 4 4" xfId="16033"/>
    <cellStyle name="Comma 2 7 10 4 5" xfId="16034"/>
    <cellStyle name="Comma 2 7 10 5" xfId="16035"/>
    <cellStyle name="Comma 2 7 10 5 2" xfId="16036"/>
    <cellStyle name="Comma 2 7 10 5 3" xfId="16037"/>
    <cellStyle name="Comma 2 7 10 5 4" xfId="16038"/>
    <cellStyle name="Comma 2 7 10 6" xfId="16039"/>
    <cellStyle name="Comma 2 7 10 6 2" xfId="16040"/>
    <cellStyle name="Comma 2 7 10 7" xfId="16041"/>
    <cellStyle name="Comma 2 7 10 8" xfId="16042"/>
    <cellStyle name="Comma 2 7 10 9" xfId="16043"/>
    <cellStyle name="Comma 2 7 11" xfId="16044"/>
    <cellStyle name="Comma 2 7 11 10" xfId="16045"/>
    <cellStyle name="Comma 2 7 11 2" xfId="16046"/>
    <cellStyle name="Comma 2 7 11 2 2" xfId="16047"/>
    <cellStyle name="Comma 2 7 11 2 2 2" xfId="16048"/>
    <cellStyle name="Comma 2 7 11 2 2 3" xfId="16049"/>
    <cellStyle name="Comma 2 7 11 2 3" xfId="16050"/>
    <cellStyle name="Comma 2 7 11 2 4" xfId="16051"/>
    <cellStyle name="Comma 2 7 11 2 5" xfId="16052"/>
    <cellStyle name="Comma 2 7 11 2 6" xfId="16053"/>
    <cellStyle name="Comma 2 7 11 3" xfId="16054"/>
    <cellStyle name="Comma 2 7 11 3 2" xfId="16055"/>
    <cellStyle name="Comma 2 7 11 3 2 2" xfId="16056"/>
    <cellStyle name="Comma 2 7 11 3 2 3" xfId="16057"/>
    <cellStyle name="Comma 2 7 11 3 3" xfId="16058"/>
    <cellStyle name="Comma 2 7 11 3 4" xfId="16059"/>
    <cellStyle name="Comma 2 7 11 3 5" xfId="16060"/>
    <cellStyle name="Comma 2 7 11 3 6" xfId="16061"/>
    <cellStyle name="Comma 2 7 11 4" xfId="16062"/>
    <cellStyle name="Comma 2 7 11 4 2" xfId="16063"/>
    <cellStyle name="Comma 2 7 11 4 2 2" xfId="16064"/>
    <cellStyle name="Comma 2 7 11 4 3" xfId="16065"/>
    <cellStyle name="Comma 2 7 11 4 4" xfId="16066"/>
    <cellStyle name="Comma 2 7 11 4 5" xfId="16067"/>
    <cellStyle name="Comma 2 7 11 5" xfId="16068"/>
    <cellStyle name="Comma 2 7 11 5 2" xfId="16069"/>
    <cellStyle name="Comma 2 7 11 5 3" xfId="16070"/>
    <cellStyle name="Comma 2 7 11 5 4" xfId="16071"/>
    <cellStyle name="Comma 2 7 11 6" xfId="16072"/>
    <cellStyle name="Comma 2 7 11 6 2" xfId="16073"/>
    <cellStyle name="Comma 2 7 11 7" xfId="16074"/>
    <cellStyle name="Comma 2 7 11 8" xfId="16075"/>
    <cellStyle name="Comma 2 7 11 9" xfId="16076"/>
    <cellStyle name="Comma 2 7 12" xfId="16077"/>
    <cellStyle name="Comma 2 7 12 10" xfId="16078"/>
    <cellStyle name="Comma 2 7 12 2" xfId="16079"/>
    <cellStyle name="Comma 2 7 12 2 2" xfId="16080"/>
    <cellStyle name="Comma 2 7 12 2 2 2" xfId="16081"/>
    <cellStyle name="Comma 2 7 12 2 2 3" xfId="16082"/>
    <cellStyle name="Comma 2 7 12 2 3" xfId="16083"/>
    <cellStyle name="Comma 2 7 12 2 4" xfId="16084"/>
    <cellStyle name="Comma 2 7 12 2 5" xfId="16085"/>
    <cellStyle name="Comma 2 7 12 2 6" xfId="16086"/>
    <cellStyle name="Comma 2 7 12 3" xfId="16087"/>
    <cellStyle name="Comma 2 7 12 3 2" xfId="16088"/>
    <cellStyle name="Comma 2 7 12 3 2 2" xfId="16089"/>
    <cellStyle name="Comma 2 7 12 3 2 3" xfId="16090"/>
    <cellStyle name="Comma 2 7 12 3 3" xfId="16091"/>
    <cellStyle name="Comma 2 7 12 3 4" xfId="16092"/>
    <cellStyle name="Comma 2 7 12 3 5" xfId="16093"/>
    <cellStyle name="Comma 2 7 12 3 6" xfId="16094"/>
    <cellStyle name="Comma 2 7 12 4" xfId="16095"/>
    <cellStyle name="Comma 2 7 12 4 2" xfId="16096"/>
    <cellStyle name="Comma 2 7 12 4 2 2" xfId="16097"/>
    <cellStyle name="Comma 2 7 12 4 3" xfId="16098"/>
    <cellStyle name="Comma 2 7 12 4 4" xfId="16099"/>
    <cellStyle name="Comma 2 7 12 4 5" xfId="16100"/>
    <cellStyle name="Comma 2 7 12 5" xfId="16101"/>
    <cellStyle name="Comma 2 7 12 5 2" xfId="16102"/>
    <cellStyle name="Comma 2 7 12 5 3" xfId="16103"/>
    <cellStyle name="Comma 2 7 12 5 4" xfId="16104"/>
    <cellStyle name="Comma 2 7 12 6" xfId="16105"/>
    <cellStyle name="Comma 2 7 12 6 2" xfId="16106"/>
    <cellStyle name="Comma 2 7 12 7" xfId="16107"/>
    <cellStyle name="Comma 2 7 12 8" xfId="16108"/>
    <cellStyle name="Comma 2 7 12 9" xfId="16109"/>
    <cellStyle name="Comma 2 7 13" xfId="16110"/>
    <cellStyle name="Comma 2 7 13 2" xfId="16111"/>
    <cellStyle name="Comma 2 7 13 2 2" xfId="16112"/>
    <cellStyle name="Comma 2 7 13 2 2 2" xfId="16113"/>
    <cellStyle name="Comma 2 7 13 2 2 3" xfId="16114"/>
    <cellStyle name="Comma 2 7 13 2 3" xfId="16115"/>
    <cellStyle name="Comma 2 7 13 2 4" xfId="16116"/>
    <cellStyle name="Comma 2 7 13 2 5" xfId="16117"/>
    <cellStyle name="Comma 2 7 13 2 6" xfId="16118"/>
    <cellStyle name="Comma 2 7 13 3" xfId="16119"/>
    <cellStyle name="Comma 2 7 13 3 2" xfId="16120"/>
    <cellStyle name="Comma 2 7 13 3 2 2" xfId="16121"/>
    <cellStyle name="Comma 2 7 13 3 3" xfId="16122"/>
    <cellStyle name="Comma 2 7 13 3 4" xfId="16123"/>
    <cellStyle name="Comma 2 7 13 3 5" xfId="16124"/>
    <cellStyle name="Comma 2 7 13 4" xfId="16125"/>
    <cellStyle name="Comma 2 7 13 4 2" xfId="16126"/>
    <cellStyle name="Comma 2 7 13 4 3" xfId="16127"/>
    <cellStyle name="Comma 2 7 13 4 4" xfId="16128"/>
    <cellStyle name="Comma 2 7 13 5" xfId="16129"/>
    <cellStyle name="Comma 2 7 13 5 2" xfId="16130"/>
    <cellStyle name="Comma 2 7 13 6" xfId="16131"/>
    <cellStyle name="Comma 2 7 13 7" xfId="16132"/>
    <cellStyle name="Comma 2 7 13 8" xfId="16133"/>
    <cellStyle name="Comma 2 7 13 9" xfId="16134"/>
    <cellStyle name="Comma 2 7 14" xfId="16135"/>
    <cellStyle name="Comma 2 7 14 2" xfId="16136"/>
    <cellStyle name="Comma 2 7 14 2 2" xfId="16137"/>
    <cellStyle name="Comma 2 7 14 2 2 2" xfId="16138"/>
    <cellStyle name="Comma 2 7 14 2 2 3" xfId="16139"/>
    <cellStyle name="Comma 2 7 14 2 3" xfId="16140"/>
    <cellStyle name="Comma 2 7 14 2 4" xfId="16141"/>
    <cellStyle name="Comma 2 7 14 2 5" xfId="16142"/>
    <cellStyle name="Comma 2 7 14 2 6" xfId="16143"/>
    <cellStyle name="Comma 2 7 14 3" xfId="16144"/>
    <cellStyle name="Comma 2 7 14 3 2" xfId="16145"/>
    <cellStyle name="Comma 2 7 14 3 2 2" xfId="16146"/>
    <cellStyle name="Comma 2 7 14 3 3" xfId="16147"/>
    <cellStyle name="Comma 2 7 14 3 4" xfId="16148"/>
    <cellStyle name="Comma 2 7 14 3 5" xfId="16149"/>
    <cellStyle name="Comma 2 7 14 4" xfId="16150"/>
    <cellStyle name="Comma 2 7 14 4 2" xfId="16151"/>
    <cellStyle name="Comma 2 7 14 4 3" xfId="16152"/>
    <cellStyle name="Comma 2 7 14 4 4" xfId="16153"/>
    <cellStyle name="Comma 2 7 14 5" xfId="16154"/>
    <cellStyle name="Comma 2 7 14 5 2" xfId="16155"/>
    <cellStyle name="Comma 2 7 14 6" xfId="16156"/>
    <cellStyle name="Comma 2 7 14 7" xfId="16157"/>
    <cellStyle name="Comma 2 7 14 8" xfId="16158"/>
    <cellStyle name="Comma 2 7 14 9" xfId="16159"/>
    <cellStyle name="Comma 2 7 15" xfId="16160"/>
    <cellStyle name="Comma 2 7 15 2" xfId="16161"/>
    <cellStyle name="Comma 2 7 15 2 2" xfId="16162"/>
    <cellStyle name="Comma 2 7 15 2 3" xfId="16163"/>
    <cellStyle name="Comma 2 7 15 3" xfId="16164"/>
    <cellStyle name="Comma 2 7 15 4" xfId="16165"/>
    <cellStyle name="Comma 2 7 15 5" xfId="16166"/>
    <cellStyle name="Comma 2 7 15 6" xfId="16167"/>
    <cellStyle name="Comma 2 7 16" xfId="16168"/>
    <cellStyle name="Comma 2 7 16 2" xfId="16169"/>
    <cellStyle name="Comma 2 7 16 2 2" xfId="16170"/>
    <cellStyle name="Comma 2 7 16 3" xfId="16171"/>
    <cellStyle name="Comma 2 7 16 4" xfId="16172"/>
    <cellStyle name="Comma 2 7 16 5" xfId="16173"/>
    <cellStyle name="Comma 2 7 17" xfId="16174"/>
    <cellStyle name="Comma 2 7 17 2" xfId="16175"/>
    <cellStyle name="Comma 2 7 17 2 2" xfId="16176"/>
    <cellStyle name="Comma 2 7 17 3" xfId="16177"/>
    <cellStyle name="Comma 2 7 17 4" xfId="16178"/>
    <cellStyle name="Comma 2 7 17 5" xfId="16179"/>
    <cellStyle name="Comma 2 7 18" xfId="16180"/>
    <cellStyle name="Comma 2 7 18 2" xfId="16181"/>
    <cellStyle name="Comma 2 7 19" xfId="16182"/>
    <cellStyle name="Comma 2 7 2" xfId="16183"/>
    <cellStyle name="Comma 2 7 2 10" xfId="16184"/>
    <cellStyle name="Comma 2 7 2 11" xfId="16185"/>
    <cellStyle name="Comma 2 7 2 2" xfId="16186"/>
    <cellStyle name="Comma 2 7 2 2 2" xfId="16187"/>
    <cellStyle name="Comma 2 7 2 2 2 2" xfId="16188"/>
    <cellStyle name="Comma 2 7 2 2 2 2 2" xfId="16189"/>
    <cellStyle name="Comma 2 7 2 2 2 2 3" xfId="16190"/>
    <cellStyle name="Comma 2 7 2 2 2 3" xfId="16191"/>
    <cellStyle name="Comma 2 7 2 2 2 4" xfId="16192"/>
    <cellStyle name="Comma 2 7 2 2 2 5" xfId="16193"/>
    <cellStyle name="Comma 2 7 2 2 2 6" xfId="16194"/>
    <cellStyle name="Comma 2 7 2 2 3" xfId="16195"/>
    <cellStyle name="Comma 2 7 2 2 3 2" xfId="16196"/>
    <cellStyle name="Comma 2 7 2 2 3 2 2" xfId="16197"/>
    <cellStyle name="Comma 2 7 2 2 3 3" xfId="16198"/>
    <cellStyle name="Comma 2 7 2 2 3 4" xfId="16199"/>
    <cellStyle name="Comma 2 7 2 2 3 5" xfId="16200"/>
    <cellStyle name="Comma 2 7 2 2 4" xfId="16201"/>
    <cellStyle name="Comma 2 7 2 2 4 2" xfId="16202"/>
    <cellStyle name="Comma 2 7 2 2 4 3" xfId="16203"/>
    <cellStyle name="Comma 2 7 2 2 4 4" xfId="16204"/>
    <cellStyle name="Comma 2 7 2 2 5" xfId="16205"/>
    <cellStyle name="Comma 2 7 2 2 5 2" xfId="16206"/>
    <cellStyle name="Comma 2 7 2 2 6" xfId="16207"/>
    <cellStyle name="Comma 2 7 2 2 7" xfId="16208"/>
    <cellStyle name="Comma 2 7 2 2 8" xfId="16209"/>
    <cellStyle name="Comma 2 7 2 2 9" xfId="16210"/>
    <cellStyle name="Comma 2 7 2 3" xfId="16211"/>
    <cellStyle name="Comma 2 7 2 3 2" xfId="16212"/>
    <cellStyle name="Comma 2 7 2 3 2 2" xfId="16213"/>
    <cellStyle name="Comma 2 7 2 3 2 2 2" xfId="16214"/>
    <cellStyle name="Comma 2 7 2 3 2 2 3" xfId="16215"/>
    <cellStyle name="Comma 2 7 2 3 2 3" xfId="16216"/>
    <cellStyle name="Comma 2 7 2 3 2 4" xfId="16217"/>
    <cellStyle name="Comma 2 7 2 3 2 5" xfId="16218"/>
    <cellStyle name="Comma 2 7 2 3 2 6" xfId="16219"/>
    <cellStyle name="Comma 2 7 2 3 3" xfId="16220"/>
    <cellStyle name="Comma 2 7 2 3 3 2" xfId="16221"/>
    <cellStyle name="Comma 2 7 2 3 3 2 2" xfId="16222"/>
    <cellStyle name="Comma 2 7 2 3 3 3" xfId="16223"/>
    <cellStyle name="Comma 2 7 2 3 3 4" xfId="16224"/>
    <cellStyle name="Comma 2 7 2 3 3 5" xfId="16225"/>
    <cellStyle name="Comma 2 7 2 3 4" xfId="16226"/>
    <cellStyle name="Comma 2 7 2 3 4 2" xfId="16227"/>
    <cellStyle name="Comma 2 7 2 3 4 3" xfId="16228"/>
    <cellStyle name="Comma 2 7 2 3 4 4" xfId="16229"/>
    <cellStyle name="Comma 2 7 2 3 5" xfId="16230"/>
    <cellStyle name="Comma 2 7 2 3 5 2" xfId="16231"/>
    <cellStyle name="Comma 2 7 2 3 6" xfId="16232"/>
    <cellStyle name="Comma 2 7 2 3 7" xfId="16233"/>
    <cellStyle name="Comma 2 7 2 3 8" xfId="16234"/>
    <cellStyle name="Comma 2 7 2 3 9" xfId="16235"/>
    <cellStyle name="Comma 2 7 2 4" xfId="16236"/>
    <cellStyle name="Comma 2 7 2 4 2" xfId="16237"/>
    <cellStyle name="Comma 2 7 2 4 2 2" xfId="16238"/>
    <cellStyle name="Comma 2 7 2 4 2 3" xfId="16239"/>
    <cellStyle name="Comma 2 7 2 4 3" xfId="16240"/>
    <cellStyle name="Comma 2 7 2 4 4" xfId="16241"/>
    <cellStyle name="Comma 2 7 2 4 5" xfId="16242"/>
    <cellStyle name="Comma 2 7 2 4 6" xfId="16243"/>
    <cellStyle name="Comma 2 7 2 5" xfId="16244"/>
    <cellStyle name="Comma 2 7 2 5 2" xfId="16245"/>
    <cellStyle name="Comma 2 7 2 5 2 2" xfId="16246"/>
    <cellStyle name="Comma 2 7 2 5 3" xfId="16247"/>
    <cellStyle name="Comma 2 7 2 5 4" xfId="16248"/>
    <cellStyle name="Comma 2 7 2 5 5" xfId="16249"/>
    <cellStyle name="Comma 2 7 2 6" xfId="16250"/>
    <cellStyle name="Comma 2 7 2 6 2" xfId="16251"/>
    <cellStyle name="Comma 2 7 2 6 3" xfId="16252"/>
    <cellStyle name="Comma 2 7 2 6 4" xfId="16253"/>
    <cellStyle name="Comma 2 7 2 7" xfId="16254"/>
    <cellStyle name="Comma 2 7 2 7 2" xfId="16255"/>
    <cellStyle name="Comma 2 7 2 8" xfId="16256"/>
    <cellStyle name="Comma 2 7 2 9" xfId="16257"/>
    <cellStyle name="Comma 2 7 20" xfId="16258"/>
    <cellStyle name="Comma 2 7 21" xfId="16259"/>
    <cellStyle name="Comma 2 7 22" xfId="16260"/>
    <cellStyle name="Comma 2 7 3" xfId="16261"/>
    <cellStyle name="Comma 2 7 3 10" xfId="16262"/>
    <cellStyle name="Comma 2 7 3 11" xfId="16263"/>
    <cellStyle name="Comma 2 7 3 2" xfId="16264"/>
    <cellStyle name="Comma 2 7 3 2 2" xfId="16265"/>
    <cellStyle name="Comma 2 7 3 2 2 2" xfId="16266"/>
    <cellStyle name="Comma 2 7 3 2 2 2 2" xfId="16267"/>
    <cellStyle name="Comma 2 7 3 2 2 2 3" xfId="16268"/>
    <cellStyle name="Comma 2 7 3 2 2 3" xfId="16269"/>
    <cellStyle name="Comma 2 7 3 2 2 4" xfId="16270"/>
    <cellStyle name="Comma 2 7 3 2 2 5" xfId="16271"/>
    <cellStyle name="Comma 2 7 3 2 2 6" xfId="16272"/>
    <cellStyle name="Comma 2 7 3 2 3" xfId="16273"/>
    <cellStyle name="Comma 2 7 3 2 3 2" xfId="16274"/>
    <cellStyle name="Comma 2 7 3 2 3 2 2" xfId="16275"/>
    <cellStyle name="Comma 2 7 3 2 3 3" xfId="16276"/>
    <cellStyle name="Comma 2 7 3 2 3 4" xfId="16277"/>
    <cellStyle name="Comma 2 7 3 2 3 5" xfId="16278"/>
    <cellStyle name="Comma 2 7 3 2 4" xfId="16279"/>
    <cellStyle name="Comma 2 7 3 2 4 2" xfId="16280"/>
    <cellStyle name="Comma 2 7 3 2 4 3" xfId="16281"/>
    <cellStyle name="Comma 2 7 3 2 4 4" xfId="16282"/>
    <cellStyle name="Comma 2 7 3 2 5" xfId="16283"/>
    <cellStyle name="Comma 2 7 3 2 5 2" xfId="16284"/>
    <cellStyle name="Comma 2 7 3 2 6" xfId="16285"/>
    <cellStyle name="Comma 2 7 3 2 7" xfId="16286"/>
    <cellStyle name="Comma 2 7 3 2 8" xfId="16287"/>
    <cellStyle name="Comma 2 7 3 2 9" xfId="16288"/>
    <cellStyle name="Comma 2 7 3 3" xfId="16289"/>
    <cellStyle name="Comma 2 7 3 3 2" xfId="16290"/>
    <cellStyle name="Comma 2 7 3 3 2 2" xfId="16291"/>
    <cellStyle name="Comma 2 7 3 3 2 2 2" xfId="16292"/>
    <cellStyle name="Comma 2 7 3 3 2 2 3" xfId="16293"/>
    <cellStyle name="Comma 2 7 3 3 2 3" xfId="16294"/>
    <cellStyle name="Comma 2 7 3 3 2 4" xfId="16295"/>
    <cellStyle name="Comma 2 7 3 3 2 5" xfId="16296"/>
    <cellStyle name="Comma 2 7 3 3 2 6" xfId="16297"/>
    <cellStyle name="Comma 2 7 3 3 3" xfId="16298"/>
    <cellStyle name="Comma 2 7 3 3 3 2" xfId="16299"/>
    <cellStyle name="Comma 2 7 3 3 3 2 2" xfId="16300"/>
    <cellStyle name="Comma 2 7 3 3 3 3" xfId="16301"/>
    <cellStyle name="Comma 2 7 3 3 3 4" xfId="16302"/>
    <cellStyle name="Comma 2 7 3 3 3 5" xfId="16303"/>
    <cellStyle name="Comma 2 7 3 3 4" xfId="16304"/>
    <cellStyle name="Comma 2 7 3 3 4 2" xfId="16305"/>
    <cellStyle name="Comma 2 7 3 3 4 3" xfId="16306"/>
    <cellStyle name="Comma 2 7 3 3 4 4" xfId="16307"/>
    <cellStyle name="Comma 2 7 3 3 5" xfId="16308"/>
    <cellStyle name="Comma 2 7 3 3 5 2" xfId="16309"/>
    <cellStyle name="Comma 2 7 3 3 6" xfId="16310"/>
    <cellStyle name="Comma 2 7 3 3 7" xfId="16311"/>
    <cellStyle name="Comma 2 7 3 3 8" xfId="16312"/>
    <cellStyle name="Comma 2 7 3 3 9" xfId="16313"/>
    <cellStyle name="Comma 2 7 3 4" xfId="16314"/>
    <cellStyle name="Comma 2 7 3 4 2" xfId="16315"/>
    <cellStyle name="Comma 2 7 3 4 2 2" xfId="16316"/>
    <cellStyle name="Comma 2 7 3 4 2 3" xfId="16317"/>
    <cellStyle name="Comma 2 7 3 4 3" xfId="16318"/>
    <cellStyle name="Comma 2 7 3 4 4" xfId="16319"/>
    <cellStyle name="Comma 2 7 3 4 5" xfId="16320"/>
    <cellStyle name="Comma 2 7 3 4 6" xfId="16321"/>
    <cellStyle name="Comma 2 7 3 5" xfId="16322"/>
    <cellStyle name="Comma 2 7 3 5 2" xfId="16323"/>
    <cellStyle name="Comma 2 7 3 5 2 2" xfId="16324"/>
    <cellStyle name="Comma 2 7 3 5 3" xfId="16325"/>
    <cellStyle name="Comma 2 7 3 5 4" xfId="16326"/>
    <cellStyle name="Comma 2 7 3 5 5" xfId="16327"/>
    <cellStyle name="Comma 2 7 3 6" xfId="16328"/>
    <cellStyle name="Comma 2 7 3 6 2" xfId="16329"/>
    <cellStyle name="Comma 2 7 3 6 3" xfId="16330"/>
    <cellStyle name="Comma 2 7 3 6 4" xfId="16331"/>
    <cellStyle name="Comma 2 7 3 7" xfId="16332"/>
    <cellStyle name="Comma 2 7 3 7 2" xfId="16333"/>
    <cellStyle name="Comma 2 7 3 8" xfId="16334"/>
    <cellStyle name="Comma 2 7 3 9" xfId="16335"/>
    <cellStyle name="Comma 2 7 4" xfId="16336"/>
    <cellStyle name="Comma 2 7 4 10" xfId="16337"/>
    <cellStyle name="Comma 2 7 4 11" xfId="16338"/>
    <cellStyle name="Comma 2 7 4 2" xfId="16339"/>
    <cellStyle name="Comma 2 7 4 2 2" xfId="16340"/>
    <cellStyle name="Comma 2 7 4 2 2 2" xfId="16341"/>
    <cellStyle name="Comma 2 7 4 2 2 2 2" xfId="16342"/>
    <cellStyle name="Comma 2 7 4 2 2 2 3" xfId="16343"/>
    <cellStyle name="Comma 2 7 4 2 2 3" xfId="16344"/>
    <cellStyle name="Comma 2 7 4 2 2 4" xfId="16345"/>
    <cellStyle name="Comma 2 7 4 2 2 5" xfId="16346"/>
    <cellStyle name="Comma 2 7 4 2 2 6" xfId="16347"/>
    <cellStyle name="Comma 2 7 4 2 3" xfId="16348"/>
    <cellStyle name="Comma 2 7 4 2 3 2" xfId="16349"/>
    <cellStyle name="Comma 2 7 4 2 3 2 2" xfId="16350"/>
    <cellStyle name="Comma 2 7 4 2 3 3" xfId="16351"/>
    <cellStyle name="Comma 2 7 4 2 3 4" xfId="16352"/>
    <cellStyle name="Comma 2 7 4 2 3 5" xfId="16353"/>
    <cellStyle name="Comma 2 7 4 2 4" xfId="16354"/>
    <cellStyle name="Comma 2 7 4 2 4 2" xfId="16355"/>
    <cellStyle name="Comma 2 7 4 2 4 3" xfId="16356"/>
    <cellStyle name="Comma 2 7 4 2 4 4" xfId="16357"/>
    <cellStyle name="Comma 2 7 4 2 5" xfId="16358"/>
    <cellStyle name="Comma 2 7 4 2 5 2" xfId="16359"/>
    <cellStyle name="Comma 2 7 4 2 6" xfId="16360"/>
    <cellStyle name="Comma 2 7 4 2 7" xfId="16361"/>
    <cellStyle name="Comma 2 7 4 2 8" xfId="16362"/>
    <cellStyle name="Comma 2 7 4 2 9" xfId="16363"/>
    <cellStyle name="Comma 2 7 4 3" xfId="16364"/>
    <cellStyle name="Comma 2 7 4 3 2" xfId="16365"/>
    <cellStyle name="Comma 2 7 4 3 2 2" xfId="16366"/>
    <cellStyle name="Comma 2 7 4 3 2 2 2" xfId="16367"/>
    <cellStyle name="Comma 2 7 4 3 2 2 3" xfId="16368"/>
    <cellStyle name="Comma 2 7 4 3 2 3" xfId="16369"/>
    <cellStyle name="Comma 2 7 4 3 2 4" xfId="16370"/>
    <cellStyle name="Comma 2 7 4 3 2 5" xfId="16371"/>
    <cellStyle name="Comma 2 7 4 3 2 6" xfId="16372"/>
    <cellStyle name="Comma 2 7 4 3 3" xfId="16373"/>
    <cellStyle name="Comma 2 7 4 3 3 2" xfId="16374"/>
    <cellStyle name="Comma 2 7 4 3 3 2 2" xfId="16375"/>
    <cellStyle name="Comma 2 7 4 3 3 3" xfId="16376"/>
    <cellStyle name="Comma 2 7 4 3 3 4" xfId="16377"/>
    <cellStyle name="Comma 2 7 4 3 3 5" xfId="16378"/>
    <cellStyle name="Comma 2 7 4 3 4" xfId="16379"/>
    <cellStyle name="Comma 2 7 4 3 4 2" xfId="16380"/>
    <cellStyle name="Comma 2 7 4 3 4 3" xfId="16381"/>
    <cellStyle name="Comma 2 7 4 3 4 4" xfId="16382"/>
    <cellStyle name="Comma 2 7 4 3 5" xfId="16383"/>
    <cellStyle name="Comma 2 7 4 3 5 2" xfId="16384"/>
    <cellStyle name="Comma 2 7 4 3 6" xfId="16385"/>
    <cellStyle name="Comma 2 7 4 3 7" xfId="16386"/>
    <cellStyle name="Comma 2 7 4 3 8" xfId="16387"/>
    <cellStyle name="Comma 2 7 4 3 9" xfId="16388"/>
    <cellStyle name="Comma 2 7 4 4" xfId="16389"/>
    <cellStyle name="Comma 2 7 4 4 2" xfId="16390"/>
    <cellStyle name="Comma 2 7 4 4 2 2" xfId="16391"/>
    <cellStyle name="Comma 2 7 4 4 2 3" xfId="16392"/>
    <cellStyle name="Comma 2 7 4 4 3" xfId="16393"/>
    <cellStyle name="Comma 2 7 4 4 4" xfId="16394"/>
    <cellStyle name="Comma 2 7 4 4 5" xfId="16395"/>
    <cellStyle name="Comma 2 7 4 4 6" xfId="16396"/>
    <cellStyle name="Comma 2 7 4 5" xfId="16397"/>
    <cellStyle name="Comma 2 7 4 5 2" xfId="16398"/>
    <cellStyle name="Comma 2 7 4 5 2 2" xfId="16399"/>
    <cellStyle name="Comma 2 7 4 5 3" xfId="16400"/>
    <cellStyle name="Comma 2 7 4 5 4" xfId="16401"/>
    <cellStyle name="Comma 2 7 4 5 5" xfId="16402"/>
    <cellStyle name="Comma 2 7 4 6" xfId="16403"/>
    <cellStyle name="Comma 2 7 4 6 2" xfId="16404"/>
    <cellStyle name="Comma 2 7 4 6 3" xfId="16405"/>
    <cellStyle name="Comma 2 7 4 6 4" xfId="16406"/>
    <cellStyle name="Comma 2 7 4 7" xfId="16407"/>
    <cellStyle name="Comma 2 7 4 7 2" xfId="16408"/>
    <cellStyle name="Comma 2 7 4 8" xfId="16409"/>
    <cellStyle name="Comma 2 7 4 9" xfId="16410"/>
    <cellStyle name="Comma 2 7 5" xfId="16411"/>
    <cellStyle name="Comma 2 7 5 10" xfId="16412"/>
    <cellStyle name="Comma 2 7 5 11" xfId="16413"/>
    <cellStyle name="Comma 2 7 5 2" xfId="16414"/>
    <cellStyle name="Comma 2 7 5 2 2" xfId="16415"/>
    <cellStyle name="Comma 2 7 5 2 2 2" xfId="16416"/>
    <cellStyle name="Comma 2 7 5 2 2 2 2" xfId="16417"/>
    <cellStyle name="Comma 2 7 5 2 2 2 3" xfId="16418"/>
    <cellStyle name="Comma 2 7 5 2 2 3" xfId="16419"/>
    <cellStyle name="Comma 2 7 5 2 2 4" xfId="16420"/>
    <cellStyle name="Comma 2 7 5 2 2 5" xfId="16421"/>
    <cellStyle name="Comma 2 7 5 2 2 6" xfId="16422"/>
    <cellStyle name="Comma 2 7 5 2 3" xfId="16423"/>
    <cellStyle name="Comma 2 7 5 2 3 2" xfId="16424"/>
    <cellStyle name="Comma 2 7 5 2 3 2 2" xfId="16425"/>
    <cellStyle name="Comma 2 7 5 2 3 3" xfId="16426"/>
    <cellStyle name="Comma 2 7 5 2 3 4" xfId="16427"/>
    <cellStyle name="Comma 2 7 5 2 3 5" xfId="16428"/>
    <cellStyle name="Comma 2 7 5 2 4" xfId="16429"/>
    <cellStyle name="Comma 2 7 5 2 4 2" xfId="16430"/>
    <cellStyle name="Comma 2 7 5 2 4 3" xfId="16431"/>
    <cellStyle name="Comma 2 7 5 2 4 4" xfId="16432"/>
    <cellStyle name="Comma 2 7 5 2 5" xfId="16433"/>
    <cellStyle name="Comma 2 7 5 2 5 2" xfId="16434"/>
    <cellStyle name="Comma 2 7 5 2 6" xfId="16435"/>
    <cellStyle name="Comma 2 7 5 2 7" xfId="16436"/>
    <cellStyle name="Comma 2 7 5 2 8" xfId="16437"/>
    <cellStyle name="Comma 2 7 5 2 9" xfId="16438"/>
    <cellStyle name="Comma 2 7 5 3" xfId="16439"/>
    <cellStyle name="Comma 2 7 5 3 2" xfId="16440"/>
    <cellStyle name="Comma 2 7 5 3 2 2" xfId="16441"/>
    <cellStyle name="Comma 2 7 5 3 2 2 2" xfId="16442"/>
    <cellStyle name="Comma 2 7 5 3 2 2 3" xfId="16443"/>
    <cellStyle name="Comma 2 7 5 3 2 3" xfId="16444"/>
    <cellStyle name="Comma 2 7 5 3 2 4" xfId="16445"/>
    <cellStyle name="Comma 2 7 5 3 2 5" xfId="16446"/>
    <cellStyle name="Comma 2 7 5 3 2 6" xfId="16447"/>
    <cellStyle name="Comma 2 7 5 3 3" xfId="16448"/>
    <cellStyle name="Comma 2 7 5 3 3 2" xfId="16449"/>
    <cellStyle name="Comma 2 7 5 3 3 2 2" xfId="16450"/>
    <cellStyle name="Comma 2 7 5 3 3 3" xfId="16451"/>
    <cellStyle name="Comma 2 7 5 3 3 4" xfId="16452"/>
    <cellStyle name="Comma 2 7 5 3 3 5" xfId="16453"/>
    <cellStyle name="Comma 2 7 5 3 4" xfId="16454"/>
    <cellStyle name="Comma 2 7 5 3 4 2" xfId="16455"/>
    <cellStyle name="Comma 2 7 5 3 4 3" xfId="16456"/>
    <cellStyle name="Comma 2 7 5 3 4 4" xfId="16457"/>
    <cellStyle name="Comma 2 7 5 3 5" xfId="16458"/>
    <cellStyle name="Comma 2 7 5 3 5 2" xfId="16459"/>
    <cellStyle name="Comma 2 7 5 3 6" xfId="16460"/>
    <cellStyle name="Comma 2 7 5 3 7" xfId="16461"/>
    <cellStyle name="Comma 2 7 5 3 8" xfId="16462"/>
    <cellStyle name="Comma 2 7 5 3 9" xfId="16463"/>
    <cellStyle name="Comma 2 7 5 4" xfId="16464"/>
    <cellStyle name="Comma 2 7 5 4 2" xfId="16465"/>
    <cellStyle name="Comma 2 7 5 4 2 2" xfId="16466"/>
    <cellStyle name="Comma 2 7 5 4 2 3" xfId="16467"/>
    <cellStyle name="Comma 2 7 5 4 3" xfId="16468"/>
    <cellStyle name="Comma 2 7 5 4 4" xfId="16469"/>
    <cellStyle name="Comma 2 7 5 4 5" xfId="16470"/>
    <cellStyle name="Comma 2 7 5 4 6" xfId="16471"/>
    <cellStyle name="Comma 2 7 5 5" xfId="16472"/>
    <cellStyle name="Comma 2 7 5 5 2" xfId="16473"/>
    <cellStyle name="Comma 2 7 5 5 2 2" xfId="16474"/>
    <cellStyle name="Comma 2 7 5 5 3" xfId="16475"/>
    <cellStyle name="Comma 2 7 5 5 4" xfId="16476"/>
    <cellStyle name="Comma 2 7 5 5 5" xfId="16477"/>
    <cellStyle name="Comma 2 7 5 6" xfId="16478"/>
    <cellStyle name="Comma 2 7 5 6 2" xfId="16479"/>
    <cellStyle name="Comma 2 7 5 6 3" xfId="16480"/>
    <cellStyle name="Comma 2 7 5 6 4" xfId="16481"/>
    <cellStyle name="Comma 2 7 5 7" xfId="16482"/>
    <cellStyle name="Comma 2 7 5 7 2" xfId="16483"/>
    <cellStyle name="Comma 2 7 5 8" xfId="16484"/>
    <cellStyle name="Comma 2 7 5 9" xfId="16485"/>
    <cellStyle name="Comma 2 7 6" xfId="16486"/>
    <cellStyle name="Comma 2 7 6 10" xfId="16487"/>
    <cellStyle name="Comma 2 7 6 11" xfId="16488"/>
    <cellStyle name="Comma 2 7 6 2" xfId="16489"/>
    <cellStyle name="Comma 2 7 6 2 2" xfId="16490"/>
    <cellStyle name="Comma 2 7 6 2 2 2" xfId="16491"/>
    <cellStyle name="Comma 2 7 6 2 2 2 2" xfId="16492"/>
    <cellStyle name="Comma 2 7 6 2 2 2 3" xfId="16493"/>
    <cellStyle name="Comma 2 7 6 2 2 3" xfId="16494"/>
    <cellStyle name="Comma 2 7 6 2 2 4" xfId="16495"/>
    <cellStyle name="Comma 2 7 6 2 2 5" xfId="16496"/>
    <cellStyle name="Comma 2 7 6 2 2 6" xfId="16497"/>
    <cellStyle name="Comma 2 7 6 2 3" xfId="16498"/>
    <cellStyle name="Comma 2 7 6 2 3 2" xfId="16499"/>
    <cellStyle name="Comma 2 7 6 2 3 2 2" xfId="16500"/>
    <cellStyle name="Comma 2 7 6 2 3 3" xfId="16501"/>
    <cellStyle name="Comma 2 7 6 2 3 4" xfId="16502"/>
    <cellStyle name="Comma 2 7 6 2 3 5" xfId="16503"/>
    <cellStyle name="Comma 2 7 6 2 4" xfId="16504"/>
    <cellStyle name="Comma 2 7 6 2 4 2" xfId="16505"/>
    <cellStyle name="Comma 2 7 6 2 4 3" xfId="16506"/>
    <cellStyle name="Comma 2 7 6 2 4 4" xfId="16507"/>
    <cellStyle name="Comma 2 7 6 2 5" xfId="16508"/>
    <cellStyle name="Comma 2 7 6 2 5 2" xfId="16509"/>
    <cellStyle name="Comma 2 7 6 2 6" xfId="16510"/>
    <cellStyle name="Comma 2 7 6 2 7" xfId="16511"/>
    <cellStyle name="Comma 2 7 6 2 8" xfId="16512"/>
    <cellStyle name="Comma 2 7 6 2 9" xfId="16513"/>
    <cellStyle name="Comma 2 7 6 3" xfId="16514"/>
    <cellStyle name="Comma 2 7 6 3 2" xfId="16515"/>
    <cellStyle name="Comma 2 7 6 3 2 2" xfId="16516"/>
    <cellStyle name="Comma 2 7 6 3 2 2 2" xfId="16517"/>
    <cellStyle name="Comma 2 7 6 3 2 2 3" xfId="16518"/>
    <cellStyle name="Comma 2 7 6 3 2 3" xfId="16519"/>
    <cellStyle name="Comma 2 7 6 3 2 4" xfId="16520"/>
    <cellStyle name="Comma 2 7 6 3 2 5" xfId="16521"/>
    <cellStyle name="Comma 2 7 6 3 2 6" xfId="16522"/>
    <cellStyle name="Comma 2 7 6 3 3" xfId="16523"/>
    <cellStyle name="Comma 2 7 6 3 3 2" xfId="16524"/>
    <cellStyle name="Comma 2 7 6 3 3 2 2" xfId="16525"/>
    <cellStyle name="Comma 2 7 6 3 3 3" xfId="16526"/>
    <cellStyle name="Comma 2 7 6 3 3 4" xfId="16527"/>
    <cellStyle name="Comma 2 7 6 3 3 5" xfId="16528"/>
    <cellStyle name="Comma 2 7 6 3 4" xfId="16529"/>
    <cellStyle name="Comma 2 7 6 3 4 2" xfId="16530"/>
    <cellStyle name="Comma 2 7 6 3 4 3" xfId="16531"/>
    <cellStyle name="Comma 2 7 6 3 4 4" xfId="16532"/>
    <cellStyle name="Comma 2 7 6 3 5" xfId="16533"/>
    <cellStyle name="Comma 2 7 6 3 5 2" xfId="16534"/>
    <cellStyle name="Comma 2 7 6 3 6" xfId="16535"/>
    <cellStyle name="Comma 2 7 6 3 7" xfId="16536"/>
    <cellStyle name="Comma 2 7 6 3 8" xfId="16537"/>
    <cellStyle name="Comma 2 7 6 3 9" xfId="16538"/>
    <cellStyle name="Comma 2 7 6 4" xfId="16539"/>
    <cellStyle name="Comma 2 7 6 4 2" xfId="16540"/>
    <cellStyle name="Comma 2 7 6 4 2 2" xfId="16541"/>
    <cellStyle name="Comma 2 7 6 4 2 3" xfId="16542"/>
    <cellStyle name="Comma 2 7 6 4 3" xfId="16543"/>
    <cellStyle name="Comma 2 7 6 4 4" xfId="16544"/>
    <cellStyle name="Comma 2 7 6 4 5" xfId="16545"/>
    <cellStyle name="Comma 2 7 6 4 6" xfId="16546"/>
    <cellStyle name="Comma 2 7 6 5" xfId="16547"/>
    <cellStyle name="Comma 2 7 6 5 2" xfId="16548"/>
    <cellStyle name="Comma 2 7 6 5 2 2" xfId="16549"/>
    <cellStyle name="Comma 2 7 6 5 3" xfId="16550"/>
    <cellStyle name="Comma 2 7 6 5 4" xfId="16551"/>
    <cellStyle name="Comma 2 7 6 5 5" xfId="16552"/>
    <cellStyle name="Comma 2 7 6 6" xfId="16553"/>
    <cellStyle name="Comma 2 7 6 6 2" xfId="16554"/>
    <cellStyle name="Comma 2 7 6 6 3" xfId="16555"/>
    <cellStyle name="Comma 2 7 6 6 4" xfId="16556"/>
    <cellStyle name="Comma 2 7 6 7" xfId="16557"/>
    <cellStyle name="Comma 2 7 6 7 2" xfId="16558"/>
    <cellStyle name="Comma 2 7 6 8" xfId="16559"/>
    <cellStyle name="Comma 2 7 6 9" xfId="16560"/>
    <cellStyle name="Comma 2 7 7" xfId="16561"/>
    <cellStyle name="Comma 2 7 7 10" xfId="16562"/>
    <cellStyle name="Comma 2 7 7 11" xfId="16563"/>
    <cellStyle name="Comma 2 7 7 2" xfId="16564"/>
    <cellStyle name="Comma 2 7 7 2 2" xfId="16565"/>
    <cellStyle name="Comma 2 7 7 2 2 2" xfId="16566"/>
    <cellStyle name="Comma 2 7 7 2 2 2 2" xfId="16567"/>
    <cellStyle name="Comma 2 7 7 2 2 2 3" xfId="16568"/>
    <cellStyle name="Comma 2 7 7 2 2 3" xfId="16569"/>
    <cellStyle name="Comma 2 7 7 2 2 4" xfId="16570"/>
    <cellStyle name="Comma 2 7 7 2 2 5" xfId="16571"/>
    <cellStyle name="Comma 2 7 7 2 2 6" xfId="16572"/>
    <cellStyle name="Comma 2 7 7 2 3" xfId="16573"/>
    <cellStyle name="Comma 2 7 7 2 3 2" xfId="16574"/>
    <cellStyle name="Comma 2 7 7 2 3 2 2" xfId="16575"/>
    <cellStyle name="Comma 2 7 7 2 3 3" xfId="16576"/>
    <cellStyle name="Comma 2 7 7 2 3 4" xfId="16577"/>
    <cellStyle name="Comma 2 7 7 2 3 5" xfId="16578"/>
    <cellStyle name="Comma 2 7 7 2 4" xfId="16579"/>
    <cellStyle name="Comma 2 7 7 2 4 2" xfId="16580"/>
    <cellStyle name="Comma 2 7 7 2 4 3" xfId="16581"/>
    <cellStyle name="Comma 2 7 7 2 4 4" xfId="16582"/>
    <cellStyle name="Comma 2 7 7 2 5" xfId="16583"/>
    <cellStyle name="Comma 2 7 7 2 5 2" xfId="16584"/>
    <cellStyle name="Comma 2 7 7 2 6" xfId="16585"/>
    <cellStyle name="Comma 2 7 7 2 7" xfId="16586"/>
    <cellStyle name="Comma 2 7 7 2 8" xfId="16587"/>
    <cellStyle name="Comma 2 7 7 2 9" xfId="16588"/>
    <cellStyle name="Comma 2 7 7 3" xfId="16589"/>
    <cellStyle name="Comma 2 7 7 3 2" xfId="16590"/>
    <cellStyle name="Comma 2 7 7 3 2 2" xfId="16591"/>
    <cellStyle name="Comma 2 7 7 3 2 2 2" xfId="16592"/>
    <cellStyle name="Comma 2 7 7 3 2 2 3" xfId="16593"/>
    <cellStyle name="Comma 2 7 7 3 2 3" xfId="16594"/>
    <cellStyle name="Comma 2 7 7 3 2 4" xfId="16595"/>
    <cellStyle name="Comma 2 7 7 3 2 5" xfId="16596"/>
    <cellStyle name="Comma 2 7 7 3 2 6" xfId="16597"/>
    <cellStyle name="Comma 2 7 7 3 3" xfId="16598"/>
    <cellStyle name="Comma 2 7 7 3 3 2" xfId="16599"/>
    <cellStyle name="Comma 2 7 7 3 3 2 2" xfId="16600"/>
    <cellStyle name="Comma 2 7 7 3 3 3" xfId="16601"/>
    <cellStyle name="Comma 2 7 7 3 3 4" xfId="16602"/>
    <cellStyle name="Comma 2 7 7 3 3 5" xfId="16603"/>
    <cellStyle name="Comma 2 7 7 3 4" xfId="16604"/>
    <cellStyle name="Comma 2 7 7 3 4 2" xfId="16605"/>
    <cellStyle name="Comma 2 7 7 3 4 3" xfId="16606"/>
    <cellStyle name="Comma 2 7 7 3 4 4" xfId="16607"/>
    <cellStyle name="Comma 2 7 7 3 5" xfId="16608"/>
    <cellStyle name="Comma 2 7 7 3 5 2" xfId="16609"/>
    <cellStyle name="Comma 2 7 7 3 6" xfId="16610"/>
    <cellStyle name="Comma 2 7 7 3 7" xfId="16611"/>
    <cellStyle name="Comma 2 7 7 3 8" xfId="16612"/>
    <cellStyle name="Comma 2 7 7 3 9" xfId="16613"/>
    <cellStyle name="Comma 2 7 7 4" xfId="16614"/>
    <cellStyle name="Comma 2 7 7 4 2" xfId="16615"/>
    <cellStyle name="Comma 2 7 7 4 2 2" xfId="16616"/>
    <cellStyle name="Comma 2 7 7 4 2 3" xfId="16617"/>
    <cellStyle name="Comma 2 7 7 4 3" xfId="16618"/>
    <cellStyle name="Comma 2 7 7 4 4" xfId="16619"/>
    <cellStyle name="Comma 2 7 7 4 5" xfId="16620"/>
    <cellStyle name="Comma 2 7 7 4 6" xfId="16621"/>
    <cellStyle name="Comma 2 7 7 5" xfId="16622"/>
    <cellStyle name="Comma 2 7 7 5 2" xfId="16623"/>
    <cellStyle name="Comma 2 7 7 5 2 2" xfId="16624"/>
    <cellStyle name="Comma 2 7 7 5 3" xfId="16625"/>
    <cellStyle name="Comma 2 7 7 5 4" xfId="16626"/>
    <cellStyle name="Comma 2 7 7 5 5" xfId="16627"/>
    <cellStyle name="Comma 2 7 7 6" xfId="16628"/>
    <cellStyle name="Comma 2 7 7 6 2" xfId="16629"/>
    <cellStyle name="Comma 2 7 7 6 3" xfId="16630"/>
    <cellStyle name="Comma 2 7 7 6 4" xfId="16631"/>
    <cellStyle name="Comma 2 7 7 7" xfId="16632"/>
    <cellStyle name="Comma 2 7 7 7 2" xfId="16633"/>
    <cellStyle name="Comma 2 7 7 8" xfId="16634"/>
    <cellStyle name="Comma 2 7 7 9" xfId="16635"/>
    <cellStyle name="Comma 2 7 8" xfId="16636"/>
    <cellStyle name="Comma 2 7 8 10" xfId="16637"/>
    <cellStyle name="Comma 2 7 8 2" xfId="16638"/>
    <cellStyle name="Comma 2 7 8 2 2" xfId="16639"/>
    <cellStyle name="Comma 2 7 8 2 2 2" xfId="16640"/>
    <cellStyle name="Comma 2 7 8 2 2 3" xfId="16641"/>
    <cellStyle name="Comma 2 7 8 2 3" xfId="16642"/>
    <cellStyle name="Comma 2 7 8 2 4" xfId="16643"/>
    <cellStyle name="Comma 2 7 8 2 5" xfId="16644"/>
    <cellStyle name="Comma 2 7 8 2 6" xfId="16645"/>
    <cellStyle name="Comma 2 7 8 3" xfId="16646"/>
    <cellStyle name="Comma 2 7 8 3 2" xfId="16647"/>
    <cellStyle name="Comma 2 7 8 3 2 2" xfId="16648"/>
    <cellStyle name="Comma 2 7 8 3 2 3" xfId="16649"/>
    <cellStyle name="Comma 2 7 8 3 3" xfId="16650"/>
    <cellStyle name="Comma 2 7 8 3 4" xfId="16651"/>
    <cellStyle name="Comma 2 7 8 3 5" xfId="16652"/>
    <cellStyle name="Comma 2 7 8 3 6" xfId="16653"/>
    <cellStyle name="Comma 2 7 8 4" xfId="16654"/>
    <cellStyle name="Comma 2 7 8 4 2" xfId="16655"/>
    <cellStyle name="Comma 2 7 8 4 2 2" xfId="16656"/>
    <cellStyle name="Comma 2 7 8 4 3" xfId="16657"/>
    <cellStyle name="Comma 2 7 8 4 4" xfId="16658"/>
    <cellStyle name="Comma 2 7 8 4 5" xfId="16659"/>
    <cellStyle name="Comma 2 7 8 5" xfId="16660"/>
    <cellStyle name="Comma 2 7 8 5 2" xfId="16661"/>
    <cellStyle name="Comma 2 7 8 5 3" xfId="16662"/>
    <cellStyle name="Comma 2 7 8 5 4" xfId="16663"/>
    <cellStyle name="Comma 2 7 8 6" xfId="16664"/>
    <cellStyle name="Comma 2 7 8 6 2" xfId="16665"/>
    <cellStyle name="Comma 2 7 8 7" xfId="16666"/>
    <cellStyle name="Comma 2 7 8 8" xfId="16667"/>
    <cellStyle name="Comma 2 7 8 9" xfId="16668"/>
    <cellStyle name="Comma 2 7 9" xfId="16669"/>
    <cellStyle name="Comma 2 7 9 10" xfId="16670"/>
    <cellStyle name="Comma 2 7 9 2" xfId="16671"/>
    <cellStyle name="Comma 2 7 9 2 2" xfId="16672"/>
    <cellStyle name="Comma 2 7 9 2 2 2" xfId="16673"/>
    <cellStyle name="Comma 2 7 9 2 2 3" xfId="16674"/>
    <cellStyle name="Comma 2 7 9 2 3" xfId="16675"/>
    <cellStyle name="Comma 2 7 9 2 4" xfId="16676"/>
    <cellStyle name="Comma 2 7 9 2 5" xfId="16677"/>
    <cellStyle name="Comma 2 7 9 2 6" xfId="16678"/>
    <cellStyle name="Comma 2 7 9 3" xfId="16679"/>
    <cellStyle name="Comma 2 7 9 3 2" xfId="16680"/>
    <cellStyle name="Comma 2 7 9 3 2 2" xfId="16681"/>
    <cellStyle name="Comma 2 7 9 3 2 3" xfId="16682"/>
    <cellStyle name="Comma 2 7 9 3 3" xfId="16683"/>
    <cellStyle name="Comma 2 7 9 3 4" xfId="16684"/>
    <cellStyle name="Comma 2 7 9 3 5" xfId="16685"/>
    <cellStyle name="Comma 2 7 9 3 6" xfId="16686"/>
    <cellStyle name="Comma 2 7 9 4" xfId="16687"/>
    <cellStyle name="Comma 2 7 9 4 2" xfId="16688"/>
    <cellStyle name="Comma 2 7 9 4 2 2" xfId="16689"/>
    <cellStyle name="Comma 2 7 9 4 3" xfId="16690"/>
    <cellStyle name="Comma 2 7 9 4 4" xfId="16691"/>
    <cellStyle name="Comma 2 7 9 4 5" xfId="16692"/>
    <cellStyle name="Comma 2 7 9 5" xfId="16693"/>
    <cellStyle name="Comma 2 7 9 5 2" xfId="16694"/>
    <cellStyle name="Comma 2 7 9 5 3" xfId="16695"/>
    <cellStyle name="Comma 2 7 9 5 4" xfId="16696"/>
    <cellStyle name="Comma 2 7 9 6" xfId="16697"/>
    <cellStyle name="Comma 2 7 9 6 2" xfId="16698"/>
    <cellStyle name="Comma 2 7 9 7" xfId="16699"/>
    <cellStyle name="Comma 2 7 9 8" xfId="16700"/>
    <cellStyle name="Comma 2 7 9 9" xfId="16701"/>
    <cellStyle name="Comma 2 8" xfId="16702"/>
    <cellStyle name="Comma 2 8 10" xfId="16703"/>
    <cellStyle name="Comma 2 8 10 10" xfId="16704"/>
    <cellStyle name="Comma 2 8 10 2" xfId="16705"/>
    <cellStyle name="Comma 2 8 10 2 2" xfId="16706"/>
    <cellStyle name="Comma 2 8 10 2 2 2" xfId="16707"/>
    <cellStyle name="Comma 2 8 10 2 2 3" xfId="16708"/>
    <cellStyle name="Comma 2 8 10 2 3" xfId="16709"/>
    <cellStyle name="Comma 2 8 10 2 4" xfId="16710"/>
    <cellStyle name="Comma 2 8 10 2 5" xfId="16711"/>
    <cellStyle name="Comma 2 8 10 2 6" xfId="16712"/>
    <cellStyle name="Comma 2 8 10 3" xfId="16713"/>
    <cellStyle name="Comma 2 8 10 3 2" xfId="16714"/>
    <cellStyle name="Comma 2 8 10 3 2 2" xfId="16715"/>
    <cellStyle name="Comma 2 8 10 3 2 3" xfId="16716"/>
    <cellStyle name="Comma 2 8 10 3 3" xfId="16717"/>
    <cellStyle name="Comma 2 8 10 3 4" xfId="16718"/>
    <cellStyle name="Comma 2 8 10 3 5" xfId="16719"/>
    <cellStyle name="Comma 2 8 10 3 6" xfId="16720"/>
    <cellStyle name="Comma 2 8 10 4" xfId="16721"/>
    <cellStyle name="Comma 2 8 10 4 2" xfId="16722"/>
    <cellStyle name="Comma 2 8 10 4 2 2" xfId="16723"/>
    <cellStyle name="Comma 2 8 10 4 3" xfId="16724"/>
    <cellStyle name="Comma 2 8 10 4 4" xfId="16725"/>
    <cellStyle name="Comma 2 8 10 4 5" xfId="16726"/>
    <cellStyle name="Comma 2 8 10 5" xfId="16727"/>
    <cellStyle name="Comma 2 8 10 5 2" xfId="16728"/>
    <cellStyle name="Comma 2 8 10 5 3" xfId="16729"/>
    <cellStyle name="Comma 2 8 10 5 4" xfId="16730"/>
    <cellStyle name="Comma 2 8 10 6" xfId="16731"/>
    <cellStyle name="Comma 2 8 10 6 2" xfId="16732"/>
    <cellStyle name="Comma 2 8 10 7" xfId="16733"/>
    <cellStyle name="Comma 2 8 10 8" xfId="16734"/>
    <cellStyle name="Comma 2 8 10 9" xfId="16735"/>
    <cellStyle name="Comma 2 8 11" xfId="16736"/>
    <cellStyle name="Comma 2 8 11 10" xfId="16737"/>
    <cellStyle name="Comma 2 8 11 2" xfId="16738"/>
    <cellStyle name="Comma 2 8 11 2 2" xfId="16739"/>
    <cellStyle name="Comma 2 8 11 2 2 2" xfId="16740"/>
    <cellStyle name="Comma 2 8 11 2 2 3" xfId="16741"/>
    <cellStyle name="Comma 2 8 11 2 3" xfId="16742"/>
    <cellStyle name="Comma 2 8 11 2 4" xfId="16743"/>
    <cellStyle name="Comma 2 8 11 2 5" xfId="16744"/>
    <cellStyle name="Comma 2 8 11 2 6" xfId="16745"/>
    <cellStyle name="Comma 2 8 11 3" xfId="16746"/>
    <cellStyle name="Comma 2 8 11 3 2" xfId="16747"/>
    <cellStyle name="Comma 2 8 11 3 2 2" xfId="16748"/>
    <cellStyle name="Comma 2 8 11 3 2 3" xfId="16749"/>
    <cellStyle name="Comma 2 8 11 3 3" xfId="16750"/>
    <cellStyle name="Comma 2 8 11 3 4" xfId="16751"/>
    <cellStyle name="Comma 2 8 11 3 5" xfId="16752"/>
    <cellStyle name="Comma 2 8 11 3 6" xfId="16753"/>
    <cellStyle name="Comma 2 8 11 4" xfId="16754"/>
    <cellStyle name="Comma 2 8 11 4 2" xfId="16755"/>
    <cellStyle name="Comma 2 8 11 4 2 2" xfId="16756"/>
    <cellStyle name="Comma 2 8 11 4 3" xfId="16757"/>
    <cellStyle name="Comma 2 8 11 4 4" xfId="16758"/>
    <cellStyle name="Comma 2 8 11 4 5" xfId="16759"/>
    <cellStyle name="Comma 2 8 11 5" xfId="16760"/>
    <cellStyle name="Comma 2 8 11 5 2" xfId="16761"/>
    <cellStyle name="Comma 2 8 11 5 3" xfId="16762"/>
    <cellStyle name="Comma 2 8 11 5 4" xfId="16763"/>
    <cellStyle name="Comma 2 8 11 6" xfId="16764"/>
    <cellStyle name="Comma 2 8 11 6 2" xfId="16765"/>
    <cellStyle name="Comma 2 8 11 7" xfId="16766"/>
    <cellStyle name="Comma 2 8 11 8" xfId="16767"/>
    <cellStyle name="Comma 2 8 11 9" xfId="16768"/>
    <cellStyle name="Comma 2 8 12" xfId="16769"/>
    <cellStyle name="Comma 2 8 12 10" xfId="16770"/>
    <cellStyle name="Comma 2 8 12 2" xfId="16771"/>
    <cellStyle name="Comma 2 8 12 2 2" xfId="16772"/>
    <cellStyle name="Comma 2 8 12 2 2 2" xfId="16773"/>
    <cellStyle name="Comma 2 8 12 2 2 3" xfId="16774"/>
    <cellStyle name="Comma 2 8 12 2 3" xfId="16775"/>
    <cellStyle name="Comma 2 8 12 2 4" xfId="16776"/>
    <cellStyle name="Comma 2 8 12 2 5" xfId="16777"/>
    <cellStyle name="Comma 2 8 12 2 6" xfId="16778"/>
    <cellStyle name="Comma 2 8 12 3" xfId="16779"/>
    <cellStyle name="Comma 2 8 12 3 2" xfId="16780"/>
    <cellStyle name="Comma 2 8 12 3 2 2" xfId="16781"/>
    <cellStyle name="Comma 2 8 12 3 2 3" xfId="16782"/>
    <cellStyle name="Comma 2 8 12 3 3" xfId="16783"/>
    <cellStyle name="Comma 2 8 12 3 4" xfId="16784"/>
    <cellStyle name="Comma 2 8 12 3 5" xfId="16785"/>
    <cellStyle name="Comma 2 8 12 3 6" xfId="16786"/>
    <cellStyle name="Comma 2 8 12 4" xfId="16787"/>
    <cellStyle name="Comma 2 8 12 4 2" xfId="16788"/>
    <cellStyle name="Comma 2 8 12 4 2 2" xfId="16789"/>
    <cellStyle name="Comma 2 8 12 4 3" xfId="16790"/>
    <cellStyle name="Comma 2 8 12 4 4" xfId="16791"/>
    <cellStyle name="Comma 2 8 12 4 5" xfId="16792"/>
    <cellStyle name="Comma 2 8 12 5" xfId="16793"/>
    <cellStyle name="Comma 2 8 12 5 2" xfId="16794"/>
    <cellStyle name="Comma 2 8 12 5 3" xfId="16795"/>
    <cellStyle name="Comma 2 8 12 5 4" xfId="16796"/>
    <cellStyle name="Comma 2 8 12 6" xfId="16797"/>
    <cellStyle name="Comma 2 8 12 6 2" xfId="16798"/>
    <cellStyle name="Comma 2 8 12 7" xfId="16799"/>
    <cellStyle name="Comma 2 8 12 8" xfId="16800"/>
    <cellStyle name="Comma 2 8 12 9" xfId="16801"/>
    <cellStyle name="Comma 2 8 13" xfId="16802"/>
    <cellStyle name="Comma 2 8 13 2" xfId="16803"/>
    <cellStyle name="Comma 2 8 13 2 2" xfId="16804"/>
    <cellStyle name="Comma 2 8 13 2 2 2" xfId="16805"/>
    <cellStyle name="Comma 2 8 13 2 2 3" xfId="16806"/>
    <cellStyle name="Comma 2 8 13 2 3" xfId="16807"/>
    <cellStyle name="Comma 2 8 13 2 4" xfId="16808"/>
    <cellStyle name="Comma 2 8 13 2 5" xfId="16809"/>
    <cellStyle name="Comma 2 8 13 2 6" xfId="16810"/>
    <cellStyle name="Comma 2 8 13 3" xfId="16811"/>
    <cellStyle name="Comma 2 8 13 3 2" xfId="16812"/>
    <cellStyle name="Comma 2 8 13 3 2 2" xfId="16813"/>
    <cellStyle name="Comma 2 8 13 3 3" xfId="16814"/>
    <cellStyle name="Comma 2 8 13 3 4" xfId="16815"/>
    <cellStyle name="Comma 2 8 13 3 5" xfId="16816"/>
    <cellStyle name="Comma 2 8 13 4" xfId="16817"/>
    <cellStyle name="Comma 2 8 13 4 2" xfId="16818"/>
    <cellStyle name="Comma 2 8 13 4 3" xfId="16819"/>
    <cellStyle name="Comma 2 8 13 4 4" xfId="16820"/>
    <cellStyle name="Comma 2 8 13 5" xfId="16821"/>
    <cellStyle name="Comma 2 8 13 5 2" xfId="16822"/>
    <cellStyle name="Comma 2 8 13 6" xfId="16823"/>
    <cellStyle name="Comma 2 8 13 7" xfId="16824"/>
    <cellStyle name="Comma 2 8 13 8" xfId="16825"/>
    <cellStyle name="Comma 2 8 13 9" xfId="16826"/>
    <cellStyle name="Comma 2 8 14" xfId="16827"/>
    <cellStyle name="Comma 2 8 14 2" xfId="16828"/>
    <cellStyle name="Comma 2 8 14 2 2" xfId="16829"/>
    <cellStyle name="Comma 2 8 14 2 2 2" xfId="16830"/>
    <cellStyle name="Comma 2 8 14 2 2 3" xfId="16831"/>
    <cellStyle name="Comma 2 8 14 2 3" xfId="16832"/>
    <cellStyle name="Comma 2 8 14 2 4" xfId="16833"/>
    <cellStyle name="Comma 2 8 14 2 5" xfId="16834"/>
    <cellStyle name="Comma 2 8 14 2 6" xfId="16835"/>
    <cellStyle name="Comma 2 8 14 3" xfId="16836"/>
    <cellStyle name="Comma 2 8 14 3 2" xfId="16837"/>
    <cellStyle name="Comma 2 8 14 3 2 2" xfId="16838"/>
    <cellStyle name="Comma 2 8 14 3 3" xfId="16839"/>
    <cellStyle name="Comma 2 8 14 3 4" xfId="16840"/>
    <cellStyle name="Comma 2 8 14 3 5" xfId="16841"/>
    <cellStyle name="Comma 2 8 14 4" xfId="16842"/>
    <cellStyle name="Comma 2 8 14 4 2" xfId="16843"/>
    <cellStyle name="Comma 2 8 14 4 3" xfId="16844"/>
    <cellStyle name="Comma 2 8 14 4 4" xfId="16845"/>
    <cellStyle name="Comma 2 8 14 5" xfId="16846"/>
    <cellStyle name="Comma 2 8 14 5 2" xfId="16847"/>
    <cellStyle name="Comma 2 8 14 6" xfId="16848"/>
    <cellStyle name="Comma 2 8 14 7" xfId="16849"/>
    <cellStyle name="Comma 2 8 14 8" xfId="16850"/>
    <cellStyle name="Comma 2 8 14 9" xfId="16851"/>
    <cellStyle name="Comma 2 8 15" xfId="16852"/>
    <cellStyle name="Comma 2 8 15 2" xfId="16853"/>
    <cellStyle name="Comma 2 8 15 2 2" xfId="16854"/>
    <cellStyle name="Comma 2 8 15 2 3" xfId="16855"/>
    <cellStyle name="Comma 2 8 15 3" xfId="16856"/>
    <cellStyle name="Comma 2 8 15 4" xfId="16857"/>
    <cellStyle name="Comma 2 8 15 5" xfId="16858"/>
    <cellStyle name="Comma 2 8 15 6" xfId="16859"/>
    <cellStyle name="Comma 2 8 16" xfId="16860"/>
    <cellStyle name="Comma 2 8 16 2" xfId="16861"/>
    <cellStyle name="Comma 2 8 16 2 2" xfId="16862"/>
    <cellStyle name="Comma 2 8 16 3" xfId="16863"/>
    <cellStyle name="Comma 2 8 16 4" xfId="16864"/>
    <cellStyle name="Comma 2 8 16 5" xfId="16865"/>
    <cellStyle name="Comma 2 8 17" xfId="16866"/>
    <cellStyle name="Comma 2 8 17 2" xfId="16867"/>
    <cellStyle name="Comma 2 8 17 2 2" xfId="16868"/>
    <cellStyle name="Comma 2 8 17 3" xfId="16869"/>
    <cellStyle name="Comma 2 8 17 4" xfId="16870"/>
    <cellStyle name="Comma 2 8 17 5" xfId="16871"/>
    <cellStyle name="Comma 2 8 18" xfId="16872"/>
    <cellStyle name="Comma 2 8 18 2" xfId="16873"/>
    <cellStyle name="Comma 2 8 19" xfId="16874"/>
    <cellStyle name="Comma 2 8 2" xfId="16875"/>
    <cellStyle name="Comma 2 8 2 10" xfId="16876"/>
    <cellStyle name="Comma 2 8 2 11" xfId="16877"/>
    <cellStyle name="Comma 2 8 2 2" xfId="16878"/>
    <cellStyle name="Comma 2 8 2 2 2" xfId="16879"/>
    <cellStyle name="Comma 2 8 2 2 2 2" xfId="16880"/>
    <cellStyle name="Comma 2 8 2 2 2 2 2" xfId="16881"/>
    <cellStyle name="Comma 2 8 2 2 2 2 3" xfId="16882"/>
    <cellStyle name="Comma 2 8 2 2 2 3" xfId="16883"/>
    <cellStyle name="Comma 2 8 2 2 2 4" xfId="16884"/>
    <cellStyle name="Comma 2 8 2 2 2 5" xfId="16885"/>
    <cellStyle name="Comma 2 8 2 2 2 6" xfId="16886"/>
    <cellStyle name="Comma 2 8 2 2 3" xfId="16887"/>
    <cellStyle name="Comma 2 8 2 2 3 2" xfId="16888"/>
    <cellStyle name="Comma 2 8 2 2 3 2 2" xfId="16889"/>
    <cellStyle name="Comma 2 8 2 2 3 3" xfId="16890"/>
    <cellStyle name="Comma 2 8 2 2 3 4" xfId="16891"/>
    <cellStyle name="Comma 2 8 2 2 3 5" xfId="16892"/>
    <cellStyle name="Comma 2 8 2 2 4" xfId="16893"/>
    <cellStyle name="Comma 2 8 2 2 4 2" xfId="16894"/>
    <cellStyle name="Comma 2 8 2 2 4 3" xfId="16895"/>
    <cellStyle name="Comma 2 8 2 2 4 4" xfId="16896"/>
    <cellStyle name="Comma 2 8 2 2 5" xfId="16897"/>
    <cellStyle name="Comma 2 8 2 2 5 2" xfId="16898"/>
    <cellStyle name="Comma 2 8 2 2 6" xfId="16899"/>
    <cellStyle name="Comma 2 8 2 2 7" xfId="16900"/>
    <cellStyle name="Comma 2 8 2 2 8" xfId="16901"/>
    <cellStyle name="Comma 2 8 2 2 9" xfId="16902"/>
    <cellStyle name="Comma 2 8 2 3" xfId="16903"/>
    <cellStyle name="Comma 2 8 2 3 2" xfId="16904"/>
    <cellStyle name="Comma 2 8 2 3 2 2" xfId="16905"/>
    <cellStyle name="Comma 2 8 2 3 2 2 2" xfId="16906"/>
    <cellStyle name="Comma 2 8 2 3 2 2 3" xfId="16907"/>
    <cellStyle name="Comma 2 8 2 3 2 3" xfId="16908"/>
    <cellStyle name="Comma 2 8 2 3 2 4" xfId="16909"/>
    <cellStyle name="Comma 2 8 2 3 2 5" xfId="16910"/>
    <cellStyle name="Comma 2 8 2 3 2 6" xfId="16911"/>
    <cellStyle name="Comma 2 8 2 3 3" xfId="16912"/>
    <cellStyle name="Comma 2 8 2 3 3 2" xfId="16913"/>
    <cellStyle name="Comma 2 8 2 3 3 2 2" xfId="16914"/>
    <cellStyle name="Comma 2 8 2 3 3 3" xfId="16915"/>
    <cellStyle name="Comma 2 8 2 3 3 4" xfId="16916"/>
    <cellStyle name="Comma 2 8 2 3 3 5" xfId="16917"/>
    <cellStyle name="Comma 2 8 2 3 4" xfId="16918"/>
    <cellStyle name="Comma 2 8 2 3 4 2" xfId="16919"/>
    <cellStyle name="Comma 2 8 2 3 4 3" xfId="16920"/>
    <cellStyle name="Comma 2 8 2 3 4 4" xfId="16921"/>
    <cellStyle name="Comma 2 8 2 3 5" xfId="16922"/>
    <cellStyle name="Comma 2 8 2 3 5 2" xfId="16923"/>
    <cellStyle name="Comma 2 8 2 3 6" xfId="16924"/>
    <cellStyle name="Comma 2 8 2 3 7" xfId="16925"/>
    <cellStyle name="Comma 2 8 2 3 8" xfId="16926"/>
    <cellStyle name="Comma 2 8 2 3 9" xfId="16927"/>
    <cellStyle name="Comma 2 8 2 4" xfId="16928"/>
    <cellStyle name="Comma 2 8 2 4 2" xfId="16929"/>
    <cellStyle name="Comma 2 8 2 4 2 2" xfId="16930"/>
    <cellStyle name="Comma 2 8 2 4 2 3" xfId="16931"/>
    <cellStyle name="Comma 2 8 2 4 3" xfId="16932"/>
    <cellStyle name="Comma 2 8 2 4 4" xfId="16933"/>
    <cellStyle name="Comma 2 8 2 4 5" xfId="16934"/>
    <cellStyle name="Comma 2 8 2 4 6" xfId="16935"/>
    <cellStyle name="Comma 2 8 2 5" xfId="16936"/>
    <cellStyle name="Comma 2 8 2 5 2" xfId="16937"/>
    <cellStyle name="Comma 2 8 2 5 2 2" xfId="16938"/>
    <cellStyle name="Comma 2 8 2 5 3" xfId="16939"/>
    <cellStyle name="Comma 2 8 2 5 4" xfId="16940"/>
    <cellStyle name="Comma 2 8 2 5 5" xfId="16941"/>
    <cellStyle name="Comma 2 8 2 6" xfId="16942"/>
    <cellStyle name="Comma 2 8 2 6 2" xfId="16943"/>
    <cellStyle name="Comma 2 8 2 6 3" xfId="16944"/>
    <cellStyle name="Comma 2 8 2 6 4" xfId="16945"/>
    <cellStyle name="Comma 2 8 2 7" xfId="16946"/>
    <cellStyle name="Comma 2 8 2 7 2" xfId="16947"/>
    <cellStyle name="Comma 2 8 2 8" xfId="16948"/>
    <cellStyle name="Comma 2 8 2 9" xfId="16949"/>
    <cellStyle name="Comma 2 8 20" xfId="16950"/>
    <cellStyle name="Comma 2 8 21" xfId="16951"/>
    <cellStyle name="Comma 2 8 22" xfId="16952"/>
    <cellStyle name="Comma 2 8 3" xfId="16953"/>
    <cellStyle name="Comma 2 8 3 10" xfId="16954"/>
    <cellStyle name="Comma 2 8 3 11" xfId="16955"/>
    <cellStyle name="Comma 2 8 3 2" xfId="16956"/>
    <cellStyle name="Comma 2 8 3 2 2" xfId="16957"/>
    <cellStyle name="Comma 2 8 3 2 2 2" xfId="16958"/>
    <cellStyle name="Comma 2 8 3 2 2 2 2" xfId="16959"/>
    <cellStyle name="Comma 2 8 3 2 2 2 3" xfId="16960"/>
    <cellStyle name="Comma 2 8 3 2 2 3" xfId="16961"/>
    <cellStyle name="Comma 2 8 3 2 2 4" xfId="16962"/>
    <cellStyle name="Comma 2 8 3 2 2 5" xfId="16963"/>
    <cellStyle name="Comma 2 8 3 2 2 6" xfId="16964"/>
    <cellStyle name="Comma 2 8 3 2 3" xfId="16965"/>
    <cellStyle name="Comma 2 8 3 2 3 2" xfId="16966"/>
    <cellStyle name="Comma 2 8 3 2 3 2 2" xfId="16967"/>
    <cellStyle name="Comma 2 8 3 2 3 3" xfId="16968"/>
    <cellStyle name="Comma 2 8 3 2 3 4" xfId="16969"/>
    <cellStyle name="Comma 2 8 3 2 3 5" xfId="16970"/>
    <cellStyle name="Comma 2 8 3 2 4" xfId="16971"/>
    <cellStyle name="Comma 2 8 3 2 4 2" xfId="16972"/>
    <cellStyle name="Comma 2 8 3 2 4 3" xfId="16973"/>
    <cellStyle name="Comma 2 8 3 2 4 4" xfId="16974"/>
    <cellStyle name="Comma 2 8 3 2 5" xfId="16975"/>
    <cellStyle name="Comma 2 8 3 2 5 2" xfId="16976"/>
    <cellStyle name="Comma 2 8 3 2 6" xfId="16977"/>
    <cellStyle name="Comma 2 8 3 2 7" xfId="16978"/>
    <cellStyle name="Comma 2 8 3 2 8" xfId="16979"/>
    <cellStyle name="Comma 2 8 3 2 9" xfId="16980"/>
    <cellStyle name="Comma 2 8 3 3" xfId="16981"/>
    <cellStyle name="Comma 2 8 3 3 2" xfId="16982"/>
    <cellStyle name="Comma 2 8 3 3 2 2" xfId="16983"/>
    <cellStyle name="Comma 2 8 3 3 2 2 2" xfId="16984"/>
    <cellStyle name="Comma 2 8 3 3 2 2 3" xfId="16985"/>
    <cellStyle name="Comma 2 8 3 3 2 3" xfId="16986"/>
    <cellStyle name="Comma 2 8 3 3 2 4" xfId="16987"/>
    <cellStyle name="Comma 2 8 3 3 2 5" xfId="16988"/>
    <cellStyle name="Comma 2 8 3 3 2 6" xfId="16989"/>
    <cellStyle name="Comma 2 8 3 3 3" xfId="16990"/>
    <cellStyle name="Comma 2 8 3 3 3 2" xfId="16991"/>
    <cellStyle name="Comma 2 8 3 3 3 2 2" xfId="16992"/>
    <cellStyle name="Comma 2 8 3 3 3 3" xfId="16993"/>
    <cellStyle name="Comma 2 8 3 3 3 4" xfId="16994"/>
    <cellStyle name="Comma 2 8 3 3 3 5" xfId="16995"/>
    <cellStyle name="Comma 2 8 3 3 4" xfId="16996"/>
    <cellStyle name="Comma 2 8 3 3 4 2" xfId="16997"/>
    <cellStyle name="Comma 2 8 3 3 4 3" xfId="16998"/>
    <cellStyle name="Comma 2 8 3 3 4 4" xfId="16999"/>
    <cellStyle name="Comma 2 8 3 3 5" xfId="17000"/>
    <cellStyle name="Comma 2 8 3 3 5 2" xfId="17001"/>
    <cellStyle name="Comma 2 8 3 3 6" xfId="17002"/>
    <cellStyle name="Comma 2 8 3 3 7" xfId="17003"/>
    <cellStyle name="Comma 2 8 3 3 8" xfId="17004"/>
    <cellStyle name="Comma 2 8 3 3 9" xfId="17005"/>
    <cellStyle name="Comma 2 8 3 4" xfId="17006"/>
    <cellStyle name="Comma 2 8 3 4 2" xfId="17007"/>
    <cellStyle name="Comma 2 8 3 4 2 2" xfId="17008"/>
    <cellStyle name="Comma 2 8 3 4 2 3" xfId="17009"/>
    <cellStyle name="Comma 2 8 3 4 3" xfId="17010"/>
    <cellStyle name="Comma 2 8 3 4 4" xfId="17011"/>
    <cellStyle name="Comma 2 8 3 4 5" xfId="17012"/>
    <cellStyle name="Comma 2 8 3 4 6" xfId="17013"/>
    <cellStyle name="Comma 2 8 3 5" xfId="17014"/>
    <cellStyle name="Comma 2 8 3 5 2" xfId="17015"/>
    <cellStyle name="Comma 2 8 3 5 2 2" xfId="17016"/>
    <cellStyle name="Comma 2 8 3 5 3" xfId="17017"/>
    <cellStyle name="Comma 2 8 3 5 4" xfId="17018"/>
    <cellStyle name="Comma 2 8 3 5 5" xfId="17019"/>
    <cellStyle name="Comma 2 8 3 6" xfId="17020"/>
    <cellStyle name="Comma 2 8 3 6 2" xfId="17021"/>
    <cellStyle name="Comma 2 8 3 6 3" xfId="17022"/>
    <cellStyle name="Comma 2 8 3 6 4" xfId="17023"/>
    <cellStyle name="Comma 2 8 3 7" xfId="17024"/>
    <cellStyle name="Comma 2 8 3 7 2" xfId="17025"/>
    <cellStyle name="Comma 2 8 3 8" xfId="17026"/>
    <cellStyle name="Comma 2 8 3 9" xfId="17027"/>
    <cellStyle name="Comma 2 8 4" xfId="17028"/>
    <cellStyle name="Comma 2 8 4 10" xfId="17029"/>
    <cellStyle name="Comma 2 8 4 11" xfId="17030"/>
    <cellStyle name="Comma 2 8 4 2" xfId="17031"/>
    <cellStyle name="Comma 2 8 4 2 2" xfId="17032"/>
    <cellStyle name="Comma 2 8 4 2 2 2" xfId="17033"/>
    <cellStyle name="Comma 2 8 4 2 2 2 2" xfId="17034"/>
    <cellStyle name="Comma 2 8 4 2 2 2 3" xfId="17035"/>
    <cellStyle name="Comma 2 8 4 2 2 3" xfId="17036"/>
    <cellStyle name="Comma 2 8 4 2 2 4" xfId="17037"/>
    <cellStyle name="Comma 2 8 4 2 2 5" xfId="17038"/>
    <cellStyle name="Comma 2 8 4 2 2 6" xfId="17039"/>
    <cellStyle name="Comma 2 8 4 2 3" xfId="17040"/>
    <cellStyle name="Comma 2 8 4 2 3 2" xfId="17041"/>
    <cellStyle name="Comma 2 8 4 2 3 2 2" xfId="17042"/>
    <cellStyle name="Comma 2 8 4 2 3 3" xfId="17043"/>
    <cellStyle name="Comma 2 8 4 2 3 4" xfId="17044"/>
    <cellStyle name="Comma 2 8 4 2 3 5" xfId="17045"/>
    <cellStyle name="Comma 2 8 4 2 4" xfId="17046"/>
    <cellStyle name="Comma 2 8 4 2 4 2" xfId="17047"/>
    <cellStyle name="Comma 2 8 4 2 4 3" xfId="17048"/>
    <cellStyle name="Comma 2 8 4 2 4 4" xfId="17049"/>
    <cellStyle name="Comma 2 8 4 2 5" xfId="17050"/>
    <cellStyle name="Comma 2 8 4 2 5 2" xfId="17051"/>
    <cellStyle name="Comma 2 8 4 2 6" xfId="17052"/>
    <cellStyle name="Comma 2 8 4 2 7" xfId="17053"/>
    <cellStyle name="Comma 2 8 4 2 8" xfId="17054"/>
    <cellStyle name="Comma 2 8 4 2 9" xfId="17055"/>
    <cellStyle name="Comma 2 8 4 3" xfId="17056"/>
    <cellStyle name="Comma 2 8 4 3 2" xfId="17057"/>
    <cellStyle name="Comma 2 8 4 3 2 2" xfId="17058"/>
    <cellStyle name="Comma 2 8 4 3 2 2 2" xfId="17059"/>
    <cellStyle name="Comma 2 8 4 3 2 2 3" xfId="17060"/>
    <cellStyle name="Comma 2 8 4 3 2 3" xfId="17061"/>
    <cellStyle name="Comma 2 8 4 3 2 4" xfId="17062"/>
    <cellStyle name="Comma 2 8 4 3 2 5" xfId="17063"/>
    <cellStyle name="Comma 2 8 4 3 2 6" xfId="17064"/>
    <cellStyle name="Comma 2 8 4 3 3" xfId="17065"/>
    <cellStyle name="Comma 2 8 4 3 3 2" xfId="17066"/>
    <cellStyle name="Comma 2 8 4 3 3 2 2" xfId="17067"/>
    <cellStyle name="Comma 2 8 4 3 3 3" xfId="17068"/>
    <cellStyle name="Comma 2 8 4 3 3 4" xfId="17069"/>
    <cellStyle name="Comma 2 8 4 3 3 5" xfId="17070"/>
    <cellStyle name="Comma 2 8 4 3 4" xfId="17071"/>
    <cellStyle name="Comma 2 8 4 3 4 2" xfId="17072"/>
    <cellStyle name="Comma 2 8 4 3 4 3" xfId="17073"/>
    <cellStyle name="Comma 2 8 4 3 4 4" xfId="17074"/>
    <cellStyle name="Comma 2 8 4 3 5" xfId="17075"/>
    <cellStyle name="Comma 2 8 4 3 5 2" xfId="17076"/>
    <cellStyle name="Comma 2 8 4 3 6" xfId="17077"/>
    <cellStyle name="Comma 2 8 4 3 7" xfId="17078"/>
    <cellStyle name="Comma 2 8 4 3 8" xfId="17079"/>
    <cellStyle name="Comma 2 8 4 3 9" xfId="17080"/>
    <cellStyle name="Comma 2 8 4 4" xfId="17081"/>
    <cellStyle name="Comma 2 8 4 4 2" xfId="17082"/>
    <cellStyle name="Comma 2 8 4 4 2 2" xfId="17083"/>
    <cellStyle name="Comma 2 8 4 4 2 3" xfId="17084"/>
    <cellStyle name="Comma 2 8 4 4 3" xfId="17085"/>
    <cellStyle name="Comma 2 8 4 4 4" xfId="17086"/>
    <cellStyle name="Comma 2 8 4 4 5" xfId="17087"/>
    <cellStyle name="Comma 2 8 4 4 6" xfId="17088"/>
    <cellStyle name="Comma 2 8 4 5" xfId="17089"/>
    <cellStyle name="Comma 2 8 4 5 2" xfId="17090"/>
    <cellStyle name="Comma 2 8 4 5 2 2" xfId="17091"/>
    <cellStyle name="Comma 2 8 4 5 3" xfId="17092"/>
    <cellStyle name="Comma 2 8 4 5 4" xfId="17093"/>
    <cellStyle name="Comma 2 8 4 5 5" xfId="17094"/>
    <cellStyle name="Comma 2 8 4 6" xfId="17095"/>
    <cellStyle name="Comma 2 8 4 6 2" xfId="17096"/>
    <cellStyle name="Comma 2 8 4 6 3" xfId="17097"/>
    <cellStyle name="Comma 2 8 4 6 4" xfId="17098"/>
    <cellStyle name="Comma 2 8 4 7" xfId="17099"/>
    <cellStyle name="Comma 2 8 4 7 2" xfId="17100"/>
    <cellStyle name="Comma 2 8 4 8" xfId="17101"/>
    <cellStyle name="Comma 2 8 4 9" xfId="17102"/>
    <cellStyle name="Comma 2 8 5" xfId="17103"/>
    <cellStyle name="Comma 2 8 5 10" xfId="17104"/>
    <cellStyle name="Comma 2 8 5 11" xfId="17105"/>
    <cellStyle name="Comma 2 8 5 2" xfId="17106"/>
    <cellStyle name="Comma 2 8 5 2 2" xfId="17107"/>
    <cellStyle name="Comma 2 8 5 2 2 2" xfId="17108"/>
    <cellStyle name="Comma 2 8 5 2 2 2 2" xfId="17109"/>
    <cellStyle name="Comma 2 8 5 2 2 2 3" xfId="17110"/>
    <cellStyle name="Comma 2 8 5 2 2 3" xfId="17111"/>
    <cellStyle name="Comma 2 8 5 2 2 4" xfId="17112"/>
    <cellStyle name="Comma 2 8 5 2 2 5" xfId="17113"/>
    <cellStyle name="Comma 2 8 5 2 2 6" xfId="17114"/>
    <cellStyle name="Comma 2 8 5 2 3" xfId="17115"/>
    <cellStyle name="Comma 2 8 5 2 3 2" xfId="17116"/>
    <cellStyle name="Comma 2 8 5 2 3 2 2" xfId="17117"/>
    <cellStyle name="Comma 2 8 5 2 3 3" xfId="17118"/>
    <cellStyle name="Comma 2 8 5 2 3 4" xfId="17119"/>
    <cellStyle name="Comma 2 8 5 2 3 5" xfId="17120"/>
    <cellStyle name="Comma 2 8 5 2 4" xfId="17121"/>
    <cellStyle name="Comma 2 8 5 2 4 2" xfId="17122"/>
    <cellStyle name="Comma 2 8 5 2 4 3" xfId="17123"/>
    <cellStyle name="Comma 2 8 5 2 4 4" xfId="17124"/>
    <cellStyle name="Comma 2 8 5 2 5" xfId="17125"/>
    <cellStyle name="Comma 2 8 5 2 5 2" xfId="17126"/>
    <cellStyle name="Comma 2 8 5 2 6" xfId="17127"/>
    <cellStyle name="Comma 2 8 5 2 7" xfId="17128"/>
    <cellStyle name="Comma 2 8 5 2 8" xfId="17129"/>
    <cellStyle name="Comma 2 8 5 2 9" xfId="17130"/>
    <cellStyle name="Comma 2 8 5 3" xfId="17131"/>
    <cellStyle name="Comma 2 8 5 3 2" xfId="17132"/>
    <cellStyle name="Comma 2 8 5 3 2 2" xfId="17133"/>
    <cellStyle name="Comma 2 8 5 3 2 2 2" xfId="17134"/>
    <cellStyle name="Comma 2 8 5 3 2 2 3" xfId="17135"/>
    <cellStyle name="Comma 2 8 5 3 2 3" xfId="17136"/>
    <cellStyle name="Comma 2 8 5 3 2 4" xfId="17137"/>
    <cellStyle name="Comma 2 8 5 3 2 5" xfId="17138"/>
    <cellStyle name="Comma 2 8 5 3 2 6" xfId="17139"/>
    <cellStyle name="Comma 2 8 5 3 3" xfId="17140"/>
    <cellStyle name="Comma 2 8 5 3 3 2" xfId="17141"/>
    <cellStyle name="Comma 2 8 5 3 3 2 2" xfId="17142"/>
    <cellStyle name="Comma 2 8 5 3 3 3" xfId="17143"/>
    <cellStyle name="Comma 2 8 5 3 3 4" xfId="17144"/>
    <cellStyle name="Comma 2 8 5 3 3 5" xfId="17145"/>
    <cellStyle name="Comma 2 8 5 3 4" xfId="17146"/>
    <cellStyle name="Comma 2 8 5 3 4 2" xfId="17147"/>
    <cellStyle name="Comma 2 8 5 3 4 3" xfId="17148"/>
    <cellStyle name="Comma 2 8 5 3 4 4" xfId="17149"/>
    <cellStyle name="Comma 2 8 5 3 5" xfId="17150"/>
    <cellStyle name="Comma 2 8 5 3 5 2" xfId="17151"/>
    <cellStyle name="Comma 2 8 5 3 6" xfId="17152"/>
    <cellStyle name="Comma 2 8 5 3 7" xfId="17153"/>
    <cellStyle name="Comma 2 8 5 3 8" xfId="17154"/>
    <cellStyle name="Comma 2 8 5 3 9" xfId="17155"/>
    <cellStyle name="Comma 2 8 5 4" xfId="17156"/>
    <cellStyle name="Comma 2 8 5 4 2" xfId="17157"/>
    <cellStyle name="Comma 2 8 5 4 2 2" xfId="17158"/>
    <cellStyle name="Comma 2 8 5 4 2 3" xfId="17159"/>
    <cellStyle name="Comma 2 8 5 4 3" xfId="17160"/>
    <cellStyle name="Comma 2 8 5 4 4" xfId="17161"/>
    <cellStyle name="Comma 2 8 5 4 5" xfId="17162"/>
    <cellStyle name="Comma 2 8 5 4 6" xfId="17163"/>
    <cellStyle name="Comma 2 8 5 5" xfId="17164"/>
    <cellStyle name="Comma 2 8 5 5 2" xfId="17165"/>
    <cellStyle name="Comma 2 8 5 5 2 2" xfId="17166"/>
    <cellStyle name="Comma 2 8 5 5 3" xfId="17167"/>
    <cellStyle name="Comma 2 8 5 5 4" xfId="17168"/>
    <cellStyle name="Comma 2 8 5 5 5" xfId="17169"/>
    <cellStyle name="Comma 2 8 5 6" xfId="17170"/>
    <cellStyle name="Comma 2 8 5 6 2" xfId="17171"/>
    <cellStyle name="Comma 2 8 5 6 3" xfId="17172"/>
    <cellStyle name="Comma 2 8 5 6 4" xfId="17173"/>
    <cellStyle name="Comma 2 8 5 7" xfId="17174"/>
    <cellStyle name="Comma 2 8 5 7 2" xfId="17175"/>
    <cellStyle name="Comma 2 8 5 8" xfId="17176"/>
    <cellStyle name="Comma 2 8 5 9" xfId="17177"/>
    <cellStyle name="Comma 2 8 6" xfId="17178"/>
    <cellStyle name="Comma 2 8 6 10" xfId="17179"/>
    <cellStyle name="Comma 2 8 6 11" xfId="17180"/>
    <cellStyle name="Comma 2 8 6 2" xfId="17181"/>
    <cellStyle name="Comma 2 8 6 2 2" xfId="17182"/>
    <cellStyle name="Comma 2 8 6 2 2 2" xfId="17183"/>
    <cellStyle name="Comma 2 8 6 2 2 2 2" xfId="17184"/>
    <cellStyle name="Comma 2 8 6 2 2 2 3" xfId="17185"/>
    <cellStyle name="Comma 2 8 6 2 2 3" xfId="17186"/>
    <cellStyle name="Comma 2 8 6 2 2 4" xfId="17187"/>
    <cellStyle name="Comma 2 8 6 2 2 5" xfId="17188"/>
    <cellStyle name="Comma 2 8 6 2 2 6" xfId="17189"/>
    <cellStyle name="Comma 2 8 6 2 3" xfId="17190"/>
    <cellStyle name="Comma 2 8 6 2 3 2" xfId="17191"/>
    <cellStyle name="Comma 2 8 6 2 3 2 2" xfId="17192"/>
    <cellStyle name="Comma 2 8 6 2 3 3" xfId="17193"/>
    <cellStyle name="Comma 2 8 6 2 3 4" xfId="17194"/>
    <cellStyle name="Comma 2 8 6 2 3 5" xfId="17195"/>
    <cellStyle name="Comma 2 8 6 2 4" xfId="17196"/>
    <cellStyle name="Comma 2 8 6 2 4 2" xfId="17197"/>
    <cellStyle name="Comma 2 8 6 2 4 3" xfId="17198"/>
    <cellStyle name="Comma 2 8 6 2 4 4" xfId="17199"/>
    <cellStyle name="Comma 2 8 6 2 5" xfId="17200"/>
    <cellStyle name="Comma 2 8 6 2 5 2" xfId="17201"/>
    <cellStyle name="Comma 2 8 6 2 6" xfId="17202"/>
    <cellStyle name="Comma 2 8 6 2 7" xfId="17203"/>
    <cellStyle name="Comma 2 8 6 2 8" xfId="17204"/>
    <cellStyle name="Comma 2 8 6 2 9" xfId="17205"/>
    <cellStyle name="Comma 2 8 6 3" xfId="17206"/>
    <cellStyle name="Comma 2 8 6 3 2" xfId="17207"/>
    <cellStyle name="Comma 2 8 6 3 2 2" xfId="17208"/>
    <cellStyle name="Comma 2 8 6 3 2 2 2" xfId="17209"/>
    <cellStyle name="Comma 2 8 6 3 2 2 3" xfId="17210"/>
    <cellStyle name="Comma 2 8 6 3 2 3" xfId="17211"/>
    <cellStyle name="Comma 2 8 6 3 2 4" xfId="17212"/>
    <cellStyle name="Comma 2 8 6 3 2 5" xfId="17213"/>
    <cellStyle name="Comma 2 8 6 3 2 6" xfId="17214"/>
    <cellStyle name="Comma 2 8 6 3 3" xfId="17215"/>
    <cellStyle name="Comma 2 8 6 3 3 2" xfId="17216"/>
    <cellStyle name="Comma 2 8 6 3 3 2 2" xfId="17217"/>
    <cellStyle name="Comma 2 8 6 3 3 3" xfId="17218"/>
    <cellStyle name="Comma 2 8 6 3 3 4" xfId="17219"/>
    <cellStyle name="Comma 2 8 6 3 3 5" xfId="17220"/>
    <cellStyle name="Comma 2 8 6 3 4" xfId="17221"/>
    <cellStyle name="Comma 2 8 6 3 4 2" xfId="17222"/>
    <cellStyle name="Comma 2 8 6 3 4 3" xfId="17223"/>
    <cellStyle name="Comma 2 8 6 3 4 4" xfId="17224"/>
    <cellStyle name="Comma 2 8 6 3 5" xfId="17225"/>
    <cellStyle name="Comma 2 8 6 3 5 2" xfId="17226"/>
    <cellStyle name="Comma 2 8 6 3 6" xfId="17227"/>
    <cellStyle name="Comma 2 8 6 3 7" xfId="17228"/>
    <cellStyle name="Comma 2 8 6 3 8" xfId="17229"/>
    <cellStyle name="Comma 2 8 6 3 9" xfId="17230"/>
    <cellStyle name="Comma 2 8 6 4" xfId="17231"/>
    <cellStyle name="Comma 2 8 6 4 2" xfId="17232"/>
    <cellStyle name="Comma 2 8 6 4 2 2" xfId="17233"/>
    <cellStyle name="Comma 2 8 6 4 2 3" xfId="17234"/>
    <cellStyle name="Comma 2 8 6 4 3" xfId="17235"/>
    <cellStyle name="Comma 2 8 6 4 4" xfId="17236"/>
    <cellStyle name="Comma 2 8 6 4 5" xfId="17237"/>
    <cellStyle name="Comma 2 8 6 4 6" xfId="17238"/>
    <cellStyle name="Comma 2 8 6 5" xfId="17239"/>
    <cellStyle name="Comma 2 8 6 5 2" xfId="17240"/>
    <cellStyle name="Comma 2 8 6 5 2 2" xfId="17241"/>
    <cellStyle name="Comma 2 8 6 5 3" xfId="17242"/>
    <cellStyle name="Comma 2 8 6 5 4" xfId="17243"/>
    <cellStyle name="Comma 2 8 6 5 5" xfId="17244"/>
    <cellStyle name="Comma 2 8 6 6" xfId="17245"/>
    <cellStyle name="Comma 2 8 6 6 2" xfId="17246"/>
    <cellStyle name="Comma 2 8 6 6 3" xfId="17247"/>
    <cellStyle name="Comma 2 8 6 6 4" xfId="17248"/>
    <cellStyle name="Comma 2 8 6 7" xfId="17249"/>
    <cellStyle name="Comma 2 8 6 7 2" xfId="17250"/>
    <cellStyle name="Comma 2 8 6 8" xfId="17251"/>
    <cellStyle name="Comma 2 8 6 9" xfId="17252"/>
    <cellStyle name="Comma 2 8 7" xfId="17253"/>
    <cellStyle name="Comma 2 8 7 10" xfId="17254"/>
    <cellStyle name="Comma 2 8 7 11" xfId="17255"/>
    <cellStyle name="Comma 2 8 7 2" xfId="17256"/>
    <cellStyle name="Comma 2 8 7 2 2" xfId="17257"/>
    <cellStyle name="Comma 2 8 7 2 2 2" xfId="17258"/>
    <cellStyle name="Comma 2 8 7 2 2 2 2" xfId="17259"/>
    <cellStyle name="Comma 2 8 7 2 2 2 3" xfId="17260"/>
    <cellStyle name="Comma 2 8 7 2 2 3" xfId="17261"/>
    <cellStyle name="Comma 2 8 7 2 2 4" xfId="17262"/>
    <cellStyle name="Comma 2 8 7 2 2 5" xfId="17263"/>
    <cellStyle name="Comma 2 8 7 2 2 6" xfId="17264"/>
    <cellStyle name="Comma 2 8 7 2 3" xfId="17265"/>
    <cellStyle name="Comma 2 8 7 2 3 2" xfId="17266"/>
    <cellStyle name="Comma 2 8 7 2 3 2 2" xfId="17267"/>
    <cellStyle name="Comma 2 8 7 2 3 3" xfId="17268"/>
    <cellStyle name="Comma 2 8 7 2 3 4" xfId="17269"/>
    <cellStyle name="Comma 2 8 7 2 3 5" xfId="17270"/>
    <cellStyle name="Comma 2 8 7 2 4" xfId="17271"/>
    <cellStyle name="Comma 2 8 7 2 4 2" xfId="17272"/>
    <cellStyle name="Comma 2 8 7 2 4 3" xfId="17273"/>
    <cellStyle name="Comma 2 8 7 2 4 4" xfId="17274"/>
    <cellStyle name="Comma 2 8 7 2 5" xfId="17275"/>
    <cellStyle name="Comma 2 8 7 2 5 2" xfId="17276"/>
    <cellStyle name="Comma 2 8 7 2 6" xfId="17277"/>
    <cellStyle name="Comma 2 8 7 2 7" xfId="17278"/>
    <cellStyle name="Comma 2 8 7 2 8" xfId="17279"/>
    <cellStyle name="Comma 2 8 7 2 9" xfId="17280"/>
    <cellStyle name="Comma 2 8 7 3" xfId="17281"/>
    <cellStyle name="Comma 2 8 7 3 2" xfId="17282"/>
    <cellStyle name="Comma 2 8 7 3 2 2" xfId="17283"/>
    <cellStyle name="Comma 2 8 7 3 2 2 2" xfId="17284"/>
    <cellStyle name="Comma 2 8 7 3 2 2 3" xfId="17285"/>
    <cellStyle name="Comma 2 8 7 3 2 3" xfId="17286"/>
    <cellStyle name="Comma 2 8 7 3 2 4" xfId="17287"/>
    <cellStyle name="Comma 2 8 7 3 2 5" xfId="17288"/>
    <cellStyle name="Comma 2 8 7 3 2 6" xfId="17289"/>
    <cellStyle name="Comma 2 8 7 3 3" xfId="17290"/>
    <cellStyle name="Comma 2 8 7 3 3 2" xfId="17291"/>
    <cellStyle name="Comma 2 8 7 3 3 2 2" xfId="17292"/>
    <cellStyle name="Comma 2 8 7 3 3 3" xfId="17293"/>
    <cellStyle name="Comma 2 8 7 3 3 4" xfId="17294"/>
    <cellStyle name="Comma 2 8 7 3 3 5" xfId="17295"/>
    <cellStyle name="Comma 2 8 7 3 4" xfId="17296"/>
    <cellStyle name="Comma 2 8 7 3 4 2" xfId="17297"/>
    <cellStyle name="Comma 2 8 7 3 4 3" xfId="17298"/>
    <cellStyle name="Comma 2 8 7 3 4 4" xfId="17299"/>
    <cellStyle name="Comma 2 8 7 3 5" xfId="17300"/>
    <cellStyle name="Comma 2 8 7 3 5 2" xfId="17301"/>
    <cellStyle name="Comma 2 8 7 3 6" xfId="17302"/>
    <cellStyle name="Comma 2 8 7 3 7" xfId="17303"/>
    <cellStyle name="Comma 2 8 7 3 8" xfId="17304"/>
    <cellStyle name="Comma 2 8 7 3 9" xfId="17305"/>
    <cellStyle name="Comma 2 8 7 4" xfId="17306"/>
    <cellStyle name="Comma 2 8 7 4 2" xfId="17307"/>
    <cellStyle name="Comma 2 8 7 4 2 2" xfId="17308"/>
    <cellStyle name="Comma 2 8 7 4 2 3" xfId="17309"/>
    <cellStyle name="Comma 2 8 7 4 3" xfId="17310"/>
    <cellStyle name="Comma 2 8 7 4 4" xfId="17311"/>
    <cellStyle name="Comma 2 8 7 4 5" xfId="17312"/>
    <cellStyle name="Comma 2 8 7 4 6" xfId="17313"/>
    <cellStyle name="Comma 2 8 7 5" xfId="17314"/>
    <cellStyle name="Comma 2 8 7 5 2" xfId="17315"/>
    <cellStyle name="Comma 2 8 7 5 2 2" xfId="17316"/>
    <cellStyle name="Comma 2 8 7 5 3" xfId="17317"/>
    <cellStyle name="Comma 2 8 7 5 4" xfId="17318"/>
    <cellStyle name="Comma 2 8 7 5 5" xfId="17319"/>
    <cellStyle name="Comma 2 8 7 6" xfId="17320"/>
    <cellStyle name="Comma 2 8 7 6 2" xfId="17321"/>
    <cellStyle name="Comma 2 8 7 6 3" xfId="17322"/>
    <cellStyle name="Comma 2 8 7 6 4" xfId="17323"/>
    <cellStyle name="Comma 2 8 7 7" xfId="17324"/>
    <cellStyle name="Comma 2 8 7 7 2" xfId="17325"/>
    <cellStyle name="Comma 2 8 7 8" xfId="17326"/>
    <cellStyle name="Comma 2 8 7 9" xfId="17327"/>
    <cellStyle name="Comma 2 8 8" xfId="17328"/>
    <cellStyle name="Comma 2 8 8 10" xfId="17329"/>
    <cellStyle name="Comma 2 8 8 2" xfId="17330"/>
    <cellStyle name="Comma 2 8 8 2 2" xfId="17331"/>
    <cellStyle name="Comma 2 8 8 2 2 2" xfId="17332"/>
    <cellStyle name="Comma 2 8 8 2 2 3" xfId="17333"/>
    <cellStyle name="Comma 2 8 8 2 3" xfId="17334"/>
    <cellStyle name="Comma 2 8 8 2 4" xfId="17335"/>
    <cellStyle name="Comma 2 8 8 2 5" xfId="17336"/>
    <cellStyle name="Comma 2 8 8 2 6" xfId="17337"/>
    <cellStyle name="Comma 2 8 8 3" xfId="17338"/>
    <cellStyle name="Comma 2 8 8 3 2" xfId="17339"/>
    <cellStyle name="Comma 2 8 8 3 2 2" xfId="17340"/>
    <cellStyle name="Comma 2 8 8 3 2 3" xfId="17341"/>
    <cellStyle name="Comma 2 8 8 3 3" xfId="17342"/>
    <cellStyle name="Comma 2 8 8 3 4" xfId="17343"/>
    <cellStyle name="Comma 2 8 8 3 5" xfId="17344"/>
    <cellStyle name="Comma 2 8 8 3 6" xfId="17345"/>
    <cellStyle name="Comma 2 8 8 4" xfId="17346"/>
    <cellStyle name="Comma 2 8 8 4 2" xfId="17347"/>
    <cellStyle name="Comma 2 8 8 4 2 2" xfId="17348"/>
    <cellStyle name="Comma 2 8 8 4 3" xfId="17349"/>
    <cellStyle name="Comma 2 8 8 4 4" xfId="17350"/>
    <cellStyle name="Comma 2 8 8 4 5" xfId="17351"/>
    <cellStyle name="Comma 2 8 8 5" xfId="17352"/>
    <cellStyle name="Comma 2 8 8 5 2" xfId="17353"/>
    <cellStyle name="Comma 2 8 8 5 3" xfId="17354"/>
    <cellStyle name="Comma 2 8 8 5 4" xfId="17355"/>
    <cellStyle name="Comma 2 8 8 6" xfId="17356"/>
    <cellStyle name="Comma 2 8 8 6 2" xfId="17357"/>
    <cellStyle name="Comma 2 8 8 7" xfId="17358"/>
    <cellStyle name="Comma 2 8 8 8" xfId="17359"/>
    <cellStyle name="Comma 2 8 8 9" xfId="17360"/>
    <cellStyle name="Comma 2 8 9" xfId="17361"/>
    <cellStyle name="Comma 2 8 9 10" xfId="17362"/>
    <cellStyle name="Comma 2 8 9 2" xfId="17363"/>
    <cellStyle name="Comma 2 8 9 2 2" xfId="17364"/>
    <cellStyle name="Comma 2 8 9 2 2 2" xfId="17365"/>
    <cellStyle name="Comma 2 8 9 2 2 3" xfId="17366"/>
    <cellStyle name="Comma 2 8 9 2 3" xfId="17367"/>
    <cellStyle name="Comma 2 8 9 2 4" xfId="17368"/>
    <cellStyle name="Comma 2 8 9 2 5" xfId="17369"/>
    <cellStyle name="Comma 2 8 9 2 6" xfId="17370"/>
    <cellStyle name="Comma 2 8 9 3" xfId="17371"/>
    <cellStyle name="Comma 2 8 9 3 2" xfId="17372"/>
    <cellStyle name="Comma 2 8 9 3 2 2" xfId="17373"/>
    <cellStyle name="Comma 2 8 9 3 2 3" xfId="17374"/>
    <cellStyle name="Comma 2 8 9 3 3" xfId="17375"/>
    <cellStyle name="Comma 2 8 9 3 4" xfId="17376"/>
    <cellStyle name="Comma 2 8 9 3 5" xfId="17377"/>
    <cellStyle name="Comma 2 8 9 3 6" xfId="17378"/>
    <cellStyle name="Comma 2 8 9 4" xfId="17379"/>
    <cellStyle name="Comma 2 8 9 4 2" xfId="17380"/>
    <cellStyle name="Comma 2 8 9 4 2 2" xfId="17381"/>
    <cellStyle name="Comma 2 8 9 4 3" xfId="17382"/>
    <cellStyle name="Comma 2 8 9 4 4" xfId="17383"/>
    <cellStyle name="Comma 2 8 9 4 5" xfId="17384"/>
    <cellStyle name="Comma 2 8 9 5" xfId="17385"/>
    <cellStyle name="Comma 2 8 9 5 2" xfId="17386"/>
    <cellStyle name="Comma 2 8 9 5 3" xfId="17387"/>
    <cellStyle name="Comma 2 8 9 5 4" xfId="17388"/>
    <cellStyle name="Comma 2 8 9 6" xfId="17389"/>
    <cellStyle name="Comma 2 8 9 6 2" xfId="17390"/>
    <cellStyle name="Comma 2 8 9 7" xfId="17391"/>
    <cellStyle name="Comma 2 8 9 8" xfId="17392"/>
    <cellStyle name="Comma 2 8 9 9" xfId="17393"/>
    <cellStyle name="Comma 2 9" xfId="17394"/>
    <cellStyle name="Comma 2 9 10" xfId="17395"/>
    <cellStyle name="Comma 2 9 10 10" xfId="17396"/>
    <cellStyle name="Comma 2 9 10 2" xfId="17397"/>
    <cellStyle name="Comma 2 9 10 2 2" xfId="17398"/>
    <cellStyle name="Comma 2 9 10 2 2 2" xfId="17399"/>
    <cellStyle name="Comma 2 9 10 2 2 3" xfId="17400"/>
    <cellStyle name="Comma 2 9 10 2 3" xfId="17401"/>
    <cellStyle name="Comma 2 9 10 2 4" xfId="17402"/>
    <cellStyle name="Comma 2 9 10 2 5" xfId="17403"/>
    <cellStyle name="Comma 2 9 10 2 6" xfId="17404"/>
    <cellStyle name="Comma 2 9 10 3" xfId="17405"/>
    <cellStyle name="Comma 2 9 10 3 2" xfId="17406"/>
    <cellStyle name="Comma 2 9 10 3 2 2" xfId="17407"/>
    <cellStyle name="Comma 2 9 10 3 2 3" xfId="17408"/>
    <cellStyle name="Comma 2 9 10 3 3" xfId="17409"/>
    <cellStyle name="Comma 2 9 10 3 4" xfId="17410"/>
    <cellStyle name="Comma 2 9 10 3 5" xfId="17411"/>
    <cellStyle name="Comma 2 9 10 3 6" xfId="17412"/>
    <cellStyle name="Comma 2 9 10 4" xfId="17413"/>
    <cellStyle name="Comma 2 9 10 4 2" xfId="17414"/>
    <cellStyle name="Comma 2 9 10 4 2 2" xfId="17415"/>
    <cellStyle name="Comma 2 9 10 4 3" xfId="17416"/>
    <cellStyle name="Comma 2 9 10 4 4" xfId="17417"/>
    <cellStyle name="Comma 2 9 10 4 5" xfId="17418"/>
    <cellStyle name="Comma 2 9 10 5" xfId="17419"/>
    <cellStyle name="Comma 2 9 10 5 2" xfId="17420"/>
    <cellStyle name="Comma 2 9 10 5 3" xfId="17421"/>
    <cellStyle name="Comma 2 9 10 5 4" xfId="17422"/>
    <cellStyle name="Comma 2 9 10 6" xfId="17423"/>
    <cellStyle name="Comma 2 9 10 6 2" xfId="17424"/>
    <cellStyle name="Comma 2 9 10 7" xfId="17425"/>
    <cellStyle name="Comma 2 9 10 8" xfId="17426"/>
    <cellStyle name="Comma 2 9 10 9" xfId="17427"/>
    <cellStyle name="Comma 2 9 11" xfId="17428"/>
    <cellStyle name="Comma 2 9 11 10" xfId="17429"/>
    <cellStyle name="Comma 2 9 11 2" xfId="17430"/>
    <cellStyle name="Comma 2 9 11 2 2" xfId="17431"/>
    <cellStyle name="Comma 2 9 11 2 2 2" xfId="17432"/>
    <cellStyle name="Comma 2 9 11 2 2 3" xfId="17433"/>
    <cellStyle name="Comma 2 9 11 2 3" xfId="17434"/>
    <cellStyle name="Comma 2 9 11 2 4" xfId="17435"/>
    <cellStyle name="Comma 2 9 11 2 5" xfId="17436"/>
    <cellStyle name="Comma 2 9 11 2 6" xfId="17437"/>
    <cellStyle name="Comma 2 9 11 3" xfId="17438"/>
    <cellStyle name="Comma 2 9 11 3 2" xfId="17439"/>
    <cellStyle name="Comma 2 9 11 3 2 2" xfId="17440"/>
    <cellStyle name="Comma 2 9 11 3 2 3" xfId="17441"/>
    <cellStyle name="Comma 2 9 11 3 3" xfId="17442"/>
    <cellStyle name="Comma 2 9 11 3 4" xfId="17443"/>
    <cellStyle name="Comma 2 9 11 3 5" xfId="17444"/>
    <cellStyle name="Comma 2 9 11 3 6" xfId="17445"/>
    <cellStyle name="Comma 2 9 11 4" xfId="17446"/>
    <cellStyle name="Comma 2 9 11 4 2" xfId="17447"/>
    <cellStyle name="Comma 2 9 11 4 2 2" xfId="17448"/>
    <cellStyle name="Comma 2 9 11 4 3" xfId="17449"/>
    <cellStyle name="Comma 2 9 11 4 4" xfId="17450"/>
    <cellStyle name="Comma 2 9 11 4 5" xfId="17451"/>
    <cellStyle name="Comma 2 9 11 5" xfId="17452"/>
    <cellStyle name="Comma 2 9 11 5 2" xfId="17453"/>
    <cellStyle name="Comma 2 9 11 5 3" xfId="17454"/>
    <cellStyle name="Comma 2 9 11 5 4" xfId="17455"/>
    <cellStyle name="Comma 2 9 11 6" xfId="17456"/>
    <cellStyle name="Comma 2 9 11 6 2" xfId="17457"/>
    <cellStyle name="Comma 2 9 11 7" xfId="17458"/>
    <cellStyle name="Comma 2 9 11 8" xfId="17459"/>
    <cellStyle name="Comma 2 9 11 9" xfId="17460"/>
    <cellStyle name="Comma 2 9 12" xfId="17461"/>
    <cellStyle name="Comma 2 9 12 10" xfId="17462"/>
    <cellStyle name="Comma 2 9 12 2" xfId="17463"/>
    <cellStyle name="Comma 2 9 12 2 2" xfId="17464"/>
    <cellStyle name="Comma 2 9 12 2 2 2" xfId="17465"/>
    <cellStyle name="Comma 2 9 12 2 2 3" xfId="17466"/>
    <cellStyle name="Comma 2 9 12 2 3" xfId="17467"/>
    <cellStyle name="Comma 2 9 12 2 4" xfId="17468"/>
    <cellStyle name="Comma 2 9 12 2 5" xfId="17469"/>
    <cellStyle name="Comma 2 9 12 2 6" xfId="17470"/>
    <cellStyle name="Comma 2 9 12 3" xfId="17471"/>
    <cellStyle name="Comma 2 9 12 3 2" xfId="17472"/>
    <cellStyle name="Comma 2 9 12 3 2 2" xfId="17473"/>
    <cellStyle name="Comma 2 9 12 3 2 3" xfId="17474"/>
    <cellStyle name="Comma 2 9 12 3 3" xfId="17475"/>
    <cellStyle name="Comma 2 9 12 3 4" xfId="17476"/>
    <cellStyle name="Comma 2 9 12 3 5" xfId="17477"/>
    <cellStyle name="Comma 2 9 12 3 6" xfId="17478"/>
    <cellStyle name="Comma 2 9 12 4" xfId="17479"/>
    <cellStyle name="Comma 2 9 12 4 2" xfId="17480"/>
    <cellStyle name="Comma 2 9 12 4 2 2" xfId="17481"/>
    <cellStyle name="Comma 2 9 12 4 3" xfId="17482"/>
    <cellStyle name="Comma 2 9 12 4 4" xfId="17483"/>
    <cellStyle name="Comma 2 9 12 4 5" xfId="17484"/>
    <cellStyle name="Comma 2 9 12 5" xfId="17485"/>
    <cellStyle name="Comma 2 9 12 5 2" xfId="17486"/>
    <cellStyle name="Comma 2 9 12 5 3" xfId="17487"/>
    <cellStyle name="Comma 2 9 12 5 4" xfId="17488"/>
    <cellStyle name="Comma 2 9 12 6" xfId="17489"/>
    <cellStyle name="Comma 2 9 12 6 2" xfId="17490"/>
    <cellStyle name="Comma 2 9 12 7" xfId="17491"/>
    <cellStyle name="Comma 2 9 12 8" xfId="17492"/>
    <cellStyle name="Comma 2 9 12 9" xfId="17493"/>
    <cellStyle name="Comma 2 9 13" xfId="17494"/>
    <cellStyle name="Comma 2 9 13 2" xfId="17495"/>
    <cellStyle name="Comma 2 9 13 2 2" xfId="17496"/>
    <cellStyle name="Comma 2 9 13 2 2 2" xfId="17497"/>
    <cellStyle name="Comma 2 9 13 2 2 3" xfId="17498"/>
    <cellStyle name="Comma 2 9 13 2 3" xfId="17499"/>
    <cellStyle name="Comma 2 9 13 2 4" xfId="17500"/>
    <cellStyle name="Comma 2 9 13 2 5" xfId="17501"/>
    <cellStyle name="Comma 2 9 13 2 6" xfId="17502"/>
    <cellStyle name="Comma 2 9 13 3" xfId="17503"/>
    <cellStyle name="Comma 2 9 13 3 2" xfId="17504"/>
    <cellStyle name="Comma 2 9 13 3 2 2" xfId="17505"/>
    <cellStyle name="Comma 2 9 13 3 3" xfId="17506"/>
    <cellStyle name="Comma 2 9 13 3 4" xfId="17507"/>
    <cellStyle name="Comma 2 9 13 3 5" xfId="17508"/>
    <cellStyle name="Comma 2 9 13 4" xfId="17509"/>
    <cellStyle name="Comma 2 9 13 4 2" xfId="17510"/>
    <cellStyle name="Comma 2 9 13 4 3" xfId="17511"/>
    <cellStyle name="Comma 2 9 13 4 4" xfId="17512"/>
    <cellStyle name="Comma 2 9 13 5" xfId="17513"/>
    <cellStyle name="Comma 2 9 13 5 2" xfId="17514"/>
    <cellStyle name="Comma 2 9 13 6" xfId="17515"/>
    <cellStyle name="Comma 2 9 13 7" xfId="17516"/>
    <cellStyle name="Comma 2 9 13 8" xfId="17517"/>
    <cellStyle name="Comma 2 9 13 9" xfId="17518"/>
    <cellStyle name="Comma 2 9 14" xfId="17519"/>
    <cellStyle name="Comma 2 9 14 2" xfId="17520"/>
    <cellStyle name="Comma 2 9 14 2 2" xfId="17521"/>
    <cellStyle name="Comma 2 9 14 2 2 2" xfId="17522"/>
    <cellStyle name="Comma 2 9 14 2 2 3" xfId="17523"/>
    <cellStyle name="Comma 2 9 14 2 3" xfId="17524"/>
    <cellStyle name="Comma 2 9 14 2 4" xfId="17525"/>
    <cellStyle name="Comma 2 9 14 2 5" xfId="17526"/>
    <cellStyle name="Comma 2 9 14 2 6" xfId="17527"/>
    <cellStyle name="Comma 2 9 14 3" xfId="17528"/>
    <cellStyle name="Comma 2 9 14 3 2" xfId="17529"/>
    <cellStyle name="Comma 2 9 14 3 2 2" xfId="17530"/>
    <cellStyle name="Comma 2 9 14 3 3" xfId="17531"/>
    <cellStyle name="Comma 2 9 14 3 4" xfId="17532"/>
    <cellStyle name="Comma 2 9 14 3 5" xfId="17533"/>
    <cellStyle name="Comma 2 9 14 4" xfId="17534"/>
    <cellStyle name="Comma 2 9 14 4 2" xfId="17535"/>
    <cellStyle name="Comma 2 9 14 4 3" xfId="17536"/>
    <cellStyle name="Comma 2 9 14 4 4" xfId="17537"/>
    <cellStyle name="Comma 2 9 14 5" xfId="17538"/>
    <cellStyle name="Comma 2 9 14 5 2" xfId="17539"/>
    <cellStyle name="Comma 2 9 14 6" xfId="17540"/>
    <cellStyle name="Comma 2 9 14 7" xfId="17541"/>
    <cellStyle name="Comma 2 9 14 8" xfId="17542"/>
    <cellStyle name="Comma 2 9 14 9" xfId="17543"/>
    <cellStyle name="Comma 2 9 15" xfId="17544"/>
    <cellStyle name="Comma 2 9 15 2" xfId="17545"/>
    <cellStyle name="Comma 2 9 15 2 2" xfId="17546"/>
    <cellStyle name="Comma 2 9 15 2 3" xfId="17547"/>
    <cellStyle name="Comma 2 9 15 3" xfId="17548"/>
    <cellStyle name="Comma 2 9 15 4" xfId="17549"/>
    <cellStyle name="Comma 2 9 15 5" xfId="17550"/>
    <cellStyle name="Comma 2 9 15 6" xfId="17551"/>
    <cellStyle name="Comma 2 9 16" xfId="17552"/>
    <cellStyle name="Comma 2 9 16 2" xfId="17553"/>
    <cellStyle name="Comma 2 9 16 2 2" xfId="17554"/>
    <cellStyle name="Comma 2 9 16 3" xfId="17555"/>
    <cellStyle name="Comma 2 9 16 4" xfId="17556"/>
    <cellStyle name="Comma 2 9 16 5" xfId="17557"/>
    <cellStyle name="Comma 2 9 17" xfId="17558"/>
    <cellStyle name="Comma 2 9 17 2" xfId="17559"/>
    <cellStyle name="Comma 2 9 17 2 2" xfId="17560"/>
    <cellStyle name="Comma 2 9 17 3" xfId="17561"/>
    <cellStyle name="Comma 2 9 17 4" xfId="17562"/>
    <cellStyle name="Comma 2 9 17 5" xfId="17563"/>
    <cellStyle name="Comma 2 9 18" xfId="17564"/>
    <cellStyle name="Comma 2 9 18 2" xfId="17565"/>
    <cellStyle name="Comma 2 9 19" xfId="17566"/>
    <cellStyle name="Comma 2 9 2" xfId="17567"/>
    <cellStyle name="Comma 2 9 2 10" xfId="17568"/>
    <cellStyle name="Comma 2 9 2 11" xfId="17569"/>
    <cellStyle name="Comma 2 9 2 2" xfId="17570"/>
    <cellStyle name="Comma 2 9 2 2 2" xfId="17571"/>
    <cellStyle name="Comma 2 9 2 2 2 2" xfId="17572"/>
    <cellStyle name="Comma 2 9 2 2 2 2 2" xfId="17573"/>
    <cellStyle name="Comma 2 9 2 2 2 2 3" xfId="17574"/>
    <cellStyle name="Comma 2 9 2 2 2 3" xfId="17575"/>
    <cellStyle name="Comma 2 9 2 2 2 4" xfId="17576"/>
    <cellStyle name="Comma 2 9 2 2 2 5" xfId="17577"/>
    <cellStyle name="Comma 2 9 2 2 2 6" xfId="17578"/>
    <cellStyle name="Comma 2 9 2 2 3" xfId="17579"/>
    <cellStyle name="Comma 2 9 2 2 3 2" xfId="17580"/>
    <cellStyle name="Comma 2 9 2 2 3 2 2" xfId="17581"/>
    <cellStyle name="Comma 2 9 2 2 3 3" xfId="17582"/>
    <cellStyle name="Comma 2 9 2 2 3 4" xfId="17583"/>
    <cellStyle name="Comma 2 9 2 2 3 5" xfId="17584"/>
    <cellStyle name="Comma 2 9 2 2 4" xfId="17585"/>
    <cellStyle name="Comma 2 9 2 2 4 2" xfId="17586"/>
    <cellStyle name="Comma 2 9 2 2 4 3" xfId="17587"/>
    <cellStyle name="Comma 2 9 2 2 4 4" xfId="17588"/>
    <cellStyle name="Comma 2 9 2 2 5" xfId="17589"/>
    <cellStyle name="Comma 2 9 2 2 5 2" xfId="17590"/>
    <cellStyle name="Comma 2 9 2 2 6" xfId="17591"/>
    <cellStyle name="Comma 2 9 2 2 7" xfId="17592"/>
    <cellStyle name="Comma 2 9 2 2 8" xfId="17593"/>
    <cellStyle name="Comma 2 9 2 2 9" xfId="17594"/>
    <cellStyle name="Comma 2 9 2 3" xfId="17595"/>
    <cellStyle name="Comma 2 9 2 3 2" xfId="17596"/>
    <cellStyle name="Comma 2 9 2 3 2 2" xfId="17597"/>
    <cellStyle name="Comma 2 9 2 3 2 2 2" xfId="17598"/>
    <cellStyle name="Comma 2 9 2 3 2 2 3" xfId="17599"/>
    <cellStyle name="Comma 2 9 2 3 2 3" xfId="17600"/>
    <cellStyle name="Comma 2 9 2 3 2 4" xfId="17601"/>
    <cellStyle name="Comma 2 9 2 3 2 5" xfId="17602"/>
    <cellStyle name="Comma 2 9 2 3 2 6" xfId="17603"/>
    <cellStyle name="Comma 2 9 2 3 3" xfId="17604"/>
    <cellStyle name="Comma 2 9 2 3 3 2" xfId="17605"/>
    <cellStyle name="Comma 2 9 2 3 3 2 2" xfId="17606"/>
    <cellStyle name="Comma 2 9 2 3 3 3" xfId="17607"/>
    <cellStyle name="Comma 2 9 2 3 3 4" xfId="17608"/>
    <cellStyle name="Comma 2 9 2 3 3 5" xfId="17609"/>
    <cellStyle name="Comma 2 9 2 3 4" xfId="17610"/>
    <cellStyle name="Comma 2 9 2 3 4 2" xfId="17611"/>
    <cellStyle name="Comma 2 9 2 3 4 3" xfId="17612"/>
    <cellStyle name="Comma 2 9 2 3 4 4" xfId="17613"/>
    <cellStyle name="Comma 2 9 2 3 5" xfId="17614"/>
    <cellStyle name="Comma 2 9 2 3 5 2" xfId="17615"/>
    <cellStyle name="Comma 2 9 2 3 6" xfId="17616"/>
    <cellStyle name="Comma 2 9 2 3 7" xfId="17617"/>
    <cellStyle name="Comma 2 9 2 3 8" xfId="17618"/>
    <cellStyle name="Comma 2 9 2 3 9" xfId="17619"/>
    <cellStyle name="Comma 2 9 2 4" xfId="17620"/>
    <cellStyle name="Comma 2 9 2 4 2" xfId="17621"/>
    <cellStyle name="Comma 2 9 2 4 2 2" xfId="17622"/>
    <cellStyle name="Comma 2 9 2 4 2 3" xfId="17623"/>
    <cellStyle name="Comma 2 9 2 4 3" xfId="17624"/>
    <cellStyle name="Comma 2 9 2 4 4" xfId="17625"/>
    <cellStyle name="Comma 2 9 2 4 5" xfId="17626"/>
    <cellStyle name="Comma 2 9 2 4 6" xfId="17627"/>
    <cellStyle name="Comma 2 9 2 5" xfId="17628"/>
    <cellStyle name="Comma 2 9 2 5 2" xfId="17629"/>
    <cellStyle name="Comma 2 9 2 5 2 2" xfId="17630"/>
    <cellStyle name="Comma 2 9 2 5 3" xfId="17631"/>
    <cellStyle name="Comma 2 9 2 5 4" xfId="17632"/>
    <cellStyle name="Comma 2 9 2 5 5" xfId="17633"/>
    <cellStyle name="Comma 2 9 2 6" xfId="17634"/>
    <cellStyle name="Comma 2 9 2 6 2" xfId="17635"/>
    <cellStyle name="Comma 2 9 2 6 3" xfId="17636"/>
    <cellStyle name="Comma 2 9 2 6 4" xfId="17637"/>
    <cellStyle name="Comma 2 9 2 7" xfId="17638"/>
    <cellStyle name="Comma 2 9 2 7 2" xfId="17639"/>
    <cellStyle name="Comma 2 9 2 8" xfId="17640"/>
    <cellStyle name="Comma 2 9 2 9" xfId="17641"/>
    <cellStyle name="Comma 2 9 20" xfId="17642"/>
    <cellStyle name="Comma 2 9 21" xfId="17643"/>
    <cellStyle name="Comma 2 9 22" xfId="17644"/>
    <cellStyle name="Comma 2 9 3" xfId="17645"/>
    <cellStyle name="Comma 2 9 3 10" xfId="17646"/>
    <cellStyle name="Comma 2 9 3 11" xfId="17647"/>
    <cellStyle name="Comma 2 9 3 2" xfId="17648"/>
    <cellStyle name="Comma 2 9 3 2 2" xfId="17649"/>
    <cellStyle name="Comma 2 9 3 2 2 2" xfId="17650"/>
    <cellStyle name="Comma 2 9 3 2 2 2 2" xfId="17651"/>
    <cellStyle name="Comma 2 9 3 2 2 2 3" xfId="17652"/>
    <cellStyle name="Comma 2 9 3 2 2 3" xfId="17653"/>
    <cellStyle name="Comma 2 9 3 2 2 4" xfId="17654"/>
    <cellStyle name="Comma 2 9 3 2 2 5" xfId="17655"/>
    <cellStyle name="Comma 2 9 3 2 2 6" xfId="17656"/>
    <cellStyle name="Comma 2 9 3 2 3" xfId="17657"/>
    <cellStyle name="Comma 2 9 3 2 3 2" xfId="17658"/>
    <cellStyle name="Comma 2 9 3 2 3 2 2" xfId="17659"/>
    <cellStyle name="Comma 2 9 3 2 3 3" xfId="17660"/>
    <cellStyle name="Comma 2 9 3 2 3 4" xfId="17661"/>
    <cellStyle name="Comma 2 9 3 2 3 5" xfId="17662"/>
    <cellStyle name="Comma 2 9 3 2 4" xfId="17663"/>
    <cellStyle name="Comma 2 9 3 2 4 2" xfId="17664"/>
    <cellStyle name="Comma 2 9 3 2 4 3" xfId="17665"/>
    <cellStyle name="Comma 2 9 3 2 4 4" xfId="17666"/>
    <cellStyle name="Comma 2 9 3 2 5" xfId="17667"/>
    <cellStyle name="Comma 2 9 3 2 5 2" xfId="17668"/>
    <cellStyle name="Comma 2 9 3 2 6" xfId="17669"/>
    <cellStyle name="Comma 2 9 3 2 7" xfId="17670"/>
    <cellStyle name="Comma 2 9 3 2 8" xfId="17671"/>
    <cellStyle name="Comma 2 9 3 2 9" xfId="17672"/>
    <cellStyle name="Comma 2 9 3 3" xfId="17673"/>
    <cellStyle name="Comma 2 9 3 3 2" xfId="17674"/>
    <cellStyle name="Comma 2 9 3 3 2 2" xfId="17675"/>
    <cellStyle name="Comma 2 9 3 3 2 2 2" xfId="17676"/>
    <cellStyle name="Comma 2 9 3 3 2 2 3" xfId="17677"/>
    <cellStyle name="Comma 2 9 3 3 2 3" xfId="17678"/>
    <cellStyle name="Comma 2 9 3 3 2 4" xfId="17679"/>
    <cellStyle name="Comma 2 9 3 3 2 5" xfId="17680"/>
    <cellStyle name="Comma 2 9 3 3 2 6" xfId="17681"/>
    <cellStyle name="Comma 2 9 3 3 3" xfId="17682"/>
    <cellStyle name="Comma 2 9 3 3 3 2" xfId="17683"/>
    <cellStyle name="Comma 2 9 3 3 3 2 2" xfId="17684"/>
    <cellStyle name="Comma 2 9 3 3 3 3" xfId="17685"/>
    <cellStyle name="Comma 2 9 3 3 3 4" xfId="17686"/>
    <cellStyle name="Comma 2 9 3 3 3 5" xfId="17687"/>
    <cellStyle name="Comma 2 9 3 3 4" xfId="17688"/>
    <cellStyle name="Comma 2 9 3 3 4 2" xfId="17689"/>
    <cellStyle name="Comma 2 9 3 3 4 3" xfId="17690"/>
    <cellStyle name="Comma 2 9 3 3 4 4" xfId="17691"/>
    <cellStyle name="Comma 2 9 3 3 5" xfId="17692"/>
    <cellStyle name="Comma 2 9 3 3 5 2" xfId="17693"/>
    <cellStyle name="Comma 2 9 3 3 6" xfId="17694"/>
    <cellStyle name="Comma 2 9 3 3 7" xfId="17695"/>
    <cellStyle name="Comma 2 9 3 3 8" xfId="17696"/>
    <cellStyle name="Comma 2 9 3 3 9" xfId="17697"/>
    <cellStyle name="Comma 2 9 3 4" xfId="17698"/>
    <cellStyle name="Comma 2 9 3 4 2" xfId="17699"/>
    <cellStyle name="Comma 2 9 3 4 2 2" xfId="17700"/>
    <cellStyle name="Comma 2 9 3 4 2 3" xfId="17701"/>
    <cellStyle name="Comma 2 9 3 4 3" xfId="17702"/>
    <cellStyle name="Comma 2 9 3 4 4" xfId="17703"/>
    <cellStyle name="Comma 2 9 3 4 5" xfId="17704"/>
    <cellStyle name="Comma 2 9 3 4 6" xfId="17705"/>
    <cellStyle name="Comma 2 9 3 5" xfId="17706"/>
    <cellStyle name="Comma 2 9 3 5 2" xfId="17707"/>
    <cellStyle name="Comma 2 9 3 5 2 2" xfId="17708"/>
    <cellStyle name="Comma 2 9 3 5 3" xfId="17709"/>
    <cellStyle name="Comma 2 9 3 5 4" xfId="17710"/>
    <cellStyle name="Comma 2 9 3 5 5" xfId="17711"/>
    <cellStyle name="Comma 2 9 3 6" xfId="17712"/>
    <cellStyle name="Comma 2 9 3 6 2" xfId="17713"/>
    <cellStyle name="Comma 2 9 3 6 3" xfId="17714"/>
    <cellStyle name="Comma 2 9 3 6 4" xfId="17715"/>
    <cellStyle name="Comma 2 9 3 7" xfId="17716"/>
    <cellStyle name="Comma 2 9 3 7 2" xfId="17717"/>
    <cellStyle name="Comma 2 9 3 8" xfId="17718"/>
    <cellStyle name="Comma 2 9 3 9" xfId="17719"/>
    <cellStyle name="Comma 2 9 4" xfId="17720"/>
    <cellStyle name="Comma 2 9 4 10" xfId="17721"/>
    <cellStyle name="Comma 2 9 4 11" xfId="17722"/>
    <cellStyle name="Comma 2 9 4 2" xfId="17723"/>
    <cellStyle name="Comma 2 9 4 2 2" xfId="17724"/>
    <cellStyle name="Comma 2 9 4 2 2 2" xfId="17725"/>
    <cellStyle name="Comma 2 9 4 2 2 2 2" xfId="17726"/>
    <cellStyle name="Comma 2 9 4 2 2 2 3" xfId="17727"/>
    <cellStyle name="Comma 2 9 4 2 2 3" xfId="17728"/>
    <cellStyle name="Comma 2 9 4 2 2 4" xfId="17729"/>
    <cellStyle name="Comma 2 9 4 2 2 5" xfId="17730"/>
    <cellStyle name="Comma 2 9 4 2 2 6" xfId="17731"/>
    <cellStyle name="Comma 2 9 4 2 3" xfId="17732"/>
    <cellStyle name="Comma 2 9 4 2 3 2" xfId="17733"/>
    <cellStyle name="Comma 2 9 4 2 3 2 2" xfId="17734"/>
    <cellStyle name="Comma 2 9 4 2 3 3" xfId="17735"/>
    <cellStyle name="Comma 2 9 4 2 3 4" xfId="17736"/>
    <cellStyle name="Comma 2 9 4 2 3 5" xfId="17737"/>
    <cellStyle name="Comma 2 9 4 2 4" xfId="17738"/>
    <cellStyle name="Comma 2 9 4 2 4 2" xfId="17739"/>
    <cellStyle name="Comma 2 9 4 2 4 3" xfId="17740"/>
    <cellStyle name="Comma 2 9 4 2 4 4" xfId="17741"/>
    <cellStyle name="Comma 2 9 4 2 5" xfId="17742"/>
    <cellStyle name="Comma 2 9 4 2 5 2" xfId="17743"/>
    <cellStyle name="Comma 2 9 4 2 6" xfId="17744"/>
    <cellStyle name="Comma 2 9 4 2 7" xfId="17745"/>
    <cellStyle name="Comma 2 9 4 2 8" xfId="17746"/>
    <cellStyle name="Comma 2 9 4 2 9" xfId="17747"/>
    <cellStyle name="Comma 2 9 4 3" xfId="17748"/>
    <cellStyle name="Comma 2 9 4 3 2" xfId="17749"/>
    <cellStyle name="Comma 2 9 4 3 2 2" xfId="17750"/>
    <cellStyle name="Comma 2 9 4 3 2 2 2" xfId="17751"/>
    <cellStyle name="Comma 2 9 4 3 2 2 3" xfId="17752"/>
    <cellStyle name="Comma 2 9 4 3 2 3" xfId="17753"/>
    <cellStyle name="Comma 2 9 4 3 2 4" xfId="17754"/>
    <cellStyle name="Comma 2 9 4 3 2 5" xfId="17755"/>
    <cellStyle name="Comma 2 9 4 3 2 6" xfId="17756"/>
    <cellStyle name="Comma 2 9 4 3 3" xfId="17757"/>
    <cellStyle name="Comma 2 9 4 3 3 2" xfId="17758"/>
    <cellStyle name="Comma 2 9 4 3 3 2 2" xfId="17759"/>
    <cellStyle name="Comma 2 9 4 3 3 3" xfId="17760"/>
    <cellStyle name="Comma 2 9 4 3 3 4" xfId="17761"/>
    <cellStyle name="Comma 2 9 4 3 3 5" xfId="17762"/>
    <cellStyle name="Comma 2 9 4 3 4" xfId="17763"/>
    <cellStyle name="Comma 2 9 4 3 4 2" xfId="17764"/>
    <cellStyle name="Comma 2 9 4 3 4 3" xfId="17765"/>
    <cellStyle name="Comma 2 9 4 3 4 4" xfId="17766"/>
    <cellStyle name="Comma 2 9 4 3 5" xfId="17767"/>
    <cellStyle name="Comma 2 9 4 3 5 2" xfId="17768"/>
    <cellStyle name="Comma 2 9 4 3 6" xfId="17769"/>
    <cellStyle name="Comma 2 9 4 3 7" xfId="17770"/>
    <cellStyle name="Comma 2 9 4 3 8" xfId="17771"/>
    <cellStyle name="Comma 2 9 4 3 9" xfId="17772"/>
    <cellStyle name="Comma 2 9 4 4" xfId="17773"/>
    <cellStyle name="Comma 2 9 4 4 2" xfId="17774"/>
    <cellStyle name="Comma 2 9 4 4 2 2" xfId="17775"/>
    <cellStyle name="Comma 2 9 4 4 2 3" xfId="17776"/>
    <cellStyle name="Comma 2 9 4 4 3" xfId="17777"/>
    <cellStyle name="Comma 2 9 4 4 4" xfId="17778"/>
    <cellStyle name="Comma 2 9 4 4 5" xfId="17779"/>
    <cellStyle name="Comma 2 9 4 4 6" xfId="17780"/>
    <cellStyle name="Comma 2 9 4 5" xfId="17781"/>
    <cellStyle name="Comma 2 9 4 5 2" xfId="17782"/>
    <cellStyle name="Comma 2 9 4 5 2 2" xfId="17783"/>
    <cellStyle name="Comma 2 9 4 5 3" xfId="17784"/>
    <cellStyle name="Comma 2 9 4 5 4" xfId="17785"/>
    <cellStyle name="Comma 2 9 4 5 5" xfId="17786"/>
    <cellStyle name="Comma 2 9 4 6" xfId="17787"/>
    <cellStyle name="Comma 2 9 4 6 2" xfId="17788"/>
    <cellStyle name="Comma 2 9 4 6 3" xfId="17789"/>
    <cellStyle name="Comma 2 9 4 6 4" xfId="17790"/>
    <cellStyle name="Comma 2 9 4 7" xfId="17791"/>
    <cellStyle name="Comma 2 9 4 7 2" xfId="17792"/>
    <cellStyle name="Comma 2 9 4 8" xfId="17793"/>
    <cellStyle name="Comma 2 9 4 9" xfId="17794"/>
    <cellStyle name="Comma 2 9 5" xfId="17795"/>
    <cellStyle name="Comma 2 9 5 10" xfId="17796"/>
    <cellStyle name="Comma 2 9 5 11" xfId="17797"/>
    <cellStyle name="Comma 2 9 5 2" xfId="17798"/>
    <cellStyle name="Comma 2 9 5 2 2" xfId="17799"/>
    <cellStyle name="Comma 2 9 5 2 2 2" xfId="17800"/>
    <cellStyle name="Comma 2 9 5 2 2 2 2" xfId="17801"/>
    <cellStyle name="Comma 2 9 5 2 2 2 3" xfId="17802"/>
    <cellStyle name="Comma 2 9 5 2 2 3" xfId="17803"/>
    <cellStyle name="Comma 2 9 5 2 2 4" xfId="17804"/>
    <cellStyle name="Comma 2 9 5 2 2 5" xfId="17805"/>
    <cellStyle name="Comma 2 9 5 2 2 6" xfId="17806"/>
    <cellStyle name="Comma 2 9 5 2 3" xfId="17807"/>
    <cellStyle name="Comma 2 9 5 2 3 2" xfId="17808"/>
    <cellStyle name="Comma 2 9 5 2 3 2 2" xfId="17809"/>
    <cellStyle name="Comma 2 9 5 2 3 3" xfId="17810"/>
    <cellStyle name="Comma 2 9 5 2 3 4" xfId="17811"/>
    <cellStyle name="Comma 2 9 5 2 3 5" xfId="17812"/>
    <cellStyle name="Comma 2 9 5 2 4" xfId="17813"/>
    <cellStyle name="Comma 2 9 5 2 4 2" xfId="17814"/>
    <cellStyle name="Comma 2 9 5 2 4 3" xfId="17815"/>
    <cellStyle name="Comma 2 9 5 2 4 4" xfId="17816"/>
    <cellStyle name="Comma 2 9 5 2 5" xfId="17817"/>
    <cellStyle name="Comma 2 9 5 2 5 2" xfId="17818"/>
    <cellStyle name="Comma 2 9 5 2 6" xfId="17819"/>
    <cellStyle name="Comma 2 9 5 2 7" xfId="17820"/>
    <cellStyle name="Comma 2 9 5 2 8" xfId="17821"/>
    <cellStyle name="Comma 2 9 5 2 9" xfId="17822"/>
    <cellStyle name="Comma 2 9 5 3" xfId="17823"/>
    <cellStyle name="Comma 2 9 5 3 2" xfId="17824"/>
    <cellStyle name="Comma 2 9 5 3 2 2" xfId="17825"/>
    <cellStyle name="Comma 2 9 5 3 2 2 2" xfId="17826"/>
    <cellStyle name="Comma 2 9 5 3 2 2 3" xfId="17827"/>
    <cellStyle name="Comma 2 9 5 3 2 3" xfId="17828"/>
    <cellStyle name="Comma 2 9 5 3 2 4" xfId="17829"/>
    <cellStyle name="Comma 2 9 5 3 2 5" xfId="17830"/>
    <cellStyle name="Comma 2 9 5 3 2 6" xfId="17831"/>
    <cellStyle name="Comma 2 9 5 3 3" xfId="17832"/>
    <cellStyle name="Comma 2 9 5 3 3 2" xfId="17833"/>
    <cellStyle name="Comma 2 9 5 3 3 2 2" xfId="17834"/>
    <cellStyle name="Comma 2 9 5 3 3 3" xfId="17835"/>
    <cellStyle name="Comma 2 9 5 3 3 4" xfId="17836"/>
    <cellStyle name="Comma 2 9 5 3 3 5" xfId="17837"/>
    <cellStyle name="Comma 2 9 5 3 4" xfId="17838"/>
    <cellStyle name="Comma 2 9 5 3 4 2" xfId="17839"/>
    <cellStyle name="Comma 2 9 5 3 4 3" xfId="17840"/>
    <cellStyle name="Comma 2 9 5 3 4 4" xfId="17841"/>
    <cellStyle name="Comma 2 9 5 3 5" xfId="17842"/>
    <cellStyle name="Comma 2 9 5 3 5 2" xfId="17843"/>
    <cellStyle name="Comma 2 9 5 3 6" xfId="17844"/>
    <cellStyle name="Comma 2 9 5 3 7" xfId="17845"/>
    <cellStyle name="Comma 2 9 5 3 8" xfId="17846"/>
    <cellStyle name="Comma 2 9 5 3 9" xfId="17847"/>
    <cellStyle name="Comma 2 9 5 4" xfId="17848"/>
    <cellStyle name="Comma 2 9 5 4 2" xfId="17849"/>
    <cellStyle name="Comma 2 9 5 4 2 2" xfId="17850"/>
    <cellStyle name="Comma 2 9 5 4 2 3" xfId="17851"/>
    <cellStyle name="Comma 2 9 5 4 3" xfId="17852"/>
    <cellStyle name="Comma 2 9 5 4 4" xfId="17853"/>
    <cellStyle name="Comma 2 9 5 4 5" xfId="17854"/>
    <cellStyle name="Comma 2 9 5 4 6" xfId="17855"/>
    <cellStyle name="Comma 2 9 5 5" xfId="17856"/>
    <cellStyle name="Comma 2 9 5 5 2" xfId="17857"/>
    <cellStyle name="Comma 2 9 5 5 2 2" xfId="17858"/>
    <cellStyle name="Comma 2 9 5 5 3" xfId="17859"/>
    <cellStyle name="Comma 2 9 5 5 4" xfId="17860"/>
    <cellStyle name="Comma 2 9 5 5 5" xfId="17861"/>
    <cellStyle name="Comma 2 9 5 6" xfId="17862"/>
    <cellStyle name="Comma 2 9 5 6 2" xfId="17863"/>
    <cellStyle name="Comma 2 9 5 6 3" xfId="17864"/>
    <cellStyle name="Comma 2 9 5 6 4" xfId="17865"/>
    <cellStyle name="Comma 2 9 5 7" xfId="17866"/>
    <cellStyle name="Comma 2 9 5 7 2" xfId="17867"/>
    <cellStyle name="Comma 2 9 5 8" xfId="17868"/>
    <cellStyle name="Comma 2 9 5 9" xfId="17869"/>
    <cellStyle name="Comma 2 9 6" xfId="17870"/>
    <cellStyle name="Comma 2 9 6 10" xfId="17871"/>
    <cellStyle name="Comma 2 9 6 11" xfId="17872"/>
    <cellStyle name="Comma 2 9 6 2" xfId="17873"/>
    <cellStyle name="Comma 2 9 6 2 2" xfId="17874"/>
    <cellStyle name="Comma 2 9 6 2 2 2" xfId="17875"/>
    <cellStyle name="Comma 2 9 6 2 2 2 2" xfId="17876"/>
    <cellStyle name="Comma 2 9 6 2 2 2 3" xfId="17877"/>
    <cellStyle name="Comma 2 9 6 2 2 3" xfId="17878"/>
    <cellStyle name="Comma 2 9 6 2 2 4" xfId="17879"/>
    <cellStyle name="Comma 2 9 6 2 2 5" xfId="17880"/>
    <cellStyle name="Comma 2 9 6 2 2 6" xfId="17881"/>
    <cellStyle name="Comma 2 9 6 2 3" xfId="17882"/>
    <cellStyle name="Comma 2 9 6 2 3 2" xfId="17883"/>
    <cellStyle name="Comma 2 9 6 2 3 2 2" xfId="17884"/>
    <cellStyle name="Comma 2 9 6 2 3 3" xfId="17885"/>
    <cellStyle name="Comma 2 9 6 2 3 4" xfId="17886"/>
    <cellStyle name="Comma 2 9 6 2 3 5" xfId="17887"/>
    <cellStyle name="Comma 2 9 6 2 4" xfId="17888"/>
    <cellStyle name="Comma 2 9 6 2 4 2" xfId="17889"/>
    <cellStyle name="Comma 2 9 6 2 4 3" xfId="17890"/>
    <cellStyle name="Comma 2 9 6 2 4 4" xfId="17891"/>
    <cellStyle name="Comma 2 9 6 2 5" xfId="17892"/>
    <cellStyle name="Comma 2 9 6 2 5 2" xfId="17893"/>
    <cellStyle name="Comma 2 9 6 2 6" xfId="17894"/>
    <cellStyle name="Comma 2 9 6 2 7" xfId="17895"/>
    <cellStyle name="Comma 2 9 6 2 8" xfId="17896"/>
    <cellStyle name="Comma 2 9 6 2 9" xfId="17897"/>
    <cellStyle name="Comma 2 9 6 3" xfId="17898"/>
    <cellStyle name="Comma 2 9 6 3 2" xfId="17899"/>
    <cellStyle name="Comma 2 9 6 3 2 2" xfId="17900"/>
    <cellStyle name="Comma 2 9 6 3 2 2 2" xfId="17901"/>
    <cellStyle name="Comma 2 9 6 3 2 2 3" xfId="17902"/>
    <cellStyle name="Comma 2 9 6 3 2 3" xfId="17903"/>
    <cellStyle name="Comma 2 9 6 3 2 4" xfId="17904"/>
    <cellStyle name="Comma 2 9 6 3 2 5" xfId="17905"/>
    <cellStyle name="Comma 2 9 6 3 2 6" xfId="17906"/>
    <cellStyle name="Comma 2 9 6 3 3" xfId="17907"/>
    <cellStyle name="Comma 2 9 6 3 3 2" xfId="17908"/>
    <cellStyle name="Comma 2 9 6 3 3 2 2" xfId="17909"/>
    <cellStyle name="Comma 2 9 6 3 3 3" xfId="17910"/>
    <cellStyle name="Comma 2 9 6 3 3 4" xfId="17911"/>
    <cellStyle name="Comma 2 9 6 3 3 5" xfId="17912"/>
    <cellStyle name="Comma 2 9 6 3 4" xfId="17913"/>
    <cellStyle name="Comma 2 9 6 3 4 2" xfId="17914"/>
    <cellStyle name="Comma 2 9 6 3 4 3" xfId="17915"/>
    <cellStyle name="Comma 2 9 6 3 4 4" xfId="17916"/>
    <cellStyle name="Comma 2 9 6 3 5" xfId="17917"/>
    <cellStyle name="Comma 2 9 6 3 5 2" xfId="17918"/>
    <cellStyle name="Comma 2 9 6 3 6" xfId="17919"/>
    <cellStyle name="Comma 2 9 6 3 7" xfId="17920"/>
    <cellStyle name="Comma 2 9 6 3 8" xfId="17921"/>
    <cellStyle name="Comma 2 9 6 3 9" xfId="17922"/>
    <cellStyle name="Comma 2 9 6 4" xfId="17923"/>
    <cellStyle name="Comma 2 9 6 4 2" xfId="17924"/>
    <cellStyle name="Comma 2 9 6 4 2 2" xfId="17925"/>
    <cellStyle name="Comma 2 9 6 4 2 3" xfId="17926"/>
    <cellStyle name="Comma 2 9 6 4 3" xfId="17927"/>
    <cellStyle name="Comma 2 9 6 4 4" xfId="17928"/>
    <cellStyle name="Comma 2 9 6 4 5" xfId="17929"/>
    <cellStyle name="Comma 2 9 6 4 6" xfId="17930"/>
    <cellStyle name="Comma 2 9 6 5" xfId="17931"/>
    <cellStyle name="Comma 2 9 6 5 2" xfId="17932"/>
    <cellStyle name="Comma 2 9 6 5 2 2" xfId="17933"/>
    <cellStyle name="Comma 2 9 6 5 3" xfId="17934"/>
    <cellStyle name="Comma 2 9 6 5 4" xfId="17935"/>
    <cellStyle name="Comma 2 9 6 5 5" xfId="17936"/>
    <cellStyle name="Comma 2 9 6 6" xfId="17937"/>
    <cellStyle name="Comma 2 9 6 6 2" xfId="17938"/>
    <cellStyle name="Comma 2 9 6 6 3" xfId="17939"/>
    <cellStyle name="Comma 2 9 6 6 4" xfId="17940"/>
    <cellStyle name="Comma 2 9 6 7" xfId="17941"/>
    <cellStyle name="Comma 2 9 6 7 2" xfId="17942"/>
    <cellStyle name="Comma 2 9 6 8" xfId="17943"/>
    <cellStyle name="Comma 2 9 6 9" xfId="17944"/>
    <cellStyle name="Comma 2 9 7" xfId="17945"/>
    <cellStyle name="Comma 2 9 7 10" xfId="17946"/>
    <cellStyle name="Comma 2 9 7 11" xfId="17947"/>
    <cellStyle name="Comma 2 9 7 2" xfId="17948"/>
    <cellStyle name="Comma 2 9 7 2 2" xfId="17949"/>
    <cellStyle name="Comma 2 9 7 2 2 2" xfId="17950"/>
    <cellStyle name="Comma 2 9 7 2 2 2 2" xfId="17951"/>
    <cellStyle name="Comma 2 9 7 2 2 2 3" xfId="17952"/>
    <cellStyle name="Comma 2 9 7 2 2 3" xfId="17953"/>
    <cellStyle name="Comma 2 9 7 2 2 4" xfId="17954"/>
    <cellStyle name="Comma 2 9 7 2 2 5" xfId="17955"/>
    <cellStyle name="Comma 2 9 7 2 2 6" xfId="17956"/>
    <cellStyle name="Comma 2 9 7 2 3" xfId="17957"/>
    <cellStyle name="Comma 2 9 7 2 3 2" xfId="17958"/>
    <cellStyle name="Comma 2 9 7 2 3 2 2" xfId="17959"/>
    <cellStyle name="Comma 2 9 7 2 3 3" xfId="17960"/>
    <cellStyle name="Comma 2 9 7 2 3 4" xfId="17961"/>
    <cellStyle name="Comma 2 9 7 2 3 5" xfId="17962"/>
    <cellStyle name="Comma 2 9 7 2 4" xfId="17963"/>
    <cellStyle name="Comma 2 9 7 2 4 2" xfId="17964"/>
    <cellStyle name="Comma 2 9 7 2 4 3" xfId="17965"/>
    <cellStyle name="Comma 2 9 7 2 4 4" xfId="17966"/>
    <cellStyle name="Comma 2 9 7 2 5" xfId="17967"/>
    <cellStyle name="Comma 2 9 7 2 5 2" xfId="17968"/>
    <cellStyle name="Comma 2 9 7 2 6" xfId="17969"/>
    <cellStyle name="Comma 2 9 7 2 7" xfId="17970"/>
    <cellStyle name="Comma 2 9 7 2 8" xfId="17971"/>
    <cellStyle name="Comma 2 9 7 2 9" xfId="17972"/>
    <cellStyle name="Comma 2 9 7 3" xfId="17973"/>
    <cellStyle name="Comma 2 9 7 3 2" xfId="17974"/>
    <cellStyle name="Comma 2 9 7 3 2 2" xfId="17975"/>
    <cellStyle name="Comma 2 9 7 3 2 2 2" xfId="17976"/>
    <cellStyle name="Comma 2 9 7 3 2 2 3" xfId="17977"/>
    <cellStyle name="Comma 2 9 7 3 2 3" xfId="17978"/>
    <cellStyle name="Comma 2 9 7 3 2 4" xfId="17979"/>
    <cellStyle name="Comma 2 9 7 3 2 5" xfId="17980"/>
    <cellStyle name="Comma 2 9 7 3 2 6" xfId="17981"/>
    <cellStyle name="Comma 2 9 7 3 3" xfId="17982"/>
    <cellStyle name="Comma 2 9 7 3 3 2" xfId="17983"/>
    <cellStyle name="Comma 2 9 7 3 3 2 2" xfId="17984"/>
    <cellStyle name="Comma 2 9 7 3 3 3" xfId="17985"/>
    <cellStyle name="Comma 2 9 7 3 3 4" xfId="17986"/>
    <cellStyle name="Comma 2 9 7 3 3 5" xfId="17987"/>
    <cellStyle name="Comma 2 9 7 3 4" xfId="17988"/>
    <cellStyle name="Comma 2 9 7 3 4 2" xfId="17989"/>
    <cellStyle name="Comma 2 9 7 3 4 3" xfId="17990"/>
    <cellStyle name="Comma 2 9 7 3 4 4" xfId="17991"/>
    <cellStyle name="Comma 2 9 7 3 5" xfId="17992"/>
    <cellStyle name="Comma 2 9 7 3 5 2" xfId="17993"/>
    <cellStyle name="Comma 2 9 7 3 6" xfId="17994"/>
    <cellStyle name="Comma 2 9 7 3 7" xfId="17995"/>
    <cellStyle name="Comma 2 9 7 3 8" xfId="17996"/>
    <cellStyle name="Comma 2 9 7 3 9" xfId="17997"/>
    <cellStyle name="Comma 2 9 7 4" xfId="17998"/>
    <cellStyle name="Comma 2 9 7 4 2" xfId="17999"/>
    <cellStyle name="Comma 2 9 7 4 2 2" xfId="18000"/>
    <cellStyle name="Comma 2 9 7 4 2 3" xfId="18001"/>
    <cellStyle name="Comma 2 9 7 4 3" xfId="18002"/>
    <cellStyle name="Comma 2 9 7 4 4" xfId="18003"/>
    <cellStyle name="Comma 2 9 7 4 5" xfId="18004"/>
    <cellStyle name="Comma 2 9 7 4 6" xfId="18005"/>
    <cellStyle name="Comma 2 9 7 5" xfId="18006"/>
    <cellStyle name="Comma 2 9 7 5 2" xfId="18007"/>
    <cellStyle name="Comma 2 9 7 5 2 2" xfId="18008"/>
    <cellStyle name="Comma 2 9 7 5 3" xfId="18009"/>
    <cellStyle name="Comma 2 9 7 5 4" xfId="18010"/>
    <cellStyle name="Comma 2 9 7 5 5" xfId="18011"/>
    <cellStyle name="Comma 2 9 7 6" xfId="18012"/>
    <cellStyle name="Comma 2 9 7 6 2" xfId="18013"/>
    <cellStyle name="Comma 2 9 7 6 3" xfId="18014"/>
    <cellStyle name="Comma 2 9 7 6 4" xfId="18015"/>
    <cellStyle name="Comma 2 9 7 7" xfId="18016"/>
    <cellStyle name="Comma 2 9 7 7 2" xfId="18017"/>
    <cellStyle name="Comma 2 9 7 8" xfId="18018"/>
    <cellStyle name="Comma 2 9 7 9" xfId="18019"/>
    <cellStyle name="Comma 2 9 8" xfId="18020"/>
    <cellStyle name="Comma 2 9 8 10" xfId="18021"/>
    <cellStyle name="Comma 2 9 8 2" xfId="18022"/>
    <cellStyle name="Comma 2 9 8 2 2" xfId="18023"/>
    <cellStyle name="Comma 2 9 8 2 2 2" xfId="18024"/>
    <cellStyle name="Comma 2 9 8 2 2 3" xfId="18025"/>
    <cellStyle name="Comma 2 9 8 2 3" xfId="18026"/>
    <cellStyle name="Comma 2 9 8 2 4" xfId="18027"/>
    <cellStyle name="Comma 2 9 8 2 5" xfId="18028"/>
    <cellStyle name="Comma 2 9 8 2 6" xfId="18029"/>
    <cellStyle name="Comma 2 9 8 3" xfId="18030"/>
    <cellStyle name="Comma 2 9 8 3 2" xfId="18031"/>
    <cellStyle name="Comma 2 9 8 3 2 2" xfId="18032"/>
    <cellStyle name="Comma 2 9 8 3 2 3" xfId="18033"/>
    <cellStyle name="Comma 2 9 8 3 3" xfId="18034"/>
    <cellStyle name="Comma 2 9 8 3 4" xfId="18035"/>
    <cellStyle name="Comma 2 9 8 3 5" xfId="18036"/>
    <cellStyle name="Comma 2 9 8 3 6" xfId="18037"/>
    <cellStyle name="Comma 2 9 8 4" xfId="18038"/>
    <cellStyle name="Comma 2 9 8 4 2" xfId="18039"/>
    <cellStyle name="Comma 2 9 8 4 2 2" xfId="18040"/>
    <cellStyle name="Comma 2 9 8 4 3" xfId="18041"/>
    <cellStyle name="Comma 2 9 8 4 4" xfId="18042"/>
    <cellStyle name="Comma 2 9 8 4 5" xfId="18043"/>
    <cellStyle name="Comma 2 9 8 5" xfId="18044"/>
    <cellStyle name="Comma 2 9 8 5 2" xfId="18045"/>
    <cellStyle name="Comma 2 9 8 5 3" xfId="18046"/>
    <cellStyle name="Comma 2 9 8 5 4" xfId="18047"/>
    <cellStyle name="Comma 2 9 8 6" xfId="18048"/>
    <cellStyle name="Comma 2 9 8 6 2" xfId="18049"/>
    <cellStyle name="Comma 2 9 8 7" xfId="18050"/>
    <cellStyle name="Comma 2 9 8 8" xfId="18051"/>
    <cellStyle name="Comma 2 9 8 9" xfId="18052"/>
    <cellStyle name="Comma 2 9 9" xfId="18053"/>
    <cellStyle name="Comma 2 9 9 10" xfId="18054"/>
    <cellStyle name="Comma 2 9 9 2" xfId="18055"/>
    <cellStyle name="Comma 2 9 9 2 2" xfId="18056"/>
    <cellStyle name="Comma 2 9 9 2 2 2" xfId="18057"/>
    <cellStyle name="Comma 2 9 9 2 2 3" xfId="18058"/>
    <cellStyle name="Comma 2 9 9 2 3" xfId="18059"/>
    <cellStyle name="Comma 2 9 9 2 4" xfId="18060"/>
    <cellStyle name="Comma 2 9 9 2 5" xfId="18061"/>
    <cellStyle name="Comma 2 9 9 2 6" xfId="18062"/>
    <cellStyle name="Comma 2 9 9 3" xfId="18063"/>
    <cellStyle name="Comma 2 9 9 3 2" xfId="18064"/>
    <cellStyle name="Comma 2 9 9 3 2 2" xfId="18065"/>
    <cellStyle name="Comma 2 9 9 3 2 3" xfId="18066"/>
    <cellStyle name="Comma 2 9 9 3 3" xfId="18067"/>
    <cellStyle name="Comma 2 9 9 3 4" xfId="18068"/>
    <cellStyle name="Comma 2 9 9 3 5" xfId="18069"/>
    <cellStyle name="Comma 2 9 9 3 6" xfId="18070"/>
    <cellStyle name="Comma 2 9 9 4" xfId="18071"/>
    <cellStyle name="Comma 2 9 9 4 2" xfId="18072"/>
    <cellStyle name="Comma 2 9 9 4 2 2" xfId="18073"/>
    <cellStyle name="Comma 2 9 9 4 3" xfId="18074"/>
    <cellStyle name="Comma 2 9 9 4 4" xfId="18075"/>
    <cellStyle name="Comma 2 9 9 4 5" xfId="18076"/>
    <cellStyle name="Comma 2 9 9 5" xfId="18077"/>
    <cellStyle name="Comma 2 9 9 5 2" xfId="18078"/>
    <cellStyle name="Comma 2 9 9 5 3" xfId="18079"/>
    <cellStyle name="Comma 2 9 9 5 4" xfId="18080"/>
    <cellStyle name="Comma 2 9 9 6" xfId="18081"/>
    <cellStyle name="Comma 2 9 9 6 2" xfId="18082"/>
    <cellStyle name="Comma 2 9 9 7" xfId="18083"/>
    <cellStyle name="Comma 2 9 9 8" xfId="18084"/>
    <cellStyle name="Comma 2 9 9 9" xfId="18085"/>
    <cellStyle name="Comma 20" xfId="18086"/>
    <cellStyle name="Comma 21" xfId="18087"/>
    <cellStyle name="Comma 22" xfId="18088"/>
    <cellStyle name="Comma 23" xfId="42322"/>
    <cellStyle name="Comma 25" xfId="18089"/>
    <cellStyle name="Comma 3" xfId="18090"/>
    <cellStyle name="Comma 3 10" xfId="18091"/>
    <cellStyle name="Comma 3 11" xfId="18092"/>
    <cellStyle name="Comma 3 12" xfId="18093"/>
    <cellStyle name="Comma 3 13" xfId="18094"/>
    <cellStyle name="Comma 3 14" xfId="18095"/>
    <cellStyle name="Comma 3 15" xfId="18096"/>
    <cellStyle name="Comma 3 16" xfId="18097"/>
    <cellStyle name="Comma 3 17" xfId="18098"/>
    <cellStyle name="Comma 3 18" xfId="18099"/>
    <cellStyle name="Comma 3 19" xfId="18100"/>
    <cellStyle name="Comma 3 2" xfId="18101"/>
    <cellStyle name="Comma 3 2 2" xfId="18102"/>
    <cellStyle name="Comma 3 2 2 2" xfId="18103"/>
    <cellStyle name="Comma 3 2 3" xfId="18104"/>
    <cellStyle name="Comma 3 2 3 2" xfId="18105"/>
    <cellStyle name="Comma 3 2 4" xfId="18106"/>
    <cellStyle name="Comma 3 2 5" xfId="18107"/>
    <cellStyle name="Comma 3 20" xfId="18108"/>
    <cellStyle name="Comma 3 21" xfId="18109"/>
    <cellStyle name="Comma 3 22" xfId="18110"/>
    <cellStyle name="Comma 3 23" xfId="18111"/>
    <cellStyle name="Comma 3 24" xfId="18112"/>
    <cellStyle name="Comma 3 25" xfId="18113"/>
    <cellStyle name="Comma 3 26" xfId="18114"/>
    <cellStyle name="Comma 3 27" xfId="18115"/>
    <cellStyle name="Comma 3 28" xfId="18116"/>
    <cellStyle name="Comma 3 29" xfId="18117"/>
    <cellStyle name="Comma 3 3" xfId="18118"/>
    <cellStyle name="Comma 3 3 2" xfId="18119"/>
    <cellStyle name="Comma 3 3 2 2" xfId="18120"/>
    <cellStyle name="Comma 3 3 3" xfId="18121"/>
    <cellStyle name="Comma 3 3 4" xfId="18122"/>
    <cellStyle name="Comma 3 30" xfId="18123"/>
    <cellStyle name="Comma 3 31" xfId="18124"/>
    <cellStyle name="Comma 3 32" xfId="18125"/>
    <cellStyle name="Comma 3 33" xfId="18126"/>
    <cellStyle name="Comma 3 34" xfId="18127"/>
    <cellStyle name="Comma 3 35" xfId="18128"/>
    <cellStyle name="Comma 3 36" xfId="18129"/>
    <cellStyle name="Comma 3 37" xfId="18130"/>
    <cellStyle name="Comma 3 38" xfId="18131"/>
    <cellStyle name="Comma 3 39" xfId="18132"/>
    <cellStyle name="Comma 3 4" xfId="18133"/>
    <cellStyle name="Comma 3 4 2" xfId="18134"/>
    <cellStyle name="Comma 3 40" xfId="18135"/>
    <cellStyle name="Comma 3 5" xfId="18136"/>
    <cellStyle name="Comma 3 6" xfId="18137"/>
    <cellStyle name="Comma 3 7" xfId="18138"/>
    <cellStyle name="Comma 3 8" xfId="18139"/>
    <cellStyle name="Comma 3 9" xfId="18140"/>
    <cellStyle name="Comma 31" xfId="18141"/>
    <cellStyle name="Comma 32" xfId="18142"/>
    <cellStyle name="Comma 4" xfId="18143"/>
    <cellStyle name="Comma 4 10" xfId="18144"/>
    <cellStyle name="Comma 4 11" xfId="18145"/>
    <cellStyle name="Comma 4 12" xfId="18146"/>
    <cellStyle name="Comma 4 13" xfId="18147"/>
    <cellStyle name="Comma 4 14" xfId="18148"/>
    <cellStyle name="Comma 4 15" xfId="18149"/>
    <cellStyle name="Comma 4 16" xfId="18150"/>
    <cellStyle name="Comma 4 17" xfId="18151"/>
    <cellStyle name="Comma 4 18" xfId="18152"/>
    <cellStyle name="Comma 4 18 2" xfId="18153"/>
    <cellStyle name="Comma 4 19" xfId="18154"/>
    <cellStyle name="Comma 4 2" xfId="18155"/>
    <cellStyle name="Comma 4 2 2" xfId="18156"/>
    <cellStyle name="Comma 4 2 2 2" xfId="18157"/>
    <cellStyle name="Comma 4 2 2 2 2" xfId="18158"/>
    <cellStyle name="Comma 4 2 2 2 3" xfId="18159"/>
    <cellStyle name="Comma 4 2 2 3" xfId="18160"/>
    <cellStyle name="Comma 4 2 2 4" xfId="18161"/>
    <cellStyle name="Comma 4 2 2 5" xfId="18162"/>
    <cellStyle name="Comma 4 2 2 6" xfId="18163"/>
    <cellStyle name="Comma 4 2 3" xfId="18164"/>
    <cellStyle name="Comma 4 2 3 2" xfId="18165"/>
    <cellStyle name="Comma 4 2 3 2 2" xfId="18166"/>
    <cellStyle name="Comma 4 2 3 3" xfId="18167"/>
    <cellStyle name="Comma 4 2 3 4" xfId="18168"/>
    <cellStyle name="Comma 4 2 3 5" xfId="18169"/>
    <cellStyle name="Comma 4 2 3 6" xfId="18170"/>
    <cellStyle name="Comma 4 2 4" xfId="18171"/>
    <cellStyle name="Comma 4 2 4 2" xfId="18172"/>
    <cellStyle name="Comma 4 2 4 3" xfId="18173"/>
    <cellStyle name="Comma 4 2 4 4" xfId="18174"/>
    <cellStyle name="Comma 4 2 5" xfId="18175"/>
    <cellStyle name="Comma 4 2 5 2" xfId="18176"/>
    <cellStyle name="Comma 4 2 6" xfId="18177"/>
    <cellStyle name="Comma 4 2 7" xfId="18178"/>
    <cellStyle name="Comma 4 2 8" xfId="18179"/>
    <cellStyle name="Comma 4 2 9" xfId="18180"/>
    <cellStyle name="Comma 4 20" xfId="18181"/>
    <cellStyle name="Comma 4 21" xfId="18182"/>
    <cellStyle name="Comma 4 3" xfId="18183"/>
    <cellStyle name="Comma 4 3 2" xfId="18184"/>
    <cellStyle name="Comma 4 3 2 2" xfId="18185"/>
    <cellStyle name="Comma 4 3 2 2 2" xfId="18186"/>
    <cellStyle name="Comma 4 3 2 3" xfId="18187"/>
    <cellStyle name="Comma 4 3 2 4" xfId="18188"/>
    <cellStyle name="Comma 4 3 2 5" xfId="18189"/>
    <cellStyle name="Comma 4 3 2 6" xfId="18190"/>
    <cellStyle name="Comma 4 3 3" xfId="18191"/>
    <cellStyle name="Comma 4 3 3 2" xfId="18192"/>
    <cellStyle name="Comma 4 3 3 3" xfId="18193"/>
    <cellStyle name="Comma 4 3 3 4" xfId="18194"/>
    <cellStyle name="Comma 4 3 4" xfId="18195"/>
    <cellStyle name="Comma 4 3 4 2" xfId="18196"/>
    <cellStyle name="Comma 4 3 5" xfId="18197"/>
    <cellStyle name="Comma 4 3 6" xfId="18198"/>
    <cellStyle name="Comma 4 3 7" xfId="18199"/>
    <cellStyle name="Comma 4 3 8" xfId="18200"/>
    <cellStyle name="Comma 4 4" xfId="18201"/>
    <cellStyle name="Comma 4 4 2" xfId="18202"/>
    <cellStyle name="Comma 4 4 2 2" xfId="18203"/>
    <cellStyle name="Comma 4 4 2 3" xfId="18204"/>
    <cellStyle name="Comma 4 4 3" xfId="18205"/>
    <cellStyle name="Comma 4 4 4" xfId="18206"/>
    <cellStyle name="Comma 4 4 5" xfId="18207"/>
    <cellStyle name="Comma 4 4 6" xfId="18208"/>
    <cellStyle name="Comma 4 5" xfId="18209"/>
    <cellStyle name="Comma 4 5 2" xfId="18210"/>
    <cellStyle name="Comma 4 5 2 2" xfId="18211"/>
    <cellStyle name="Comma 4 5 3" xfId="18212"/>
    <cellStyle name="Comma 4 5 4" xfId="18213"/>
    <cellStyle name="Comma 4 5 5" xfId="18214"/>
    <cellStyle name="Comma 4 5 6" xfId="18215"/>
    <cellStyle name="Comma 4 6" xfId="18216"/>
    <cellStyle name="Comma 4 6 2" xfId="18217"/>
    <cellStyle name="Comma 4 6 3" xfId="18218"/>
    <cellStyle name="Comma 4 6 4" xfId="18219"/>
    <cellStyle name="Comma 4 6 5" xfId="18220"/>
    <cellStyle name="Comma 4 7" xfId="18221"/>
    <cellStyle name="Comma 4 7 2" xfId="18222"/>
    <cellStyle name="Comma 4 7 3" xfId="18223"/>
    <cellStyle name="Comma 4 8" xfId="18224"/>
    <cellStyle name="Comma 4 8 2" xfId="18225"/>
    <cellStyle name="Comma 4 8 3" xfId="18226"/>
    <cellStyle name="Comma 4 9" xfId="18227"/>
    <cellStyle name="Comma 5" xfId="18228"/>
    <cellStyle name="Comma 5 10" xfId="18229"/>
    <cellStyle name="Comma 5 11" xfId="42323"/>
    <cellStyle name="Comma 5 2" xfId="18230"/>
    <cellStyle name="Comma 5 2 2" xfId="18231"/>
    <cellStyle name="Comma 5 2 2 2" xfId="18232"/>
    <cellStyle name="Comma 5 2 2 2 2" xfId="18233"/>
    <cellStyle name="Comma 5 2 2 2 3" xfId="18234"/>
    <cellStyle name="Comma 5 2 2 3" xfId="18235"/>
    <cellStyle name="Comma 5 2 2 4" xfId="18236"/>
    <cellStyle name="Comma 5 2 2 5" xfId="18237"/>
    <cellStyle name="Comma 5 2 2 6" xfId="18238"/>
    <cellStyle name="Comma 5 2 3" xfId="18239"/>
    <cellStyle name="Comma 5 2 3 2" xfId="18240"/>
    <cellStyle name="Comma 5 2 3 2 2" xfId="18241"/>
    <cellStyle name="Comma 5 2 3 3" xfId="18242"/>
    <cellStyle name="Comma 5 2 3 4" xfId="18243"/>
    <cellStyle name="Comma 5 2 3 5" xfId="18244"/>
    <cellStyle name="Comma 5 2 4" xfId="18245"/>
    <cellStyle name="Comma 5 2 4 2" xfId="18246"/>
    <cellStyle name="Comma 5 2 4 3" xfId="18247"/>
    <cellStyle name="Comma 5 2 4 4" xfId="18248"/>
    <cellStyle name="Comma 5 2 5" xfId="18249"/>
    <cellStyle name="Comma 5 2 5 2" xfId="18250"/>
    <cellStyle name="Comma 5 2 6" xfId="18251"/>
    <cellStyle name="Comma 5 2 7" xfId="18252"/>
    <cellStyle name="Comma 5 2 8" xfId="18253"/>
    <cellStyle name="Comma 5 2 9" xfId="18254"/>
    <cellStyle name="Comma 5 3" xfId="18255"/>
    <cellStyle name="Comma 5 3 2" xfId="18256"/>
    <cellStyle name="Comma 5 3 2 2" xfId="18257"/>
    <cellStyle name="Comma 5 3 2 3" xfId="18258"/>
    <cellStyle name="Comma 5 3 3" xfId="18259"/>
    <cellStyle name="Comma 5 3 4" xfId="18260"/>
    <cellStyle name="Comma 5 3 5" xfId="18261"/>
    <cellStyle name="Comma 5 3 6" xfId="18262"/>
    <cellStyle name="Comma 5 4" xfId="18263"/>
    <cellStyle name="Comma 5 4 2" xfId="18264"/>
    <cellStyle name="Comma 5 4 2 2" xfId="18265"/>
    <cellStyle name="Comma 5 4 3" xfId="18266"/>
    <cellStyle name="Comma 5 4 4" xfId="18267"/>
    <cellStyle name="Comma 5 4 5" xfId="18268"/>
    <cellStyle name="Comma 5 5" xfId="18269"/>
    <cellStyle name="Comma 5 5 2" xfId="18270"/>
    <cellStyle name="Comma 5 5 3" xfId="18271"/>
    <cellStyle name="Comma 5 5 4" xfId="18272"/>
    <cellStyle name="Comma 5 6" xfId="18273"/>
    <cellStyle name="Comma 5 6 2" xfId="18274"/>
    <cellStyle name="Comma 5 7" xfId="18275"/>
    <cellStyle name="Comma 5 8" xfId="18276"/>
    <cellStyle name="Comma 5 9" xfId="18277"/>
    <cellStyle name="Comma 6" xfId="18278"/>
    <cellStyle name="Comma 6 2" xfId="18279"/>
    <cellStyle name="Comma 6 2 2" xfId="18280"/>
    <cellStyle name="Comma 6 2 2 2" xfId="18281"/>
    <cellStyle name="Comma 6 2 2 3" xfId="18282"/>
    <cellStyle name="Comma 6 2 3" xfId="18283"/>
    <cellStyle name="Comma 6 2 4" xfId="18284"/>
    <cellStyle name="Comma 6 2 5" xfId="18285"/>
    <cellStyle name="Comma 6 2 6" xfId="18286"/>
    <cellStyle name="Comma 6 3" xfId="18287"/>
    <cellStyle name="Comma 6 3 2" xfId="18288"/>
    <cellStyle name="Comma 6 3 2 2" xfId="18289"/>
    <cellStyle name="Comma 6 3 3" xfId="18290"/>
    <cellStyle name="Comma 6 3 4" xfId="18291"/>
    <cellStyle name="Comma 6 3 5" xfId="18292"/>
    <cellStyle name="Comma 6 3 6" xfId="18293"/>
    <cellStyle name="Comma 6 4" xfId="18294"/>
    <cellStyle name="Comma 6 4 2" xfId="18295"/>
    <cellStyle name="Comma 6 4 3" xfId="18296"/>
    <cellStyle name="Comma 6 4 4" xfId="18297"/>
    <cellStyle name="Comma 6 5" xfId="18298"/>
    <cellStyle name="Comma 6 5 2" xfId="18299"/>
    <cellStyle name="Comma 6 6" xfId="18300"/>
    <cellStyle name="Comma 6 7" xfId="18301"/>
    <cellStyle name="Comma 6 8" xfId="18302"/>
    <cellStyle name="Comma 6 9" xfId="18303"/>
    <cellStyle name="Comma 7" xfId="18304"/>
    <cellStyle name="Comma 7 2" xfId="18305"/>
    <cellStyle name="Comma 7 2 2" xfId="18306"/>
    <cellStyle name="Comma 7 2 2 2" xfId="18307"/>
    <cellStyle name="Comma 7 2 3" xfId="18308"/>
    <cellStyle name="Comma 7 2 4" xfId="18309"/>
    <cellStyle name="Comma 7 2 5" xfId="18310"/>
    <cellStyle name="Comma 7 2 6" xfId="18311"/>
    <cellStyle name="Comma 7 3" xfId="18312"/>
    <cellStyle name="Comma 7 3 2" xfId="18313"/>
    <cellStyle name="Comma 7 3 3" xfId="18314"/>
    <cellStyle name="Comma 7 3 4" xfId="18315"/>
    <cellStyle name="Comma 7 4" xfId="18316"/>
    <cellStyle name="Comma 7 4 2" xfId="18317"/>
    <cellStyle name="Comma 7 5" xfId="18318"/>
    <cellStyle name="Comma 7 6" xfId="18319"/>
    <cellStyle name="Comma 7 7" xfId="18320"/>
    <cellStyle name="Comma 7 8" xfId="18321"/>
    <cellStyle name="Comma 8" xfId="18322"/>
    <cellStyle name="Comma 8 2" xfId="18323"/>
    <cellStyle name="Comma 8 2 2" xfId="18324"/>
    <cellStyle name="Comma 8 2 2 2" xfId="18325"/>
    <cellStyle name="Comma 8 2 3" xfId="18326"/>
    <cellStyle name="Comma 8 2 4" xfId="18327"/>
    <cellStyle name="Comma 8 2 5" xfId="18328"/>
    <cellStyle name="Comma 8 3" xfId="18329"/>
    <cellStyle name="Comma 8 3 2" xfId="18330"/>
    <cellStyle name="Comma 8 3 3" xfId="18331"/>
    <cellStyle name="Comma 8 3 4" xfId="18332"/>
    <cellStyle name="Comma 8 4" xfId="18333"/>
    <cellStyle name="Comma 8 4 2" xfId="18334"/>
    <cellStyle name="Comma 8 5" xfId="18335"/>
    <cellStyle name="Comma 8 6" xfId="18336"/>
    <cellStyle name="Comma 8 7" xfId="18337"/>
    <cellStyle name="Comma 8 8" xfId="18338"/>
    <cellStyle name="Comma 9" xfId="18339"/>
    <cellStyle name="Comma 9 2" xfId="18340"/>
    <cellStyle name="Comma 9 3" xfId="18341"/>
    <cellStyle name="Comma0" xfId="18342"/>
    <cellStyle name="Currency" xfId="2" builtinId="4"/>
    <cellStyle name="Currency 10" xfId="18343"/>
    <cellStyle name="Currency 10 2" xfId="18344"/>
    <cellStyle name="Currency 10 2 2" xfId="18345"/>
    <cellStyle name="Currency 10 2 3" xfId="18346"/>
    <cellStyle name="Currency 10 2 4" xfId="18347"/>
    <cellStyle name="Currency 10 3" xfId="18348"/>
    <cellStyle name="Currency 10 3 2" xfId="18349"/>
    <cellStyle name="Currency 10 4" xfId="18350"/>
    <cellStyle name="Currency 10 5" xfId="18351"/>
    <cellStyle name="Currency 10 6" xfId="18352"/>
    <cellStyle name="Currency 11" xfId="18353"/>
    <cellStyle name="Currency 11 2" xfId="18354"/>
    <cellStyle name="Currency 11 2 2" xfId="18355"/>
    <cellStyle name="Currency 11 2 3" xfId="18356"/>
    <cellStyle name="Currency 11 3" xfId="18357"/>
    <cellStyle name="Currency 12" xfId="18358"/>
    <cellStyle name="Currency 13" xfId="42324"/>
    <cellStyle name="Currency 2" xfId="18359"/>
    <cellStyle name="Currency 2 10" xfId="18360"/>
    <cellStyle name="Currency 2 10 2" xfId="18361"/>
    <cellStyle name="Currency 2 10 3" xfId="18362"/>
    <cellStyle name="Currency 2 10 4" xfId="18363"/>
    <cellStyle name="Currency 2 10 5" xfId="18364"/>
    <cellStyle name="Currency 2 10 6" xfId="18365"/>
    <cellStyle name="Currency 2 10 7" xfId="18366"/>
    <cellStyle name="Currency 2 11" xfId="18367"/>
    <cellStyle name="Currency 2 11 2" xfId="18368"/>
    <cellStyle name="Currency 2 11 3" xfId="18369"/>
    <cellStyle name="Currency 2 11 4" xfId="18370"/>
    <cellStyle name="Currency 2 11 5" xfId="18371"/>
    <cellStyle name="Currency 2 11 6" xfId="18372"/>
    <cellStyle name="Currency 2 11 7" xfId="18373"/>
    <cellStyle name="Currency 2 12" xfId="18374"/>
    <cellStyle name="Currency 2 12 2" xfId="18375"/>
    <cellStyle name="Currency 2 12 3" xfId="18376"/>
    <cellStyle name="Currency 2 12 4" xfId="18377"/>
    <cellStyle name="Currency 2 12 5" xfId="18378"/>
    <cellStyle name="Currency 2 12 6" xfId="18379"/>
    <cellStyle name="Currency 2 12 7" xfId="18380"/>
    <cellStyle name="Currency 2 13" xfId="18381"/>
    <cellStyle name="Currency 2 13 2" xfId="18382"/>
    <cellStyle name="Currency 2 13 3" xfId="18383"/>
    <cellStyle name="Currency 2 13 4" xfId="18384"/>
    <cellStyle name="Currency 2 13 5" xfId="18385"/>
    <cellStyle name="Currency 2 13 6" xfId="18386"/>
    <cellStyle name="Currency 2 13 7" xfId="18387"/>
    <cellStyle name="Currency 2 14" xfId="18388"/>
    <cellStyle name="Currency 2 14 2" xfId="18389"/>
    <cellStyle name="Currency 2 14 3" xfId="18390"/>
    <cellStyle name="Currency 2 14 4" xfId="18391"/>
    <cellStyle name="Currency 2 14 5" xfId="18392"/>
    <cellStyle name="Currency 2 14 6" xfId="18393"/>
    <cellStyle name="Currency 2 14 7" xfId="18394"/>
    <cellStyle name="Currency 2 15" xfId="18395"/>
    <cellStyle name="Currency 2 15 2" xfId="18396"/>
    <cellStyle name="Currency 2 15 3" xfId="18397"/>
    <cellStyle name="Currency 2 15 4" xfId="18398"/>
    <cellStyle name="Currency 2 15 5" xfId="18399"/>
    <cellStyle name="Currency 2 15 6" xfId="18400"/>
    <cellStyle name="Currency 2 15 7" xfId="18401"/>
    <cellStyle name="Currency 2 16" xfId="18402"/>
    <cellStyle name="Currency 2 16 2" xfId="18403"/>
    <cellStyle name="Currency 2 16 3" xfId="18404"/>
    <cellStyle name="Currency 2 16 4" xfId="18405"/>
    <cellStyle name="Currency 2 16 5" xfId="18406"/>
    <cellStyle name="Currency 2 16 6" xfId="18407"/>
    <cellStyle name="Currency 2 16 7" xfId="18408"/>
    <cellStyle name="Currency 2 17" xfId="18409"/>
    <cellStyle name="Currency 2 17 2" xfId="18410"/>
    <cellStyle name="Currency 2 17 2 2" xfId="18411"/>
    <cellStyle name="Currency 2 17 3" xfId="18412"/>
    <cellStyle name="Currency 2 17 4" xfId="18413"/>
    <cellStyle name="Currency 2 17 5" xfId="18414"/>
    <cellStyle name="Currency 2 17 6" xfId="18415"/>
    <cellStyle name="Currency 2 17 7" xfId="18416"/>
    <cellStyle name="Currency 2 18" xfId="18417"/>
    <cellStyle name="Currency 2 18 2" xfId="18418"/>
    <cellStyle name="Currency 2 18 3" xfId="18419"/>
    <cellStyle name="Currency 2 18 4" xfId="18420"/>
    <cellStyle name="Currency 2 18 5" xfId="18421"/>
    <cellStyle name="Currency 2 18 6" xfId="18422"/>
    <cellStyle name="Currency 2 18 7" xfId="18423"/>
    <cellStyle name="Currency 2 19" xfId="18424"/>
    <cellStyle name="Currency 2 19 2" xfId="18425"/>
    <cellStyle name="Currency 2 19 3" xfId="18426"/>
    <cellStyle name="Currency 2 19 4" xfId="18427"/>
    <cellStyle name="Currency 2 19 5" xfId="18428"/>
    <cellStyle name="Currency 2 19 6" xfId="18429"/>
    <cellStyle name="Currency 2 19 7" xfId="18430"/>
    <cellStyle name="Currency 2 2" xfId="18431"/>
    <cellStyle name="Currency 2 2 10" xfId="18432"/>
    <cellStyle name="Currency 2 2 10 2" xfId="18433"/>
    <cellStyle name="Currency 2 2 11" xfId="18434"/>
    <cellStyle name="Currency 2 2 11 2" xfId="18435"/>
    <cellStyle name="Currency 2 2 12" xfId="18436"/>
    <cellStyle name="Currency 2 2 12 2" xfId="18437"/>
    <cellStyle name="Currency 2 2 13" xfId="18438"/>
    <cellStyle name="Currency 2 2 13 2" xfId="18439"/>
    <cellStyle name="Currency 2 2 14" xfId="18440"/>
    <cellStyle name="Currency 2 2 14 2" xfId="18441"/>
    <cellStyle name="Currency 2 2 15" xfId="18442"/>
    <cellStyle name="Currency 2 2 15 2" xfId="18443"/>
    <cellStyle name="Currency 2 2 16" xfId="18444"/>
    <cellStyle name="Currency 2 2 16 2" xfId="18445"/>
    <cellStyle name="Currency 2 2 17" xfId="18446"/>
    <cellStyle name="Currency 2 2 18" xfId="18447"/>
    <cellStyle name="Currency 2 2 19" xfId="18448"/>
    <cellStyle name="Currency 2 2 2" xfId="18449"/>
    <cellStyle name="Currency 2 2 2 2" xfId="18450"/>
    <cellStyle name="Currency 2 2 2 3" xfId="18451"/>
    <cellStyle name="Currency 2 2 2 4" xfId="18452"/>
    <cellStyle name="Currency 2 2 20" xfId="18453"/>
    <cellStyle name="Currency 2 2 21" xfId="18454"/>
    <cellStyle name="Currency 2 2 22" xfId="18455"/>
    <cellStyle name="Currency 2 2 23" xfId="18456"/>
    <cellStyle name="Currency 2 2 24" xfId="18457"/>
    <cellStyle name="Currency 2 2 25" xfId="18458"/>
    <cellStyle name="Currency 2 2 26" xfId="18459"/>
    <cellStyle name="Currency 2 2 27" xfId="18460"/>
    <cellStyle name="Currency 2 2 28" xfId="18461"/>
    <cellStyle name="Currency 2 2 29" xfId="18462"/>
    <cellStyle name="Currency 2 2 3" xfId="18463"/>
    <cellStyle name="Currency 2 2 3 2" xfId="18464"/>
    <cellStyle name="Currency 2 2 3 3" xfId="18465"/>
    <cellStyle name="Currency 2 2 3 4" xfId="18466"/>
    <cellStyle name="Currency 2 2 3 4 2" xfId="18467"/>
    <cellStyle name="Currency 2 2 3 5" xfId="18468"/>
    <cellStyle name="Currency 2 2 3 6" xfId="18469"/>
    <cellStyle name="Currency 2 2 30" xfId="18470"/>
    <cellStyle name="Currency 2 2 31" xfId="18471"/>
    <cellStyle name="Currency 2 2 32" xfId="18472"/>
    <cellStyle name="Currency 2 2 33" xfId="18473"/>
    <cellStyle name="Currency 2 2 34" xfId="18474"/>
    <cellStyle name="Currency 2 2 35" xfId="18475"/>
    <cellStyle name="Currency 2 2 36" xfId="18476"/>
    <cellStyle name="Currency 2 2 37" xfId="18477"/>
    <cellStyle name="Currency 2 2 38" xfId="18478"/>
    <cellStyle name="Currency 2 2 39" xfId="18479"/>
    <cellStyle name="Currency 2 2 4" xfId="18480"/>
    <cellStyle name="Currency 2 2 4 2" xfId="18481"/>
    <cellStyle name="Currency 2 2 4 3" xfId="18482"/>
    <cellStyle name="Currency 2 2 40" xfId="18483"/>
    <cellStyle name="Currency 2 2 41" xfId="18484"/>
    <cellStyle name="Currency 2 2 42" xfId="18485"/>
    <cellStyle name="Currency 2 2 43" xfId="18486"/>
    <cellStyle name="Currency 2 2 44" xfId="18487"/>
    <cellStyle name="Currency 2 2 45" xfId="18488"/>
    <cellStyle name="Currency 2 2 46" xfId="18489"/>
    <cellStyle name="Currency 2 2 47" xfId="18490"/>
    <cellStyle name="Currency 2 2 48" xfId="18491"/>
    <cellStyle name="Currency 2 2 49" xfId="18492"/>
    <cellStyle name="Currency 2 2 5" xfId="18493"/>
    <cellStyle name="Currency 2 2 5 2" xfId="18494"/>
    <cellStyle name="Currency 2 2 5 3" xfId="18495"/>
    <cellStyle name="Currency 2 2 50" xfId="18496"/>
    <cellStyle name="Currency 2 2 51" xfId="18497"/>
    <cellStyle name="Currency 2 2 52" xfId="18498"/>
    <cellStyle name="Currency 2 2 6" xfId="18499"/>
    <cellStyle name="Currency 2 2 6 2" xfId="18500"/>
    <cellStyle name="Currency 2 2 6 3" xfId="18501"/>
    <cellStyle name="Currency 2 2 7" xfId="18502"/>
    <cellStyle name="Currency 2 2 7 2" xfId="18503"/>
    <cellStyle name="Currency 2 2 7 3" xfId="18504"/>
    <cellStyle name="Currency 2 2 8" xfId="18505"/>
    <cellStyle name="Currency 2 2 8 2" xfId="18506"/>
    <cellStyle name="Currency 2 2 8 3" xfId="18507"/>
    <cellStyle name="Currency 2 2 9" xfId="18508"/>
    <cellStyle name="Currency 2 2 9 2" xfId="18509"/>
    <cellStyle name="Currency 2 20" xfId="18510"/>
    <cellStyle name="Currency 2 20 2" xfId="18511"/>
    <cellStyle name="Currency 2 20 3" xfId="18512"/>
    <cellStyle name="Currency 2 20 4" xfId="18513"/>
    <cellStyle name="Currency 2 20 5" xfId="18514"/>
    <cellStyle name="Currency 2 20 6" xfId="18515"/>
    <cellStyle name="Currency 2 20 7" xfId="18516"/>
    <cellStyle name="Currency 2 21" xfId="18517"/>
    <cellStyle name="Currency 2 21 2" xfId="18518"/>
    <cellStyle name="Currency 2 21 3" xfId="18519"/>
    <cellStyle name="Currency 2 21 4" xfId="18520"/>
    <cellStyle name="Currency 2 21 5" xfId="18521"/>
    <cellStyle name="Currency 2 21 6" xfId="18522"/>
    <cellStyle name="Currency 2 22" xfId="18523"/>
    <cellStyle name="Currency 2 22 2" xfId="18524"/>
    <cellStyle name="Currency 2 22 3" xfId="18525"/>
    <cellStyle name="Currency 2 22 4" xfId="18526"/>
    <cellStyle name="Currency 2 22 5" xfId="18527"/>
    <cellStyle name="Currency 2 22 6" xfId="18528"/>
    <cellStyle name="Currency 2 23" xfId="18529"/>
    <cellStyle name="Currency 2 23 2" xfId="18530"/>
    <cellStyle name="Currency 2 23 3" xfId="18531"/>
    <cellStyle name="Currency 2 23 4" xfId="18532"/>
    <cellStyle name="Currency 2 23 5" xfId="18533"/>
    <cellStyle name="Currency 2 23 6" xfId="18534"/>
    <cellStyle name="Currency 2 24" xfId="18535"/>
    <cellStyle name="Currency 2 24 2" xfId="18536"/>
    <cellStyle name="Currency 2 24 3" xfId="18537"/>
    <cellStyle name="Currency 2 24 4" xfId="18538"/>
    <cellStyle name="Currency 2 24 5" xfId="18539"/>
    <cellStyle name="Currency 2 24 6" xfId="18540"/>
    <cellStyle name="Currency 2 25" xfId="18541"/>
    <cellStyle name="Currency 2 25 2" xfId="18542"/>
    <cellStyle name="Currency 2 25 3" xfId="18543"/>
    <cellStyle name="Currency 2 25 4" xfId="18544"/>
    <cellStyle name="Currency 2 25 5" xfId="18545"/>
    <cellStyle name="Currency 2 25 6" xfId="18546"/>
    <cellStyle name="Currency 2 26" xfId="18547"/>
    <cellStyle name="Currency 2 26 2" xfId="18548"/>
    <cellStyle name="Currency 2 26 3" xfId="18549"/>
    <cellStyle name="Currency 2 26 4" xfId="18550"/>
    <cellStyle name="Currency 2 26 5" xfId="18551"/>
    <cellStyle name="Currency 2 26 6" xfId="18552"/>
    <cellStyle name="Currency 2 27" xfId="18553"/>
    <cellStyle name="Currency 2 27 2" xfId="18554"/>
    <cellStyle name="Currency 2 27 3" xfId="18555"/>
    <cellStyle name="Currency 2 27 4" xfId="18556"/>
    <cellStyle name="Currency 2 27 5" xfId="18557"/>
    <cellStyle name="Currency 2 27 6" xfId="18558"/>
    <cellStyle name="Currency 2 28" xfId="18559"/>
    <cellStyle name="Currency 2 28 2" xfId="18560"/>
    <cellStyle name="Currency 2 28 3" xfId="18561"/>
    <cellStyle name="Currency 2 28 4" xfId="18562"/>
    <cellStyle name="Currency 2 28 5" xfId="18563"/>
    <cellStyle name="Currency 2 28 6" xfId="18564"/>
    <cellStyle name="Currency 2 29" xfId="18565"/>
    <cellStyle name="Currency 2 29 2" xfId="18566"/>
    <cellStyle name="Currency 2 29 3" xfId="18567"/>
    <cellStyle name="Currency 2 29 4" xfId="18568"/>
    <cellStyle name="Currency 2 29 5" xfId="18569"/>
    <cellStyle name="Currency 2 29 6" xfId="18570"/>
    <cellStyle name="Currency 2 3" xfId="18571"/>
    <cellStyle name="Currency 2 3 2" xfId="18572"/>
    <cellStyle name="Currency 2 3 2 2" xfId="18573"/>
    <cellStyle name="Currency 2 3 3" xfId="18574"/>
    <cellStyle name="Currency 2 3 4" xfId="18575"/>
    <cellStyle name="Currency 2 3 5" xfId="18576"/>
    <cellStyle name="Currency 2 3 6" xfId="18577"/>
    <cellStyle name="Currency 2 3 7" xfId="18578"/>
    <cellStyle name="Currency 2 30" xfId="18579"/>
    <cellStyle name="Currency 2 30 2" xfId="18580"/>
    <cellStyle name="Currency 2 30 3" xfId="18581"/>
    <cellStyle name="Currency 2 30 4" xfId="18582"/>
    <cellStyle name="Currency 2 30 5" xfId="18583"/>
    <cellStyle name="Currency 2 30 6" xfId="18584"/>
    <cellStyle name="Currency 2 31" xfId="18585"/>
    <cellStyle name="Currency 2 31 2" xfId="18586"/>
    <cellStyle name="Currency 2 31 3" xfId="18587"/>
    <cellStyle name="Currency 2 31 4" xfId="18588"/>
    <cellStyle name="Currency 2 31 5" xfId="18589"/>
    <cellStyle name="Currency 2 31 6" xfId="18590"/>
    <cellStyle name="Currency 2 32" xfId="18591"/>
    <cellStyle name="Currency 2 32 2" xfId="18592"/>
    <cellStyle name="Currency 2 32 3" xfId="18593"/>
    <cellStyle name="Currency 2 32 4" xfId="18594"/>
    <cellStyle name="Currency 2 32 5" xfId="18595"/>
    <cellStyle name="Currency 2 32 6" xfId="18596"/>
    <cellStyle name="Currency 2 33" xfId="18597"/>
    <cellStyle name="Currency 2 33 2" xfId="18598"/>
    <cellStyle name="Currency 2 33 3" xfId="18599"/>
    <cellStyle name="Currency 2 33 4" xfId="18600"/>
    <cellStyle name="Currency 2 33 5" xfId="18601"/>
    <cellStyle name="Currency 2 33 6" xfId="18602"/>
    <cellStyle name="Currency 2 34" xfId="18603"/>
    <cellStyle name="Currency 2 34 2" xfId="18604"/>
    <cellStyle name="Currency 2 34 3" xfId="18605"/>
    <cellStyle name="Currency 2 34 4" xfId="18606"/>
    <cellStyle name="Currency 2 34 5" xfId="18607"/>
    <cellStyle name="Currency 2 34 6" xfId="18608"/>
    <cellStyle name="Currency 2 35" xfId="18609"/>
    <cellStyle name="Currency 2 35 2" xfId="18610"/>
    <cellStyle name="Currency 2 35 3" xfId="18611"/>
    <cellStyle name="Currency 2 35 4" xfId="18612"/>
    <cellStyle name="Currency 2 35 5" xfId="18613"/>
    <cellStyle name="Currency 2 35 6" xfId="18614"/>
    <cellStyle name="Currency 2 36" xfId="18615"/>
    <cellStyle name="Currency 2 36 2" xfId="18616"/>
    <cellStyle name="Currency 2 36 3" xfId="18617"/>
    <cellStyle name="Currency 2 36 4" xfId="18618"/>
    <cellStyle name="Currency 2 36 5" xfId="18619"/>
    <cellStyle name="Currency 2 36 6" xfId="18620"/>
    <cellStyle name="Currency 2 37" xfId="18621"/>
    <cellStyle name="Currency 2 37 2" xfId="18622"/>
    <cellStyle name="Currency 2 37 3" xfId="18623"/>
    <cellStyle name="Currency 2 37 4" xfId="18624"/>
    <cellStyle name="Currency 2 37 5" xfId="18625"/>
    <cellStyle name="Currency 2 37 6" xfId="18626"/>
    <cellStyle name="Currency 2 38" xfId="18627"/>
    <cellStyle name="Currency 2 38 2" xfId="18628"/>
    <cellStyle name="Currency 2 38 3" xfId="18629"/>
    <cellStyle name="Currency 2 38 4" xfId="18630"/>
    <cellStyle name="Currency 2 38 5" xfId="18631"/>
    <cellStyle name="Currency 2 38 6" xfId="18632"/>
    <cellStyle name="Currency 2 39" xfId="18633"/>
    <cellStyle name="Currency 2 39 2" xfId="18634"/>
    <cellStyle name="Currency 2 39 3" xfId="18635"/>
    <cellStyle name="Currency 2 39 4" xfId="18636"/>
    <cellStyle name="Currency 2 39 5" xfId="18637"/>
    <cellStyle name="Currency 2 39 6" xfId="18638"/>
    <cellStyle name="Currency 2 4" xfId="18639"/>
    <cellStyle name="Currency 2 4 2" xfId="18640"/>
    <cellStyle name="Currency 2 4 3" xfId="18641"/>
    <cellStyle name="Currency 2 4 4" xfId="18642"/>
    <cellStyle name="Currency 2 4 5" xfId="18643"/>
    <cellStyle name="Currency 2 4 6" xfId="18644"/>
    <cellStyle name="Currency 2 4 7" xfId="18645"/>
    <cellStyle name="Currency 2 40" xfId="18646"/>
    <cellStyle name="Currency 2 40 2" xfId="18647"/>
    <cellStyle name="Currency 2 40 3" xfId="18648"/>
    <cellStyle name="Currency 2 40 4" xfId="18649"/>
    <cellStyle name="Currency 2 40 5" xfId="18650"/>
    <cellStyle name="Currency 2 40 6" xfId="18651"/>
    <cellStyle name="Currency 2 41" xfId="18652"/>
    <cellStyle name="Currency 2 41 2" xfId="18653"/>
    <cellStyle name="Currency 2 41 3" xfId="18654"/>
    <cellStyle name="Currency 2 41 4" xfId="18655"/>
    <cellStyle name="Currency 2 41 5" xfId="18656"/>
    <cellStyle name="Currency 2 41 6" xfId="18657"/>
    <cellStyle name="Currency 2 42" xfId="18658"/>
    <cellStyle name="Currency 2 42 2" xfId="18659"/>
    <cellStyle name="Currency 2 42 3" xfId="18660"/>
    <cellStyle name="Currency 2 42 4" xfId="18661"/>
    <cellStyle name="Currency 2 42 5" xfId="18662"/>
    <cellStyle name="Currency 2 42 6" xfId="18663"/>
    <cellStyle name="Currency 2 43" xfId="18664"/>
    <cellStyle name="Currency 2 43 2" xfId="18665"/>
    <cellStyle name="Currency 2 43 3" xfId="18666"/>
    <cellStyle name="Currency 2 43 4" xfId="18667"/>
    <cellStyle name="Currency 2 43 5" xfId="18668"/>
    <cellStyle name="Currency 2 43 6" xfId="18669"/>
    <cellStyle name="Currency 2 44" xfId="18670"/>
    <cellStyle name="Currency 2 44 2" xfId="18671"/>
    <cellStyle name="Currency 2 44 3" xfId="18672"/>
    <cellStyle name="Currency 2 44 4" xfId="18673"/>
    <cellStyle name="Currency 2 44 5" xfId="18674"/>
    <cellStyle name="Currency 2 44 6" xfId="18675"/>
    <cellStyle name="Currency 2 45" xfId="18676"/>
    <cellStyle name="Currency 2 45 2" xfId="18677"/>
    <cellStyle name="Currency 2 45 3" xfId="18678"/>
    <cellStyle name="Currency 2 45 4" xfId="18679"/>
    <cellStyle name="Currency 2 45 5" xfId="18680"/>
    <cellStyle name="Currency 2 45 6" xfId="18681"/>
    <cellStyle name="Currency 2 46" xfId="18682"/>
    <cellStyle name="Currency 2 46 2" xfId="18683"/>
    <cellStyle name="Currency 2 46 3" xfId="18684"/>
    <cellStyle name="Currency 2 46 4" xfId="18685"/>
    <cellStyle name="Currency 2 46 5" xfId="18686"/>
    <cellStyle name="Currency 2 46 6" xfId="18687"/>
    <cellStyle name="Currency 2 47" xfId="18688"/>
    <cellStyle name="Currency 2 47 2" xfId="18689"/>
    <cellStyle name="Currency 2 47 3" xfId="18690"/>
    <cellStyle name="Currency 2 47 4" xfId="18691"/>
    <cellStyle name="Currency 2 47 5" xfId="18692"/>
    <cellStyle name="Currency 2 47 6" xfId="18693"/>
    <cellStyle name="Currency 2 48" xfId="18694"/>
    <cellStyle name="Currency 2 48 2" xfId="18695"/>
    <cellStyle name="Currency 2 48 3" xfId="18696"/>
    <cellStyle name="Currency 2 48 4" xfId="18697"/>
    <cellStyle name="Currency 2 48 5" xfId="18698"/>
    <cellStyle name="Currency 2 48 6" xfId="18699"/>
    <cellStyle name="Currency 2 49" xfId="18700"/>
    <cellStyle name="Currency 2 49 2" xfId="18701"/>
    <cellStyle name="Currency 2 49 3" xfId="18702"/>
    <cellStyle name="Currency 2 49 4" xfId="18703"/>
    <cellStyle name="Currency 2 49 5" xfId="18704"/>
    <cellStyle name="Currency 2 49 6" xfId="18705"/>
    <cellStyle name="Currency 2 5" xfId="18706"/>
    <cellStyle name="Currency 2 5 2" xfId="18707"/>
    <cellStyle name="Currency 2 5 3" xfId="18708"/>
    <cellStyle name="Currency 2 5 4" xfId="18709"/>
    <cellStyle name="Currency 2 5 5" xfId="18710"/>
    <cellStyle name="Currency 2 5 6" xfId="18711"/>
    <cellStyle name="Currency 2 5 7" xfId="18712"/>
    <cellStyle name="Currency 2 50" xfId="18713"/>
    <cellStyle name="Currency 2 50 2" xfId="18714"/>
    <cellStyle name="Currency 2 50 3" xfId="18715"/>
    <cellStyle name="Currency 2 50 4" xfId="18716"/>
    <cellStyle name="Currency 2 50 5" xfId="18717"/>
    <cellStyle name="Currency 2 50 6" xfId="18718"/>
    <cellStyle name="Currency 2 51" xfId="18719"/>
    <cellStyle name="Currency 2 51 2" xfId="18720"/>
    <cellStyle name="Currency 2 51 3" xfId="18721"/>
    <cellStyle name="Currency 2 51 4" xfId="18722"/>
    <cellStyle name="Currency 2 51 5" xfId="18723"/>
    <cellStyle name="Currency 2 51 6" xfId="18724"/>
    <cellStyle name="Currency 2 52" xfId="18725"/>
    <cellStyle name="Currency 2 52 2" xfId="18726"/>
    <cellStyle name="Currency 2 52 3" xfId="18727"/>
    <cellStyle name="Currency 2 52 4" xfId="18728"/>
    <cellStyle name="Currency 2 52 5" xfId="18729"/>
    <cellStyle name="Currency 2 52 6" xfId="18730"/>
    <cellStyle name="Currency 2 53" xfId="18731"/>
    <cellStyle name="Currency 2 53 2" xfId="18732"/>
    <cellStyle name="Currency 2 53 3" xfId="18733"/>
    <cellStyle name="Currency 2 53 4" xfId="18734"/>
    <cellStyle name="Currency 2 53 5" xfId="18735"/>
    <cellStyle name="Currency 2 53 6" xfId="18736"/>
    <cellStyle name="Currency 2 54" xfId="18737"/>
    <cellStyle name="Currency 2 54 2" xfId="18738"/>
    <cellStyle name="Currency 2 54 3" xfId="18739"/>
    <cellStyle name="Currency 2 54 4" xfId="18740"/>
    <cellStyle name="Currency 2 54 5" xfId="18741"/>
    <cellStyle name="Currency 2 54 6" xfId="18742"/>
    <cellStyle name="Currency 2 55" xfId="18743"/>
    <cellStyle name="Currency 2 55 2" xfId="18744"/>
    <cellStyle name="Currency 2 55 3" xfId="18745"/>
    <cellStyle name="Currency 2 55 4" xfId="18746"/>
    <cellStyle name="Currency 2 55 5" xfId="18747"/>
    <cellStyle name="Currency 2 55 6" xfId="18748"/>
    <cellStyle name="Currency 2 56" xfId="18749"/>
    <cellStyle name="Currency 2 6" xfId="18750"/>
    <cellStyle name="Currency 2 6 2" xfId="18751"/>
    <cellStyle name="Currency 2 6 3" xfId="18752"/>
    <cellStyle name="Currency 2 6 4" xfId="18753"/>
    <cellStyle name="Currency 2 6 5" xfId="18754"/>
    <cellStyle name="Currency 2 6 6" xfId="18755"/>
    <cellStyle name="Currency 2 6 7" xfId="18756"/>
    <cellStyle name="Currency 2 7" xfId="18757"/>
    <cellStyle name="Currency 2 7 10" xfId="18758"/>
    <cellStyle name="Currency 2 7 2" xfId="18759"/>
    <cellStyle name="Currency 2 7 2 2" xfId="18760"/>
    <cellStyle name="Currency 2 7 2 2 2" xfId="18761"/>
    <cellStyle name="Currency 2 7 2 3" xfId="18762"/>
    <cellStyle name="Currency 2 7 2 4" xfId="18763"/>
    <cellStyle name="Currency 2 7 2 5" xfId="18764"/>
    <cellStyle name="Currency 2 7 2 6" xfId="18765"/>
    <cellStyle name="Currency 2 7 3" xfId="18766"/>
    <cellStyle name="Currency 2 7 3 2" xfId="18767"/>
    <cellStyle name="Currency 2 7 3 3" xfId="18768"/>
    <cellStyle name="Currency 2 7 3 4" xfId="18769"/>
    <cellStyle name="Currency 2 7 3 5" xfId="18770"/>
    <cellStyle name="Currency 2 7 4" xfId="18771"/>
    <cellStyle name="Currency 2 7 4 2" xfId="18772"/>
    <cellStyle name="Currency 2 7 4 3" xfId="18773"/>
    <cellStyle name="Currency 2 7 5" xfId="18774"/>
    <cellStyle name="Currency 2 7 5 2" xfId="18775"/>
    <cellStyle name="Currency 2 7 6" xfId="18776"/>
    <cellStyle name="Currency 2 7 6 2" xfId="18777"/>
    <cellStyle name="Currency 2 7 7" xfId="18778"/>
    <cellStyle name="Currency 2 7 7 2" xfId="18779"/>
    <cellStyle name="Currency 2 7 8" xfId="18780"/>
    <cellStyle name="Currency 2 7 9" xfId="18781"/>
    <cellStyle name="Currency 2 8" xfId="18782"/>
    <cellStyle name="Currency 2 8 2" xfId="18783"/>
    <cellStyle name="Currency 2 8 2 2" xfId="18784"/>
    <cellStyle name="Currency 2 8 3" xfId="18785"/>
    <cellStyle name="Currency 2 8 3 2" xfId="18786"/>
    <cellStyle name="Currency 2 8 4" xfId="18787"/>
    <cellStyle name="Currency 2 8 5" xfId="18788"/>
    <cellStyle name="Currency 2 8 6" xfId="18789"/>
    <cellStyle name="Currency 2 8 7" xfId="18790"/>
    <cellStyle name="Currency 2 9" xfId="18791"/>
    <cellStyle name="Currency 2 9 2" xfId="18792"/>
    <cellStyle name="Currency 2 9 3" xfId="18793"/>
    <cellStyle name="Currency 2 9 4" xfId="18794"/>
    <cellStyle name="Currency 2 9 5" xfId="18795"/>
    <cellStyle name="Currency 2 9 6" xfId="18796"/>
    <cellStyle name="Currency 2 9 7" xfId="18797"/>
    <cellStyle name="Currency 3" xfId="18798"/>
    <cellStyle name="Currency 3 10" xfId="18799"/>
    <cellStyle name="Currency 3 11" xfId="18800"/>
    <cellStyle name="Currency 3 12" xfId="18801"/>
    <cellStyle name="Currency 3 13" xfId="18802"/>
    <cellStyle name="Currency 3 14" xfId="18803"/>
    <cellStyle name="Currency 3 15" xfId="18804"/>
    <cellStyle name="Currency 3 16" xfId="18805"/>
    <cellStyle name="Currency 3 17" xfId="18806"/>
    <cellStyle name="Currency 3 18" xfId="18807"/>
    <cellStyle name="Currency 3 19" xfId="18808"/>
    <cellStyle name="Currency 3 2" xfId="18809"/>
    <cellStyle name="Currency 3 2 2" xfId="18810"/>
    <cellStyle name="Currency 3 20" xfId="18811"/>
    <cellStyle name="Currency 3 21" xfId="18812"/>
    <cellStyle name="Currency 3 22" xfId="18813"/>
    <cellStyle name="Currency 3 23" xfId="18814"/>
    <cellStyle name="Currency 3 24" xfId="18815"/>
    <cellStyle name="Currency 3 25" xfId="18816"/>
    <cellStyle name="Currency 3 26" xfId="18817"/>
    <cellStyle name="Currency 3 27" xfId="18818"/>
    <cellStyle name="Currency 3 28" xfId="18819"/>
    <cellStyle name="Currency 3 29" xfId="18820"/>
    <cellStyle name="Currency 3 3" xfId="18821"/>
    <cellStyle name="Currency 3 30" xfId="18822"/>
    <cellStyle name="Currency 3 31" xfId="18823"/>
    <cellStyle name="Currency 3 32" xfId="18824"/>
    <cellStyle name="Currency 3 33" xfId="18825"/>
    <cellStyle name="Currency 3 34" xfId="18826"/>
    <cellStyle name="Currency 3 35" xfId="18827"/>
    <cellStyle name="Currency 3 36" xfId="18828"/>
    <cellStyle name="Currency 3 37" xfId="18829"/>
    <cellStyle name="Currency 3 38" xfId="18830"/>
    <cellStyle name="Currency 3 39" xfId="18831"/>
    <cellStyle name="Currency 3 4" xfId="18832"/>
    <cellStyle name="Currency 3 40" xfId="18833"/>
    <cellStyle name="Currency 3 5" xfId="18834"/>
    <cellStyle name="Currency 3 6" xfId="18835"/>
    <cellStyle name="Currency 3 7" xfId="18836"/>
    <cellStyle name="Currency 3 8" xfId="18837"/>
    <cellStyle name="Currency 3 9" xfId="18838"/>
    <cellStyle name="Currency 4" xfId="18839"/>
    <cellStyle name="Currency 4 10" xfId="18840"/>
    <cellStyle name="Currency 4 10 2" xfId="18841"/>
    <cellStyle name="Currency 4 10 2 2" xfId="18842"/>
    <cellStyle name="Currency 4 10 2 3" xfId="18843"/>
    <cellStyle name="Currency 4 10 3" xfId="18844"/>
    <cellStyle name="Currency 4 10 4" xfId="18845"/>
    <cellStyle name="Currency 4 10 5" xfId="18846"/>
    <cellStyle name="Currency 4 10 6" xfId="18847"/>
    <cellStyle name="Currency 4 11" xfId="18848"/>
    <cellStyle name="Currency 4 11 2" xfId="18849"/>
    <cellStyle name="Currency 4 11 2 2" xfId="18850"/>
    <cellStyle name="Currency 4 11 3" xfId="18851"/>
    <cellStyle name="Currency 4 11 4" xfId="18852"/>
    <cellStyle name="Currency 4 11 5" xfId="18853"/>
    <cellStyle name="Currency 4 12" xfId="18854"/>
    <cellStyle name="Currency 4 12 2" xfId="18855"/>
    <cellStyle name="Currency 4 12 3" xfId="18856"/>
    <cellStyle name="Currency 4 12 4" xfId="18857"/>
    <cellStyle name="Currency 4 13" xfId="18858"/>
    <cellStyle name="Currency 4 14" xfId="18859"/>
    <cellStyle name="Currency 4 15" xfId="18860"/>
    <cellStyle name="Currency 4 16" xfId="18861"/>
    <cellStyle name="Currency 4 2" xfId="18862"/>
    <cellStyle name="Currency 4 2 10" xfId="18863"/>
    <cellStyle name="Currency 4 2 2" xfId="18864"/>
    <cellStyle name="Currency 4 2 2 2" xfId="18865"/>
    <cellStyle name="Currency 4 2 2 2 2" xfId="18866"/>
    <cellStyle name="Currency 4 2 2 2 2 2" xfId="18867"/>
    <cellStyle name="Currency 4 2 2 2 2 3" xfId="18868"/>
    <cellStyle name="Currency 4 2 2 2 3" xfId="18869"/>
    <cellStyle name="Currency 4 2 2 2 4" xfId="18870"/>
    <cellStyle name="Currency 4 2 2 2 5" xfId="18871"/>
    <cellStyle name="Currency 4 2 2 2 6" xfId="18872"/>
    <cellStyle name="Currency 4 2 2 3" xfId="18873"/>
    <cellStyle name="Currency 4 2 2 3 2" xfId="18874"/>
    <cellStyle name="Currency 4 2 2 3 2 2" xfId="18875"/>
    <cellStyle name="Currency 4 2 2 3 3" xfId="18876"/>
    <cellStyle name="Currency 4 2 2 3 4" xfId="18877"/>
    <cellStyle name="Currency 4 2 2 3 5" xfId="18878"/>
    <cellStyle name="Currency 4 2 2 4" xfId="18879"/>
    <cellStyle name="Currency 4 2 2 4 2" xfId="18880"/>
    <cellStyle name="Currency 4 2 2 4 3" xfId="18881"/>
    <cellStyle name="Currency 4 2 2 4 4" xfId="18882"/>
    <cellStyle name="Currency 4 2 2 5" xfId="18883"/>
    <cellStyle name="Currency 4 2 2 5 2" xfId="18884"/>
    <cellStyle name="Currency 4 2 2 6" xfId="18885"/>
    <cellStyle name="Currency 4 2 2 7" xfId="18886"/>
    <cellStyle name="Currency 4 2 2 8" xfId="18887"/>
    <cellStyle name="Currency 4 2 2 9" xfId="18888"/>
    <cellStyle name="Currency 4 2 3" xfId="18889"/>
    <cellStyle name="Currency 4 2 3 2" xfId="18890"/>
    <cellStyle name="Currency 4 2 3 2 2" xfId="18891"/>
    <cellStyle name="Currency 4 2 3 2 3" xfId="18892"/>
    <cellStyle name="Currency 4 2 3 3" xfId="18893"/>
    <cellStyle name="Currency 4 2 3 4" xfId="18894"/>
    <cellStyle name="Currency 4 2 3 5" xfId="18895"/>
    <cellStyle name="Currency 4 2 3 6" xfId="18896"/>
    <cellStyle name="Currency 4 2 4" xfId="18897"/>
    <cellStyle name="Currency 4 2 4 2" xfId="18898"/>
    <cellStyle name="Currency 4 2 4 2 2" xfId="18899"/>
    <cellStyle name="Currency 4 2 4 3" xfId="18900"/>
    <cellStyle name="Currency 4 2 4 4" xfId="18901"/>
    <cellStyle name="Currency 4 2 4 5" xfId="18902"/>
    <cellStyle name="Currency 4 2 5" xfId="18903"/>
    <cellStyle name="Currency 4 2 5 2" xfId="18904"/>
    <cellStyle name="Currency 4 2 5 2 2" xfId="18905"/>
    <cellStyle name="Currency 4 2 5 3" xfId="18906"/>
    <cellStyle name="Currency 4 2 5 4" xfId="18907"/>
    <cellStyle name="Currency 4 2 5 5" xfId="18908"/>
    <cellStyle name="Currency 4 2 6" xfId="18909"/>
    <cellStyle name="Currency 4 2 6 2" xfId="18910"/>
    <cellStyle name="Currency 4 2 7" xfId="18911"/>
    <cellStyle name="Currency 4 2 8" xfId="18912"/>
    <cellStyle name="Currency 4 2 9" xfId="18913"/>
    <cellStyle name="Currency 4 3" xfId="18914"/>
    <cellStyle name="Currency 4 3 10" xfId="18915"/>
    <cellStyle name="Currency 4 3 2" xfId="18916"/>
    <cellStyle name="Currency 4 3 2 2" xfId="18917"/>
    <cellStyle name="Currency 4 3 2 2 2" xfId="18918"/>
    <cellStyle name="Currency 4 3 2 2 2 2" xfId="18919"/>
    <cellStyle name="Currency 4 3 2 2 2 3" xfId="18920"/>
    <cellStyle name="Currency 4 3 2 2 3" xfId="18921"/>
    <cellStyle name="Currency 4 3 2 2 4" xfId="18922"/>
    <cellStyle name="Currency 4 3 2 2 5" xfId="18923"/>
    <cellStyle name="Currency 4 3 2 2 6" xfId="18924"/>
    <cellStyle name="Currency 4 3 2 3" xfId="18925"/>
    <cellStyle name="Currency 4 3 2 3 2" xfId="18926"/>
    <cellStyle name="Currency 4 3 2 3 2 2" xfId="18927"/>
    <cellStyle name="Currency 4 3 2 3 3" xfId="18928"/>
    <cellStyle name="Currency 4 3 2 3 4" xfId="18929"/>
    <cellStyle name="Currency 4 3 2 3 5" xfId="18930"/>
    <cellStyle name="Currency 4 3 2 4" xfId="18931"/>
    <cellStyle name="Currency 4 3 2 4 2" xfId="18932"/>
    <cellStyle name="Currency 4 3 2 4 3" xfId="18933"/>
    <cellStyle name="Currency 4 3 2 4 4" xfId="18934"/>
    <cellStyle name="Currency 4 3 2 5" xfId="18935"/>
    <cellStyle name="Currency 4 3 2 5 2" xfId="18936"/>
    <cellStyle name="Currency 4 3 2 6" xfId="18937"/>
    <cellStyle name="Currency 4 3 2 7" xfId="18938"/>
    <cellStyle name="Currency 4 3 2 8" xfId="18939"/>
    <cellStyle name="Currency 4 3 2 9" xfId="18940"/>
    <cellStyle name="Currency 4 3 3" xfId="18941"/>
    <cellStyle name="Currency 4 3 3 2" xfId="18942"/>
    <cellStyle name="Currency 4 3 3 2 2" xfId="18943"/>
    <cellStyle name="Currency 4 3 3 2 3" xfId="18944"/>
    <cellStyle name="Currency 4 3 3 3" xfId="18945"/>
    <cellStyle name="Currency 4 3 3 4" xfId="18946"/>
    <cellStyle name="Currency 4 3 3 5" xfId="18947"/>
    <cellStyle name="Currency 4 3 3 6" xfId="18948"/>
    <cellStyle name="Currency 4 3 4" xfId="18949"/>
    <cellStyle name="Currency 4 3 4 2" xfId="18950"/>
    <cellStyle name="Currency 4 3 4 2 2" xfId="18951"/>
    <cellStyle name="Currency 4 3 4 3" xfId="18952"/>
    <cellStyle name="Currency 4 3 4 4" xfId="18953"/>
    <cellStyle name="Currency 4 3 4 5" xfId="18954"/>
    <cellStyle name="Currency 4 3 5" xfId="18955"/>
    <cellStyle name="Currency 4 3 5 2" xfId="18956"/>
    <cellStyle name="Currency 4 3 5 2 2" xfId="18957"/>
    <cellStyle name="Currency 4 3 5 3" xfId="18958"/>
    <cellStyle name="Currency 4 3 5 4" xfId="18959"/>
    <cellStyle name="Currency 4 3 5 5" xfId="18960"/>
    <cellStyle name="Currency 4 3 6" xfId="18961"/>
    <cellStyle name="Currency 4 3 6 2" xfId="18962"/>
    <cellStyle name="Currency 4 3 7" xfId="18963"/>
    <cellStyle name="Currency 4 3 8" xfId="18964"/>
    <cellStyle name="Currency 4 3 9" xfId="18965"/>
    <cellStyle name="Currency 4 4" xfId="18966"/>
    <cellStyle name="Currency 4 4 10" xfId="18967"/>
    <cellStyle name="Currency 4 4 2" xfId="18968"/>
    <cellStyle name="Currency 4 4 2 2" xfId="18969"/>
    <cellStyle name="Currency 4 4 2 2 2" xfId="18970"/>
    <cellStyle name="Currency 4 4 2 2 2 2" xfId="18971"/>
    <cellStyle name="Currency 4 4 2 2 2 3" xfId="18972"/>
    <cellStyle name="Currency 4 4 2 2 3" xfId="18973"/>
    <cellStyle name="Currency 4 4 2 2 4" xfId="18974"/>
    <cellStyle name="Currency 4 4 2 2 5" xfId="18975"/>
    <cellStyle name="Currency 4 4 2 2 6" xfId="18976"/>
    <cellStyle name="Currency 4 4 2 3" xfId="18977"/>
    <cellStyle name="Currency 4 4 2 3 2" xfId="18978"/>
    <cellStyle name="Currency 4 4 2 3 2 2" xfId="18979"/>
    <cellStyle name="Currency 4 4 2 3 3" xfId="18980"/>
    <cellStyle name="Currency 4 4 2 3 4" xfId="18981"/>
    <cellStyle name="Currency 4 4 2 3 5" xfId="18982"/>
    <cellStyle name="Currency 4 4 2 4" xfId="18983"/>
    <cellStyle name="Currency 4 4 2 4 2" xfId="18984"/>
    <cellStyle name="Currency 4 4 2 4 3" xfId="18985"/>
    <cellStyle name="Currency 4 4 2 4 4" xfId="18986"/>
    <cellStyle name="Currency 4 4 2 5" xfId="18987"/>
    <cellStyle name="Currency 4 4 2 5 2" xfId="18988"/>
    <cellStyle name="Currency 4 4 2 6" xfId="18989"/>
    <cellStyle name="Currency 4 4 2 7" xfId="18990"/>
    <cellStyle name="Currency 4 4 2 8" xfId="18991"/>
    <cellStyle name="Currency 4 4 2 9" xfId="18992"/>
    <cellStyle name="Currency 4 4 3" xfId="18993"/>
    <cellStyle name="Currency 4 4 3 2" xfId="18994"/>
    <cellStyle name="Currency 4 4 3 2 2" xfId="18995"/>
    <cellStyle name="Currency 4 4 3 2 3" xfId="18996"/>
    <cellStyle name="Currency 4 4 3 3" xfId="18997"/>
    <cellStyle name="Currency 4 4 3 4" xfId="18998"/>
    <cellStyle name="Currency 4 4 3 5" xfId="18999"/>
    <cellStyle name="Currency 4 4 3 6" xfId="19000"/>
    <cellStyle name="Currency 4 4 4" xfId="19001"/>
    <cellStyle name="Currency 4 4 4 2" xfId="19002"/>
    <cellStyle name="Currency 4 4 4 2 2" xfId="19003"/>
    <cellStyle name="Currency 4 4 4 3" xfId="19004"/>
    <cellStyle name="Currency 4 4 4 4" xfId="19005"/>
    <cellStyle name="Currency 4 4 4 5" xfId="19006"/>
    <cellStyle name="Currency 4 4 5" xfId="19007"/>
    <cellStyle name="Currency 4 4 5 2" xfId="19008"/>
    <cellStyle name="Currency 4 4 5 2 2" xfId="19009"/>
    <cellStyle name="Currency 4 4 5 3" xfId="19010"/>
    <cellStyle name="Currency 4 4 5 4" xfId="19011"/>
    <cellStyle name="Currency 4 4 5 5" xfId="19012"/>
    <cellStyle name="Currency 4 4 6" xfId="19013"/>
    <cellStyle name="Currency 4 4 6 2" xfId="19014"/>
    <cellStyle name="Currency 4 4 7" xfId="19015"/>
    <cellStyle name="Currency 4 4 8" xfId="19016"/>
    <cellStyle name="Currency 4 4 9" xfId="19017"/>
    <cellStyle name="Currency 4 5" xfId="19018"/>
    <cellStyle name="Currency 4 5 10" xfId="19019"/>
    <cellStyle name="Currency 4 5 2" xfId="19020"/>
    <cellStyle name="Currency 4 5 2 2" xfId="19021"/>
    <cellStyle name="Currency 4 5 2 2 2" xfId="19022"/>
    <cellStyle name="Currency 4 5 2 2 2 2" xfId="19023"/>
    <cellStyle name="Currency 4 5 2 2 2 3" xfId="19024"/>
    <cellStyle name="Currency 4 5 2 2 3" xfId="19025"/>
    <cellStyle name="Currency 4 5 2 2 4" xfId="19026"/>
    <cellStyle name="Currency 4 5 2 2 5" xfId="19027"/>
    <cellStyle name="Currency 4 5 2 2 6" xfId="19028"/>
    <cellStyle name="Currency 4 5 2 3" xfId="19029"/>
    <cellStyle name="Currency 4 5 2 3 2" xfId="19030"/>
    <cellStyle name="Currency 4 5 2 3 2 2" xfId="19031"/>
    <cellStyle name="Currency 4 5 2 3 3" xfId="19032"/>
    <cellStyle name="Currency 4 5 2 3 4" xfId="19033"/>
    <cellStyle name="Currency 4 5 2 3 5" xfId="19034"/>
    <cellStyle name="Currency 4 5 2 4" xfId="19035"/>
    <cellStyle name="Currency 4 5 2 4 2" xfId="19036"/>
    <cellStyle name="Currency 4 5 2 4 3" xfId="19037"/>
    <cellStyle name="Currency 4 5 2 4 4" xfId="19038"/>
    <cellStyle name="Currency 4 5 2 5" xfId="19039"/>
    <cellStyle name="Currency 4 5 2 5 2" xfId="19040"/>
    <cellStyle name="Currency 4 5 2 6" xfId="19041"/>
    <cellStyle name="Currency 4 5 2 7" xfId="19042"/>
    <cellStyle name="Currency 4 5 2 8" xfId="19043"/>
    <cellStyle name="Currency 4 5 2 9" xfId="19044"/>
    <cellStyle name="Currency 4 5 3" xfId="19045"/>
    <cellStyle name="Currency 4 5 3 2" xfId="19046"/>
    <cellStyle name="Currency 4 5 3 2 2" xfId="19047"/>
    <cellStyle name="Currency 4 5 3 2 3" xfId="19048"/>
    <cellStyle name="Currency 4 5 3 3" xfId="19049"/>
    <cellStyle name="Currency 4 5 3 4" xfId="19050"/>
    <cellStyle name="Currency 4 5 3 5" xfId="19051"/>
    <cellStyle name="Currency 4 5 3 6" xfId="19052"/>
    <cellStyle name="Currency 4 5 4" xfId="19053"/>
    <cellStyle name="Currency 4 5 4 2" xfId="19054"/>
    <cellStyle name="Currency 4 5 4 2 2" xfId="19055"/>
    <cellStyle name="Currency 4 5 4 3" xfId="19056"/>
    <cellStyle name="Currency 4 5 4 4" xfId="19057"/>
    <cellStyle name="Currency 4 5 4 5" xfId="19058"/>
    <cellStyle name="Currency 4 5 5" xfId="19059"/>
    <cellStyle name="Currency 4 5 5 2" xfId="19060"/>
    <cellStyle name="Currency 4 5 5 2 2" xfId="19061"/>
    <cellStyle name="Currency 4 5 5 3" xfId="19062"/>
    <cellStyle name="Currency 4 5 5 4" xfId="19063"/>
    <cellStyle name="Currency 4 5 5 5" xfId="19064"/>
    <cellStyle name="Currency 4 5 6" xfId="19065"/>
    <cellStyle name="Currency 4 5 6 2" xfId="19066"/>
    <cellStyle name="Currency 4 5 7" xfId="19067"/>
    <cellStyle name="Currency 4 5 8" xfId="19068"/>
    <cellStyle name="Currency 4 5 9" xfId="19069"/>
    <cellStyle name="Currency 4 6" xfId="19070"/>
    <cellStyle name="Currency 4 6 10" xfId="19071"/>
    <cellStyle name="Currency 4 6 2" xfId="19072"/>
    <cellStyle name="Currency 4 6 2 2" xfId="19073"/>
    <cellStyle name="Currency 4 6 2 2 2" xfId="19074"/>
    <cellStyle name="Currency 4 6 2 2 2 2" xfId="19075"/>
    <cellStyle name="Currency 4 6 2 2 2 3" xfId="19076"/>
    <cellStyle name="Currency 4 6 2 2 3" xfId="19077"/>
    <cellStyle name="Currency 4 6 2 2 4" xfId="19078"/>
    <cellStyle name="Currency 4 6 2 2 5" xfId="19079"/>
    <cellStyle name="Currency 4 6 2 2 6" xfId="19080"/>
    <cellStyle name="Currency 4 6 2 3" xfId="19081"/>
    <cellStyle name="Currency 4 6 2 3 2" xfId="19082"/>
    <cellStyle name="Currency 4 6 2 3 2 2" xfId="19083"/>
    <cellStyle name="Currency 4 6 2 3 3" xfId="19084"/>
    <cellStyle name="Currency 4 6 2 3 4" xfId="19085"/>
    <cellStyle name="Currency 4 6 2 3 5" xfId="19086"/>
    <cellStyle name="Currency 4 6 2 4" xfId="19087"/>
    <cellStyle name="Currency 4 6 2 4 2" xfId="19088"/>
    <cellStyle name="Currency 4 6 2 4 3" xfId="19089"/>
    <cellStyle name="Currency 4 6 2 4 4" xfId="19090"/>
    <cellStyle name="Currency 4 6 2 5" xfId="19091"/>
    <cellStyle name="Currency 4 6 2 5 2" xfId="19092"/>
    <cellStyle name="Currency 4 6 2 6" xfId="19093"/>
    <cellStyle name="Currency 4 6 2 7" xfId="19094"/>
    <cellStyle name="Currency 4 6 2 8" xfId="19095"/>
    <cellStyle name="Currency 4 6 2 9" xfId="19096"/>
    <cellStyle name="Currency 4 6 3" xfId="19097"/>
    <cellStyle name="Currency 4 6 3 2" xfId="19098"/>
    <cellStyle name="Currency 4 6 3 2 2" xfId="19099"/>
    <cellStyle name="Currency 4 6 3 2 3" xfId="19100"/>
    <cellStyle name="Currency 4 6 3 3" xfId="19101"/>
    <cellStyle name="Currency 4 6 3 4" xfId="19102"/>
    <cellStyle name="Currency 4 6 3 5" xfId="19103"/>
    <cellStyle name="Currency 4 6 3 6" xfId="19104"/>
    <cellStyle name="Currency 4 6 4" xfId="19105"/>
    <cellStyle name="Currency 4 6 4 2" xfId="19106"/>
    <cellStyle name="Currency 4 6 4 2 2" xfId="19107"/>
    <cellStyle name="Currency 4 6 4 3" xfId="19108"/>
    <cellStyle name="Currency 4 6 4 4" xfId="19109"/>
    <cellStyle name="Currency 4 6 4 5" xfId="19110"/>
    <cellStyle name="Currency 4 6 5" xfId="19111"/>
    <cellStyle name="Currency 4 6 5 2" xfId="19112"/>
    <cellStyle name="Currency 4 6 5 2 2" xfId="19113"/>
    <cellStyle name="Currency 4 6 5 3" xfId="19114"/>
    <cellStyle name="Currency 4 6 5 4" xfId="19115"/>
    <cellStyle name="Currency 4 6 5 5" xfId="19116"/>
    <cellStyle name="Currency 4 6 6" xfId="19117"/>
    <cellStyle name="Currency 4 6 6 2" xfId="19118"/>
    <cellStyle name="Currency 4 6 7" xfId="19119"/>
    <cellStyle name="Currency 4 6 8" xfId="19120"/>
    <cellStyle name="Currency 4 6 9" xfId="19121"/>
    <cellStyle name="Currency 4 7" xfId="19122"/>
    <cellStyle name="Currency 4 7 10" xfId="19123"/>
    <cellStyle name="Currency 4 7 2" xfId="19124"/>
    <cellStyle name="Currency 4 7 2 2" xfId="19125"/>
    <cellStyle name="Currency 4 7 2 2 2" xfId="19126"/>
    <cellStyle name="Currency 4 7 2 2 2 2" xfId="19127"/>
    <cellStyle name="Currency 4 7 2 2 2 3" xfId="19128"/>
    <cellStyle name="Currency 4 7 2 2 3" xfId="19129"/>
    <cellStyle name="Currency 4 7 2 2 4" xfId="19130"/>
    <cellStyle name="Currency 4 7 2 2 5" xfId="19131"/>
    <cellStyle name="Currency 4 7 2 2 6" xfId="19132"/>
    <cellStyle name="Currency 4 7 2 3" xfId="19133"/>
    <cellStyle name="Currency 4 7 2 3 2" xfId="19134"/>
    <cellStyle name="Currency 4 7 2 3 2 2" xfId="19135"/>
    <cellStyle name="Currency 4 7 2 3 3" xfId="19136"/>
    <cellStyle name="Currency 4 7 2 3 4" xfId="19137"/>
    <cellStyle name="Currency 4 7 2 3 5" xfId="19138"/>
    <cellStyle name="Currency 4 7 2 4" xfId="19139"/>
    <cellStyle name="Currency 4 7 2 4 2" xfId="19140"/>
    <cellStyle name="Currency 4 7 2 4 3" xfId="19141"/>
    <cellStyle name="Currency 4 7 2 4 4" xfId="19142"/>
    <cellStyle name="Currency 4 7 2 5" xfId="19143"/>
    <cellStyle name="Currency 4 7 2 5 2" xfId="19144"/>
    <cellStyle name="Currency 4 7 2 6" xfId="19145"/>
    <cellStyle name="Currency 4 7 2 7" xfId="19146"/>
    <cellStyle name="Currency 4 7 2 8" xfId="19147"/>
    <cellStyle name="Currency 4 7 2 9" xfId="19148"/>
    <cellStyle name="Currency 4 7 3" xfId="19149"/>
    <cellStyle name="Currency 4 7 3 2" xfId="19150"/>
    <cellStyle name="Currency 4 7 3 2 2" xfId="19151"/>
    <cellStyle name="Currency 4 7 3 2 3" xfId="19152"/>
    <cellStyle name="Currency 4 7 3 3" xfId="19153"/>
    <cellStyle name="Currency 4 7 3 4" xfId="19154"/>
    <cellStyle name="Currency 4 7 3 5" xfId="19155"/>
    <cellStyle name="Currency 4 7 3 6" xfId="19156"/>
    <cellStyle name="Currency 4 7 4" xfId="19157"/>
    <cellStyle name="Currency 4 7 4 2" xfId="19158"/>
    <cellStyle name="Currency 4 7 4 2 2" xfId="19159"/>
    <cellStyle name="Currency 4 7 4 3" xfId="19160"/>
    <cellStyle name="Currency 4 7 4 4" xfId="19161"/>
    <cellStyle name="Currency 4 7 4 5" xfId="19162"/>
    <cellStyle name="Currency 4 7 5" xfId="19163"/>
    <cellStyle name="Currency 4 7 5 2" xfId="19164"/>
    <cellStyle name="Currency 4 7 5 2 2" xfId="19165"/>
    <cellStyle name="Currency 4 7 5 3" xfId="19166"/>
    <cellStyle name="Currency 4 7 5 4" xfId="19167"/>
    <cellStyle name="Currency 4 7 5 5" xfId="19168"/>
    <cellStyle name="Currency 4 7 6" xfId="19169"/>
    <cellStyle name="Currency 4 7 6 2" xfId="19170"/>
    <cellStyle name="Currency 4 7 7" xfId="19171"/>
    <cellStyle name="Currency 4 7 8" xfId="19172"/>
    <cellStyle name="Currency 4 7 9" xfId="19173"/>
    <cellStyle name="Currency 4 8" xfId="19174"/>
    <cellStyle name="Currency 4 8 10" xfId="19175"/>
    <cellStyle name="Currency 4 8 2" xfId="19176"/>
    <cellStyle name="Currency 4 8 2 2" xfId="19177"/>
    <cellStyle name="Currency 4 8 2 2 2" xfId="19178"/>
    <cellStyle name="Currency 4 8 2 2 2 2" xfId="19179"/>
    <cellStyle name="Currency 4 8 2 2 2 3" xfId="19180"/>
    <cellStyle name="Currency 4 8 2 2 3" xfId="19181"/>
    <cellStyle name="Currency 4 8 2 2 4" xfId="19182"/>
    <cellStyle name="Currency 4 8 2 2 5" xfId="19183"/>
    <cellStyle name="Currency 4 8 2 2 6" xfId="19184"/>
    <cellStyle name="Currency 4 8 2 3" xfId="19185"/>
    <cellStyle name="Currency 4 8 2 3 2" xfId="19186"/>
    <cellStyle name="Currency 4 8 2 3 2 2" xfId="19187"/>
    <cellStyle name="Currency 4 8 2 3 3" xfId="19188"/>
    <cellStyle name="Currency 4 8 2 3 4" xfId="19189"/>
    <cellStyle name="Currency 4 8 2 3 5" xfId="19190"/>
    <cellStyle name="Currency 4 8 2 4" xfId="19191"/>
    <cellStyle name="Currency 4 8 2 4 2" xfId="19192"/>
    <cellStyle name="Currency 4 8 2 4 3" xfId="19193"/>
    <cellStyle name="Currency 4 8 2 4 4" xfId="19194"/>
    <cellStyle name="Currency 4 8 2 5" xfId="19195"/>
    <cellStyle name="Currency 4 8 2 5 2" xfId="19196"/>
    <cellStyle name="Currency 4 8 2 6" xfId="19197"/>
    <cellStyle name="Currency 4 8 2 7" xfId="19198"/>
    <cellStyle name="Currency 4 8 2 8" xfId="19199"/>
    <cellStyle name="Currency 4 8 2 9" xfId="19200"/>
    <cellStyle name="Currency 4 8 3" xfId="19201"/>
    <cellStyle name="Currency 4 8 3 2" xfId="19202"/>
    <cellStyle name="Currency 4 8 3 2 2" xfId="19203"/>
    <cellStyle name="Currency 4 8 3 2 3" xfId="19204"/>
    <cellStyle name="Currency 4 8 3 3" xfId="19205"/>
    <cellStyle name="Currency 4 8 3 4" xfId="19206"/>
    <cellStyle name="Currency 4 8 3 5" xfId="19207"/>
    <cellStyle name="Currency 4 8 3 6" xfId="19208"/>
    <cellStyle name="Currency 4 8 4" xfId="19209"/>
    <cellStyle name="Currency 4 8 4 2" xfId="19210"/>
    <cellStyle name="Currency 4 8 4 2 2" xfId="19211"/>
    <cellStyle name="Currency 4 8 4 3" xfId="19212"/>
    <cellStyle name="Currency 4 8 4 4" xfId="19213"/>
    <cellStyle name="Currency 4 8 4 5" xfId="19214"/>
    <cellStyle name="Currency 4 8 5" xfId="19215"/>
    <cellStyle name="Currency 4 8 5 2" xfId="19216"/>
    <cellStyle name="Currency 4 8 5 2 2" xfId="19217"/>
    <cellStyle name="Currency 4 8 5 3" xfId="19218"/>
    <cellStyle name="Currency 4 8 5 4" xfId="19219"/>
    <cellStyle name="Currency 4 8 5 5" xfId="19220"/>
    <cellStyle name="Currency 4 8 6" xfId="19221"/>
    <cellStyle name="Currency 4 8 6 2" xfId="19222"/>
    <cellStyle name="Currency 4 8 7" xfId="19223"/>
    <cellStyle name="Currency 4 8 8" xfId="19224"/>
    <cellStyle name="Currency 4 8 9" xfId="19225"/>
    <cellStyle name="Currency 4 9" xfId="19226"/>
    <cellStyle name="Currency 4 9 2" xfId="19227"/>
    <cellStyle name="Currency 4 9 2 2" xfId="19228"/>
    <cellStyle name="Currency 4 9 2 2 2" xfId="19229"/>
    <cellStyle name="Currency 4 9 2 2 3" xfId="19230"/>
    <cellStyle name="Currency 4 9 2 3" xfId="19231"/>
    <cellStyle name="Currency 4 9 2 4" xfId="19232"/>
    <cellStyle name="Currency 4 9 2 5" xfId="19233"/>
    <cellStyle name="Currency 4 9 2 6" xfId="19234"/>
    <cellStyle name="Currency 4 9 3" xfId="19235"/>
    <cellStyle name="Currency 4 9 3 2" xfId="19236"/>
    <cellStyle name="Currency 4 9 3 2 2" xfId="19237"/>
    <cellStyle name="Currency 4 9 3 3" xfId="19238"/>
    <cellStyle name="Currency 4 9 3 4" xfId="19239"/>
    <cellStyle name="Currency 4 9 3 5" xfId="19240"/>
    <cellStyle name="Currency 4 9 4" xfId="19241"/>
    <cellStyle name="Currency 4 9 4 2" xfId="19242"/>
    <cellStyle name="Currency 4 9 4 3" xfId="19243"/>
    <cellStyle name="Currency 4 9 4 4" xfId="19244"/>
    <cellStyle name="Currency 4 9 5" xfId="19245"/>
    <cellStyle name="Currency 4 9 5 2" xfId="19246"/>
    <cellStyle name="Currency 4 9 6" xfId="19247"/>
    <cellStyle name="Currency 4 9 7" xfId="19248"/>
    <cellStyle name="Currency 4 9 8" xfId="19249"/>
    <cellStyle name="Currency 4 9 9" xfId="19250"/>
    <cellStyle name="Currency 5" xfId="19251"/>
    <cellStyle name="Currency 5 10" xfId="19252"/>
    <cellStyle name="Currency 5 2" xfId="19253"/>
    <cellStyle name="Currency 5 2 2" xfId="19254"/>
    <cellStyle name="Currency 5 2 2 2" xfId="19255"/>
    <cellStyle name="Currency 5 2 2 2 2" xfId="19256"/>
    <cellStyle name="Currency 5 2 2 2 3" xfId="19257"/>
    <cellStyle name="Currency 5 2 2 3" xfId="19258"/>
    <cellStyle name="Currency 5 2 2 4" xfId="19259"/>
    <cellStyle name="Currency 5 2 2 5" xfId="19260"/>
    <cellStyle name="Currency 5 2 2 6" xfId="19261"/>
    <cellStyle name="Currency 5 2 3" xfId="19262"/>
    <cellStyle name="Currency 5 2 3 2" xfId="19263"/>
    <cellStyle name="Currency 5 2 3 2 2" xfId="19264"/>
    <cellStyle name="Currency 5 2 3 3" xfId="19265"/>
    <cellStyle name="Currency 5 2 3 4" xfId="19266"/>
    <cellStyle name="Currency 5 2 3 5" xfId="19267"/>
    <cellStyle name="Currency 5 2 4" xfId="19268"/>
    <cellStyle name="Currency 5 2 4 2" xfId="19269"/>
    <cellStyle name="Currency 5 2 4 3" xfId="19270"/>
    <cellStyle name="Currency 5 2 4 4" xfId="19271"/>
    <cellStyle name="Currency 5 2 5" xfId="19272"/>
    <cellStyle name="Currency 5 2 5 2" xfId="19273"/>
    <cellStyle name="Currency 5 2 6" xfId="19274"/>
    <cellStyle name="Currency 5 2 7" xfId="19275"/>
    <cellStyle name="Currency 5 2 8" xfId="19276"/>
    <cellStyle name="Currency 5 2 9" xfId="19277"/>
    <cellStyle name="Currency 5 3" xfId="19278"/>
    <cellStyle name="Currency 5 3 2" xfId="19279"/>
    <cellStyle name="Currency 5 3 2 2" xfId="19280"/>
    <cellStyle name="Currency 5 3 2 3" xfId="19281"/>
    <cellStyle name="Currency 5 3 3" xfId="19282"/>
    <cellStyle name="Currency 5 3 4" xfId="19283"/>
    <cellStyle name="Currency 5 3 5" xfId="19284"/>
    <cellStyle name="Currency 5 3 6" xfId="19285"/>
    <cellStyle name="Currency 5 4" xfId="19286"/>
    <cellStyle name="Currency 5 4 2" xfId="19287"/>
    <cellStyle name="Currency 5 4 2 2" xfId="19288"/>
    <cellStyle name="Currency 5 4 3" xfId="19289"/>
    <cellStyle name="Currency 5 4 4" xfId="19290"/>
    <cellStyle name="Currency 5 4 5" xfId="19291"/>
    <cellStyle name="Currency 5 5" xfId="19292"/>
    <cellStyle name="Currency 5 5 2" xfId="19293"/>
    <cellStyle name="Currency 5 5 3" xfId="19294"/>
    <cellStyle name="Currency 5 5 4" xfId="19295"/>
    <cellStyle name="Currency 5 6" xfId="19296"/>
    <cellStyle name="Currency 5 6 2" xfId="19297"/>
    <cellStyle name="Currency 5 7" xfId="19298"/>
    <cellStyle name="Currency 5 8" xfId="19299"/>
    <cellStyle name="Currency 5 9" xfId="19300"/>
    <cellStyle name="Currency 6" xfId="19301"/>
    <cellStyle name="Currency 6 2" xfId="19302"/>
    <cellStyle name="Currency 6 2 2" xfId="19303"/>
    <cellStyle name="Currency 6 2 2 2" xfId="19304"/>
    <cellStyle name="Currency 6 2 2 3" xfId="19305"/>
    <cellStyle name="Currency 6 2 3" xfId="19306"/>
    <cellStyle name="Currency 6 2 4" xfId="19307"/>
    <cellStyle name="Currency 6 2 5" xfId="19308"/>
    <cellStyle name="Currency 6 2 6" xfId="19309"/>
    <cellStyle name="Currency 6 3" xfId="19310"/>
    <cellStyle name="Currency 6 3 2" xfId="19311"/>
    <cellStyle name="Currency 6 3 2 2" xfId="19312"/>
    <cellStyle name="Currency 6 3 3" xfId="19313"/>
    <cellStyle name="Currency 6 3 4" xfId="19314"/>
    <cellStyle name="Currency 6 3 5" xfId="19315"/>
    <cellStyle name="Currency 6 4" xfId="19316"/>
    <cellStyle name="Currency 6 4 2" xfId="19317"/>
    <cellStyle name="Currency 6 4 3" xfId="19318"/>
    <cellStyle name="Currency 6 4 4" xfId="19319"/>
    <cellStyle name="Currency 6 5" xfId="19320"/>
    <cellStyle name="Currency 6 5 2" xfId="19321"/>
    <cellStyle name="Currency 6 6" xfId="19322"/>
    <cellStyle name="Currency 6 7" xfId="19323"/>
    <cellStyle name="Currency 6 8" xfId="19324"/>
    <cellStyle name="Currency 6 9" xfId="19325"/>
    <cellStyle name="Currency 7" xfId="19326"/>
    <cellStyle name="Currency 7 2" xfId="19327"/>
    <cellStyle name="Currency 7 2 2" xfId="19328"/>
    <cellStyle name="Currency 7 2 2 2" xfId="19329"/>
    <cellStyle name="Currency 7 2 3" xfId="19330"/>
    <cellStyle name="Currency 7 2 4" xfId="19331"/>
    <cellStyle name="Currency 7 2 5" xfId="19332"/>
    <cellStyle name="Currency 7 3" xfId="19333"/>
    <cellStyle name="Currency 7 3 2" xfId="19334"/>
    <cellStyle name="Currency 7 3 3" xfId="19335"/>
    <cellStyle name="Currency 7 3 4" xfId="19336"/>
    <cellStyle name="Currency 7 4" xfId="19337"/>
    <cellStyle name="Currency 7 4 2" xfId="19338"/>
    <cellStyle name="Currency 7 5" xfId="19339"/>
    <cellStyle name="Currency 7 6" xfId="19340"/>
    <cellStyle name="Currency 7 7" xfId="19341"/>
    <cellStyle name="Currency 7 8" xfId="19342"/>
    <cellStyle name="Currency 8" xfId="19343"/>
    <cellStyle name="Currency 8 2" xfId="19344"/>
    <cellStyle name="Currency 8 2 2" xfId="19345"/>
    <cellStyle name="Currency 8 2 2 2" xfId="19346"/>
    <cellStyle name="Currency 8 2 3" xfId="19347"/>
    <cellStyle name="Currency 8 2 4" xfId="19348"/>
    <cellStyle name="Currency 8 2 5" xfId="19349"/>
    <cellStyle name="Currency 8 3" xfId="19350"/>
    <cellStyle name="Currency 8 3 2" xfId="19351"/>
    <cellStyle name="Currency 8 3 3" xfId="19352"/>
    <cellStyle name="Currency 8 3 4" xfId="19353"/>
    <cellStyle name="Currency 8 4" xfId="19354"/>
    <cellStyle name="Currency 8 4 2" xfId="19355"/>
    <cellStyle name="Currency 8 5" xfId="19356"/>
    <cellStyle name="Currency 8 6" xfId="19357"/>
    <cellStyle name="Currency 8 7" xfId="19358"/>
    <cellStyle name="Currency 8 8" xfId="19359"/>
    <cellStyle name="Currency 9" xfId="19360"/>
    <cellStyle name="Currency 9 2" xfId="19361"/>
    <cellStyle name="Currency 9 2 2" xfId="19362"/>
    <cellStyle name="Currency 9 2 3" xfId="19363"/>
    <cellStyle name="Currency 9 2 4" xfId="19364"/>
    <cellStyle name="Currency 9 3" xfId="19365"/>
    <cellStyle name="Currency 9 3 2" xfId="19366"/>
    <cellStyle name="Currency 9 4" xfId="19367"/>
    <cellStyle name="Currency 9 5" xfId="19368"/>
    <cellStyle name="Currency 9 6" xfId="19369"/>
    <cellStyle name="Currency0" xfId="19370"/>
    <cellStyle name="Date" xfId="19371"/>
    <cellStyle name="Fixed" xfId="19372"/>
    <cellStyle name="govt_labor" xfId="19373"/>
    <cellStyle name="Grey" xfId="19374"/>
    <cellStyle name="Heading 1 2" xfId="19375"/>
    <cellStyle name="Heading 2 2" xfId="19376"/>
    <cellStyle name="Heading1" xfId="19377"/>
    <cellStyle name="Heading2" xfId="19378"/>
    <cellStyle name="Hyperlink" xfId="42329" builtinId="8"/>
    <cellStyle name="Hyperlink 2" xfId="19379"/>
    <cellStyle name="Input [yellow]" xfId="19380"/>
    <cellStyle name="Normal" xfId="0" builtinId="0"/>
    <cellStyle name="Normal - Style1" xfId="19381"/>
    <cellStyle name="Normal 10" xfId="19382"/>
    <cellStyle name="Normal 10 2" xfId="19383"/>
    <cellStyle name="Normal 10 2 2" xfId="19384"/>
    <cellStyle name="Normal 10 3" xfId="19385"/>
    <cellStyle name="Normal 11" xfId="19386"/>
    <cellStyle name="Normal 11 2" xfId="19387"/>
    <cellStyle name="Normal 11 2 2" xfId="19388"/>
    <cellStyle name="Normal 11 3" xfId="19389"/>
    <cellStyle name="Normal 11 4" xfId="19390"/>
    <cellStyle name="Normal 11 5" xfId="19391"/>
    <cellStyle name="Normal 12" xfId="19392"/>
    <cellStyle name="Normal 12 10" xfId="19393"/>
    <cellStyle name="Normal 12 2" xfId="19394"/>
    <cellStyle name="Normal 12 2 2" xfId="19395"/>
    <cellStyle name="Normal 12 2 2 2" xfId="19396"/>
    <cellStyle name="Normal 12 2 2 2 2" xfId="19397"/>
    <cellStyle name="Normal 12 2 2 2 3" xfId="19398"/>
    <cellStyle name="Normal 12 2 2 3" xfId="19399"/>
    <cellStyle name="Normal 12 2 2 4" xfId="19400"/>
    <cellStyle name="Normal 12 2 2 5" xfId="19401"/>
    <cellStyle name="Normal 12 2 2 6" xfId="19402"/>
    <cellStyle name="Normal 12 2 3" xfId="19403"/>
    <cellStyle name="Normal 12 2 3 2" xfId="19404"/>
    <cellStyle name="Normal 12 2 3 2 2" xfId="19405"/>
    <cellStyle name="Normal 12 2 3 3" xfId="19406"/>
    <cellStyle name="Normal 12 2 3 4" xfId="19407"/>
    <cellStyle name="Normal 12 2 3 5" xfId="19408"/>
    <cellStyle name="Normal 12 2 4" xfId="19409"/>
    <cellStyle name="Normal 12 2 4 2" xfId="19410"/>
    <cellStyle name="Normal 12 2 4 3" xfId="19411"/>
    <cellStyle name="Normal 12 2 4 4" xfId="19412"/>
    <cellStyle name="Normal 12 2 5" xfId="19413"/>
    <cellStyle name="Normal 12 2 5 2" xfId="19414"/>
    <cellStyle name="Normal 12 2 6" xfId="19415"/>
    <cellStyle name="Normal 12 2 7" xfId="19416"/>
    <cellStyle name="Normal 12 2 8" xfId="19417"/>
    <cellStyle name="Normal 12 2 9" xfId="19418"/>
    <cellStyle name="Normal 12 3" xfId="19419"/>
    <cellStyle name="Normal 12 3 2" xfId="19420"/>
    <cellStyle name="Normal 12 3 2 2" xfId="19421"/>
    <cellStyle name="Normal 12 3 2 3" xfId="19422"/>
    <cellStyle name="Normal 12 3 3" xfId="19423"/>
    <cellStyle name="Normal 12 3 4" xfId="19424"/>
    <cellStyle name="Normal 12 3 5" xfId="19425"/>
    <cellStyle name="Normal 12 3 6" xfId="19426"/>
    <cellStyle name="Normal 12 4" xfId="19427"/>
    <cellStyle name="Normal 12 4 2" xfId="19428"/>
    <cellStyle name="Normal 12 4 2 2" xfId="19429"/>
    <cellStyle name="Normal 12 4 3" xfId="19430"/>
    <cellStyle name="Normal 12 4 4" xfId="19431"/>
    <cellStyle name="Normal 12 4 5" xfId="19432"/>
    <cellStyle name="Normal 12 5" xfId="19433"/>
    <cellStyle name="Normal 12 5 2" xfId="19434"/>
    <cellStyle name="Normal 12 5 2 2" xfId="19435"/>
    <cellStyle name="Normal 12 5 3" xfId="19436"/>
    <cellStyle name="Normal 12 5 4" xfId="19437"/>
    <cellStyle name="Normal 12 5 5" xfId="19438"/>
    <cellStyle name="Normal 12 6" xfId="19439"/>
    <cellStyle name="Normal 12 6 2" xfId="19440"/>
    <cellStyle name="Normal 12 7" xfId="19441"/>
    <cellStyle name="Normal 12 8" xfId="19442"/>
    <cellStyle name="Normal 12 9" xfId="19443"/>
    <cellStyle name="Normal 13" xfId="19444"/>
    <cellStyle name="Normal 13 10" xfId="19445"/>
    <cellStyle name="Normal 13 2" xfId="19446"/>
    <cellStyle name="Normal 13 2 2" xfId="19447"/>
    <cellStyle name="Normal 13 2 2 2" xfId="19448"/>
    <cellStyle name="Normal 13 2 2 2 2" xfId="19449"/>
    <cellStyle name="Normal 13 2 2 2 3" xfId="19450"/>
    <cellStyle name="Normal 13 2 2 3" xfId="19451"/>
    <cellStyle name="Normal 13 2 2 4" xfId="19452"/>
    <cellStyle name="Normal 13 2 2 5" xfId="19453"/>
    <cellStyle name="Normal 13 2 2 6" xfId="19454"/>
    <cellStyle name="Normal 13 2 3" xfId="19455"/>
    <cellStyle name="Normal 13 2 3 2" xfId="19456"/>
    <cellStyle name="Normal 13 2 3 2 2" xfId="19457"/>
    <cellStyle name="Normal 13 2 3 3" xfId="19458"/>
    <cellStyle name="Normal 13 2 3 4" xfId="19459"/>
    <cellStyle name="Normal 13 2 3 5" xfId="19460"/>
    <cellStyle name="Normal 13 2 4" xfId="19461"/>
    <cellStyle name="Normal 13 2 4 2" xfId="19462"/>
    <cellStyle name="Normal 13 2 4 3" xfId="19463"/>
    <cellStyle name="Normal 13 2 4 4" xfId="19464"/>
    <cellStyle name="Normal 13 2 5" xfId="19465"/>
    <cellStyle name="Normal 13 2 5 2" xfId="19466"/>
    <cellStyle name="Normal 13 2 6" xfId="19467"/>
    <cellStyle name="Normal 13 2 7" xfId="19468"/>
    <cellStyle name="Normal 13 2 8" xfId="19469"/>
    <cellStyle name="Normal 13 2 9" xfId="19470"/>
    <cellStyle name="Normal 13 3" xfId="19471"/>
    <cellStyle name="Normal 13 3 2" xfId="19472"/>
    <cellStyle name="Normal 13 3 2 2" xfId="19473"/>
    <cellStyle name="Normal 13 3 2 3" xfId="19474"/>
    <cellStyle name="Normal 13 3 3" xfId="19475"/>
    <cellStyle name="Normal 13 3 4" xfId="19476"/>
    <cellStyle name="Normal 13 3 5" xfId="19477"/>
    <cellStyle name="Normal 13 3 6" xfId="19478"/>
    <cellStyle name="Normal 13 4" xfId="19479"/>
    <cellStyle name="Normal 13 4 2" xfId="19480"/>
    <cellStyle name="Normal 13 4 2 2" xfId="19481"/>
    <cellStyle name="Normal 13 4 3" xfId="19482"/>
    <cellStyle name="Normal 13 4 4" xfId="19483"/>
    <cellStyle name="Normal 13 4 5" xfId="19484"/>
    <cellStyle name="Normal 13 5" xfId="19485"/>
    <cellStyle name="Normal 13 5 2" xfId="19486"/>
    <cellStyle name="Normal 13 5 2 2" xfId="19487"/>
    <cellStyle name="Normal 13 5 3" xfId="19488"/>
    <cellStyle name="Normal 13 5 4" xfId="19489"/>
    <cellStyle name="Normal 13 5 5" xfId="19490"/>
    <cellStyle name="Normal 13 6" xfId="19491"/>
    <cellStyle name="Normal 13 6 2" xfId="19492"/>
    <cellStyle name="Normal 13 7" xfId="19493"/>
    <cellStyle name="Normal 13 8" xfId="19494"/>
    <cellStyle name="Normal 13 9" xfId="19495"/>
    <cellStyle name="Normal 14" xfId="19496"/>
    <cellStyle name="Normal 14 10" xfId="19497"/>
    <cellStyle name="Normal 14 2" xfId="19498"/>
    <cellStyle name="Normal 14 2 2" xfId="19499"/>
    <cellStyle name="Normal 14 2 2 2" xfId="19500"/>
    <cellStyle name="Normal 14 2 2 2 2" xfId="19501"/>
    <cellStyle name="Normal 14 2 2 2 3" xfId="19502"/>
    <cellStyle name="Normal 14 2 2 3" xfId="19503"/>
    <cellStyle name="Normal 14 2 2 4" xfId="19504"/>
    <cellStyle name="Normal 14 2 2 5" xfId="19505"/>
    <cellStyle name="Normal 14 2 2 6" xfId="19506"/>
    <cellStyle name="Normal 14 2 3" xfId="19507"/>
    <cellStyle name="Normal 14 2 3 2" xfId="19508"/>
    <cellStyle name="Normal 14 2 3 2 2" xfId="19509"/>
    <cellStyle name="Normal 14 2 3 3" xfId="19510"/>
    <cellStyle name="Normal 14 2 3 4" xfId="19511"/>
    <cellStyle name="Normal 14 2 3 5" xfId="19512"/>
    <cellStyle name="Normal 14 2 4" xfId="19513"/>
    <cellStyle name="Normal 14 2 4 2" xfId="19514"/>
    <cellStyle name="Normal 14 2 4 3" xfId="19515"/>
    <cellStyle name="Normal 14 2 4 4" xfId="19516"/>
    <cellStyle name="Normal 14 2 5" xfId="19517"/>
    <cellStyle name="Normal 14 2 5 2" xfId="19518"/>
    <cellStyle name="Normal 14 2 6" xfId="19519"/>
    <cellStyle name="Normal 14 2 7" xfId="19520"/>
    <cellStyle name="Normal 14 2 8" xfId="19521"/>
    <cellStyle name="Normal 14 2 9" xfId="19522"/>
    <cellStyle name="Normal 14 3" xfId="19523"/>
    <cellStyle name="Normal 14 3 2" xfId="19524"/>
    <cellStyle name="Normal 14 3 2 2" xfId="19525"/>
    <cellStyle name="Normal 14 3 2 3" xfId="19526"/>
    <cellStyle name="Normal 14 3 3" xfId="19527"/>
    <cellStyle name="Normal 14 3 4" xfId="19528"/>
    <cellStyle name="Normal 14 3 5" xfId="19529"/>
    <cellStyle name="Normal 14 3 6" xfId="19530"/>
    <cellStyle name="Normal 14 4" xfId="19531"/>
    <cellStyle name="Normal 14 4 2" xfId="19532"/>
    <cellStyle name="Normal 14 4 2 2" xfId="19533"/>
    <cellStyle name="Normal 14 4 3" xfId="19534"/>
    <cellStyle name="Normal 14 4 4" xfId="19535"/>
    <cellStyle name="Normal 14 4 5" xfId="19536"/>
    <cellStyle name="Normal 14 5" xfId="19537"/>
    <cellStyle name="Normal 14 5 2" xfId="19538"/>
    <cellStyle name="Normal 14 5 3" xfId="19539"/>
    <cellStyle name="Normal 14 5 4" xfId="19540"/>
    <cellStyle name="Normal 14 6" xfId="19541"/>
    <cellStyle name="Normal 14 6 2" xfId="19542"/>
    <cellStyle name="Normal 14 7" xfId="19543"/>
    <cellStyle name="Normal 14 8" xfId="19544"/>
    <cellStyle name="Normal 14 9" xfId="19545"/>
    <cellStyle name="Normal 15" xfId="19546"/>
    <cellStyle name="Normal 15 2" xfId="19547"/>
    <cellStyle name="Normal 15 2 2" xfId="19548"/>
    <cellStyle name="Normal 15 2 2 2" xfId="19549"/>
    <cellStyle name="Normal 15 2 2 3" xfId="19550"/>
    <cellStyle name="Normal 15 2 3" xfId="19551"/>
    <cellStyle name="Normal 15 2 4" xfId="19552"/>
    <cellStyle name="Normal 15 2 5" xfId="19553"/>
    <cellStyle name="Normal 15 2 6" xfId="19554"/>
    <cellStyle name="Normal 15 3" xfId="19555"/>
    <cellStyle name="Normal 15 3 2" xfId="19556"/>
    <cellStyle name="Normal 15 3 2 2" xfId="19557"/>
    <cellStyle name="Normal 15 3 3" xfId="19558"/>
    <cellStyle name="Normal 15 3 4" xfId="19559"/>
    <cellStyle name="Normal 15 3 5" xfId="19560"/>
    <cellStyle name="Normal 15 4" xfId="19561"/>
    <cellStyle name="Normal 15 4 2" xfId="19562"/>
    <cellStyle name="Normal 15 4 3" xfId="19563"/>
    <cellStyle name="Normal 15 4 4" xfId="19564"/>
    <cellStyle name="Normal 15 5" xfId="19565"/>
    <cellStyle name="Normal 15 5 2" xfId="19566"/>
    <cellStyle name="Normal 15 6" xfId="19567"/>
    <cellStyle name="Normal 15 7" xfId="19568"/>
    <cellStyle name="Normal 15 8" xfId="19569"/>
    <cellStyle name="Normal 15 9" xfId="19570"/>
    <cellStyle name="Normal 16" xfId="19571"/>
    <cellStyle name="Normal 16 2" xfId="19572"/>
    <cellStyle name="Normal 16 2 2" xfId="19573"/>
    <cellStyle name="Normal 16 2 2 2" xfId="19574"/>
    <cellStyle name="Normal 16 2 3" xfId="19575"/>
    <cellStyle name="Normal 16 2 4" xfId="19576"/>
    <cellStyle name="Normal 16 2 5" xfId="19577"/>
    <cellStyle name="Normal 16 2 6" xfId="19578"/>
    <cellStyle name="Normal 16 3" xfId="19579"/>
    <cellStyle name="Normal 16 3 2" xfId="19580"/>
    <cellStyle name="Normal 16 3 3" xfId="19581"/>
    <cellStyle name="Normal 16 3 4" xfId="19582"/>
    <cellStyle name="Normal 16 4" xfId="19583"/>
    <cellStyle name="Normal 16 4 2" xfId="19584"/>
    <cellStyle name="Normal 16 5" xfId="19585"/>
    <cellStyle name="Normal 16 6" xfId="19586"/>
    <cellStyle name="Normal 16 7" xfId="19587"/>
    <cellStyle name="Normal 16 8" xfId="19588"/>
    <cellStyle name="Normal 17" xfId="19589"/>
    <cellStyle name="Normal 17 2" xfId="19590"/>
    <cellStyle name="Normal 17 2 2" xfId="19591"/>
    <cellStyle name="Normal 17 2 2 2" xfId="19592"/>
    <cellStyle name="Normal 17 2 3" xfId="19593"/>
    <cellStyle name="Normal 17 2 4" xfId="19594"/>
    <cellStyle name="Normal 17 2 5" xfId="19595"/>
    <cellStyle name="Normal 17 2 6" xfId="19596"/>
    <cellStyle name="Normal 17 3" xfId="19597"/>
    <cellStyle name="Normal 17 3 2" xfId="19598"/>
    <cellStyle name="Normal 17 3 3" xfId="19599"/>
    <cellStyle name="Normal 17 3 4" xfId="19600"/>
    <cellStyle name="Normal 17 4" xfId="19601"/>
    <cellStyle name="Normal 17 4 2" xfId="19602"/>
    <cellStyle name="Normal 17 5" xfId="19603"/>
    <cellStyle name="Normal 17 6" xfId="19604"/>
    <cellStyle name="Normal 17 7" xfId="19605"/>
    <cellStyle name="Normal 17 8" xfId="19606"/>
    <cellStyle name="Normal 18" xfId="19607"/>
    <cellStyle name="Normal 18 2" xfId="19608"/>
    <cellStyle name="Normal 18 2 2" xfId="19609"/>
    <cellStyle name="Normal 18 2 3" xfId="19610"/>
    <cellStyle name="Normal 18 2 4" xfId="19611"/>
    <cellStyle name="Normal 18 2 5" xfId="19612"/>
    <cellStyle name="Normal 18 3" xfId="19613"/>
    <cellStyle name="Normal 18 3 2" xfId="19614"/>
    <cellStyle name="Normal 18 4" xfId="19615"/>
    <cellStyle name="Normal 18 5" xfId="19616"/>
    <cellStyle name="Normal 18 6" xfId="19617"/>
    <cellStyle name="Normal 18 7" xfId="19618"/>
    <cellStyle name="Normal 19" xfId="19619"/>
    <cellStyle name="Normal 19 2" xfId="19620"/>
    <cellStyle name="Normal 19 2 2" xfId="19621"/>
    <cellStyle name="Normal 19 2 3" xfId="19622"/>
    <cellStyle name="Normal 19 2 4" xfId="19623"/>
    <cellStyle name="Normal 19 2 5" xfId="19624"/>
    <cellStyle name="Normal 19 3" xfId="19625"/>
    <cellStyle name="Normal 19 3 2" xfId="19626"/>
    <cellStyle name="Normal 19 4" xfId="19627"/>
    <cellStyle name="Normal 19 5" xfId="19628"/>
    <cellStyle name="Normal 19 6" xfId="19629"/>
    <cellStyle name="Normal 19 7" xfId="19630"/>
    <cellStyle name="Normal 2" xfId="19631"/>
    <cellStyle name="Normal 2 10" xfId="19632"/>
    <cellStyle name="Normal 2 10 2" xfId="19633"/>
    <cellStyle name="Normal 2 10 2 2" xfId="19634"/>
    <cellStyle name="Normal 2 10 3" xfId="19635"/>
    <cellStyle name="Normal 2 10 3 2" xfId="19636"/>
    <cellStyle name="Normal 2 10 4" xfId="19637"/>
    <cellStyle name="Normal 2 10 5" xfId="19638"/>
    <cellStyle name="Normal 2 10 6" xfId="19639"/>
    <cellStyle name="Normal 2 10 7" xfId="19640"/>
    <cellStyle name="Normal 2 10 8" xfId="19641"/>
    <cellStyle name="Normal 2 11" xfId="19642"/>
    <cellStyle name="Normal 2 11 10" xfId="19643"/>
    <cellStyle name="Normal 2 11 10 10" xfId="19644"/>
    <cellStyle name="Normal 2 11 10 2" xfId="19645"/>
    <cellStyle name="Normal 2 11 10 2 2" xfId="19646"/>
    <cellStyle name="Normal 2 11 10 2 2 2" xfId="19647"/>
    <cellStyle name="Normal 2 11 10 2 2 3" xfId="19648"/>
    <cellStyle name="Normal 2 11 10 2 3" xfId="19649"/>
    <cellStyle name="Normal 2 11 10 2 4" xfId="19650"/>
    <cellStyle name="Normal 2 11 10 2 5" xfId="19651"/>
    <cellStyle name="Normal 2 11 10 2 6" xfId="19652"/>
    <cellStyle name="Normal 2 11 10 3" xfId="19653"/>
    <cellStyle name="Normal 2 11 10 3 2" xfId="19654"/>
    <cellStyle name="Normal 2 11 10 3 2 2" xfId="19655"/>
    <cellStyle name="Normal 2 11 10 3 2 3" xfId="19656"/>
    <cellStyle name="Normal 2 11 10 3 3" xfId="19657"/>
    <cellStyle name="Normal 2 11 10 3 4" xfId="19658"/>
    <cellStyle name="Normal 2 11 10 3 5" xfId="19659"/>
    <cellStyle name="Normal 2 11 10 3 6" xfId="19660"/>
    <cellStyle name="Normal 2 11 10 4" xfId="19661"/>
    <cellStyle name="Normal 2 11 10 4 2" xfId="19662"/>
    <cellStyle name="Normal 2 11 10 4 2 2" xfId="19663"/>
    <cellStyle name="Normal 2 11 10 4 3" xfId="19664"/>
    <cellStyle name="Normal 2 11 10 4 4" xfId="19665"/>
    <cellStyle name="Normal 2 11 10 4 5" xfId="19666"/>
    <cellStyle name="Normal 2 11 10 5" xfId="19667"/>
    <cellStyle name="Normal 2 11 10 5 2" xfId="19668"/>
    <cellStyle name="Normal 2 11 10 5 3" xfId="19669"/>
    <cellStyle name="Normal 2 11 10 5 4" xfId="19670"/>
    <cellStyle name="Normal 2 11 10 6" xfId="19671"/>
    <cellStyle name="Normal 2 11 10 6 2" xfId="19672"/>
    <cellStyle name="Normal 2 11 10 7" xfId="19673"/>
    <cellStyle name="Normal 2 11 10 8" xfId="19674"/>
    <cellStyle name="Normal 2 11 10 9" xfId="19675"/>
    <cellStyle name="Normal 2 11 11" xfId="19676"/>
    <cellStyle name="Normal 2 11 11 10" xfId="19677"/>
    <cellStyle name="Normal 2 11 11 2" xfId="19678"/>
    <cellStyle name="Normal 2 11 11 2 2" xfId="19679"/>
    <cellStyle name="Normal 2 11 11 2 2 2" xfId="19680"/>
    <cellStyle name="Normal 2 11 11 2 2 3" xfId="19681"/>
    <cellStyle name="Normal 2 11 11 2 3" xfId="19682"/>
    <cellStyle name="Normal 2 11 11 2 4" xfId="19683"/>
    <cellStyle name="Normal 2 11 11 2 5" xfId="19684"/>
    <cellStyle name="Normal 2 11 11 2 6" xfId="19685"/>
    <cellStyle name="Normal 2 11 11 3" xfId="19686"/>
    <cellStyle name="Normal 2 11 11 3 2" xfId="19687"/>
    <cellStyle name="Normal 2 11 11 3 2 2" xfId="19688"/>
    <cellStyle name="Normal 2 11 11 3 2 3" xfId="19689"/>
    <cellStyle name="Normal 2 11 11 3 3" xfId="19690"/>
    <cellStyle name="Normal 2 11 11 3 4" xfId="19691"/>
    <cellStyle name="Normal 2 11 11 3 5" xfId="19692"/>
    <cellStyle name="Normal 2 11 11 3 6" xfId="19693"/>
    <cellStyle name="Normal 2 11 11 4" xfId="19694"/>
    <cellStyle name="Normal 2 11 11 4 2" xfId="19695"/>
    <cellStyle name="Normal 2 11 11 4 2 2" xfId="19696"/>
    <cellStyle name="Normal 2 11 11 4 3" xfId="19697"/>
    <cellStyle name="Normal 2 11 11 4 4" xfId="19698"/>
    <cellStyle name="Normal 2 11 11 4 5" xfId="19699"/>
    <cellStyle name="Normal 2 11 11 5" xfId="19700"/>
    <cellStyle name="Normal 2 11 11 5 2" xfId="19701"/>
    <cellStyle name="Normal 2 11 11 5 3" xfId="19702"/>
    <cellStyle name="Normal 2 11 11 5 4" xfId="19703"/>
    <cellStyle name="Normal 2 11 11 6" xfId="19704"/>
    <cellStyle name="Normal 2 11 11 6 2" xfId="19705"/>
    <cellStyle name="Normal 2 11 11 7" xfId="19706"/>
    <cellStyle name="Normal 2 11 11 8" xfId="19707"/>
    <cellStyle name="Normal 2 11 11 9" xfId="19708"/>
    <cellStyle name="Normal 2 11 12" xfId="19709"/>
    <cellStyle name="Normal 2 11 12 10" xfId="19710"/>
    <cellStyle name="Normal 2 11 12 2" xfId="19711"/>
    <cellStyle name="Normal 2 11 12 2 2" xfId="19712"/>
    <cellStyle name="Normal 2 11 12 2 2 2" xfId="19713"/>
    <cellStyle name="Normal 2 11 12 2 2 3" xfId="19714"/>
    <cellStyle name="Normal 2 11 12 2 3" xfId="19715"/>
    <cellStyle name="Normal 2 11 12 2 4" xfId="19716"/>
    <cellStyle name="Normal 2 11 12 2 5" xfId="19717"/>
    <cellStyle name="Normal 2 11 12 2 6" xfId="19718"/>
    <cellStyle name="Normal 2 11 12 3" xfId="19719"/>
    <cellStyle name="Normal 2 11 12 3 2" xfId="19720"/>
    <cellStyle name="Normal 2 11 12 3 2 2" xfId="19721"/>
    <cellStyle name="Normal 2 11 12 3 2 3" xfId="19722"/>
    <cellStyle name="Normal 2 11 12 3 3" xfId="19723"/>
    <cellStyle name="Normal 2 11 12 3 4" xfId="19724"/>
    <cellStyle name="Normal 2 11 12 3 5" xfId="19725"/>
    <cellStyle name="Normal 2 11 12 3 6" xfId="19726"/>
    <cellStyle name="Normal 2 11 12 4" xfId="19727"/>
    <cellStyle name="Normal 2 11 12 4 2" xfId="19728"/>
    <cellStyle name="Normal 2 11 12 4 2 2" xfId="19729"/>
    <cellStyle name="Normal 2 11 12 4 3" xfId="19730"/>
    <cellStyle name="Normal 2 11 12 4 4" xfId="19731"/>
    <cellStyle name="Normal 2 11 12 4 5" xfId="19732"/>
    <cellStyle name="Normal 2 11 12 5" xfId="19733"/>
    <cellStyle name="Normal 2 11 12 5 2" xfId="19734"/>
    <cellStyle name="Normal 2 11 12 5 3" xfId="19735"/>
    <cellStyle name="Normal 2 11 12 5 4" xfId="19736"/>
    <cellStyle name="Normal 2 11 12 6" xfId="19737"/>
    <cellStyle name="Normal 2 11 12 6 2" xfId="19738"/>
    <cellStyle name="Normal 2 11 12 7" xfId="19739"/>
    <cellStyle name="Normal 2 11 12 8" xfId="19740"/>
    <cellStyle name="Normal 2 11 12 9" xfId="19741"/>
    <cellStyle name="Normal 2 11 13" xfId="19742"/>
    <cellStyle name="Normal 2 11 13 2" xfId="19743"/>
    <cellStyle name="Normal 2 11 13 2 2" xfId="19744"/>
    <cellStyle name="Normal 2 11 13 2 2 2" xfId="19745"/>
    <cellStyle name="Normal 2 11 13 2 2 3" xfId="19746"/>
    <cellStyle name="Normal 2 11 13 2 3" xfId="19747"/>
    <cellStyle name="Normal 2 11 13 2 4" xfId="19748"/>
    <cellStyle name="Normal 2 11 13 2 5" xfId="19749"/>
    <cellStyle name="Normal 2 11 13 2 6" xfId="19750"/>
    <cellStyle name="Normal 2 11 13 3" xfId="19751"/>
    <cellStyle name="Normal 2 11 13 3 2" xfId="19752"/>
    <cellStyle name="Normal 2 11 13 3 2 2" xfId="19753"/>
    <cellStyle name="Normal 2 11 13 3 3" xfId="19754"/>
    <cellStyle name="Normal 2 11 13 3 4" xfId="19755"/>
    <cellStyle name="Normal 2 11 13 3 5" xfId="19756"/>
    <cellStyle name="Normal 2 11 13 4" xfId="19757"/>
    <cellStyle name="Normal 2 11 13 4 2" xfId="19758"/>
    <cellStyle name="Normal 2 11 13 4 3" xfId="19759"/>
    <cellStyle name="Normal 2 11 13 4 4" xfId="19760"/>
    <cellStyle name="Normal 2 11 13 5" xfId="19761"/>
    <cellStyle name="Normal 2 11 13 5 2" xfId="19762"/>
    <cellStyle name="Normal 2 11 13 6" xfId="19763"/>
    <cellStyle name="Normal 2 11 13 7" xfId="19764"/>
    <cellStyle name="Normal 2 11 13 8" xfId="19765"/>
    <cellStyle name="Normal 2 11 13 9" xfId="19766"/>
    <cellStyle name="Normal 2 11 14" xfId="19767"/>
    <cellStyle name="Normal 2 11 14 2" xfId="19768"/>
    <cellStyle name="Normal 2 11 14 2 2" xfId="19769"/>
    <cellStyle name="Normal 2 11 14 2 2 2" xfId="19770"/>
    <cellStyle name="Normal 2 11 14 2 2 3" xfId="19771"/>
    <cellStyle name="Normal 2 11 14 2 3" xfId="19772"/>
    <cellStyle name="Normal 2 11 14 2 4" xfId="19773"/>
    <cellStyle name="Normal 2 11 14 2 5" xfId="19774"/>
    <cellStyle name="Normal 2 11 14 2 6" xfId="19775"/>
    <cellStyle name="Normal 2 11 14 3" xfId="19776"/>
    <cellStyle name="Normal 2 11 14 3 2" xfId="19777"/>
    <cellStyle name="Normal 2 11 14 3 2 2" xfId="19778"/>
    <cellStyle name="Normal 2 11 14 3 3" xfId="19779"/>
    <cellStyle name="Normal 2 11 14 3 4" xfId="19780"/>
    <cellStyle name="Normal 2 11 14 3 5" xfId="19781"/>
    <cellStyle name="Normal 2 11 14 4" xfId="19782"/>
    <cellStyle name="Normal 2 11 14 4 2" xfId="19783"/>
    <cellStyle name="Normal 2 11 14 4 3" xfId="19784"/>
    <cellStyle name="Normal 2 11 14 4 4" xfId="19785"/>
    <cellStyle name="Normal 2 11 14 5" xfId="19786"/>
    <cellStyle name="Normal 2 11 14 5 2" xfId="19787"/>
    <cellStyle name="Normal 2 11 14 6" xfId="19788"/>
    <cellStyle name="Normal 2 11 14 7" xfId="19789"/>
    <cellStyle name="Normal 2 11 14 8" xfId="19790"/>
    <cellStyle name="Normal 2 11 14 9" xfId="19791"/>
    <cellStyle name="Normal 2 11 15" xfId="19792"/>
    <cellStyle name="Normal 2 11 15 2" xfId="19793"/>
    <cellStyle name="Normal 2 11 15 2 2" xfId="19794"/>
    <cellStyle name="Normal 2 11 15 2 3" xfId="19795"/>
    <cellStyle name="Normal 2 11 15 3" xfId="19796"/>
    <cellStyle name="Normal 2 11 15 4" xfId="19797"/>
    <cellStyle name="Normal 2 11 15 5" xfId="19798"/>
    <cellStyle name="Normal 2 11 15 6" xfId="19799"/>
    <cellStyle name="Normal 2 11 16" xfId="19800"/>
    <cellStyle name="Normal 2 11 16 2" xfId="19801"/>
    <cellStyle name="Normal 2 11 16 2 2" xfId="19802"/>
    <cellStyle name="Normal 2 11 16 3" xfId="19803"/>
    <cellStyle name="Normal 2 11 16 4" xfId="19804"/>
    <cellStyle name="Normal 2 11 16 5" xfId="19805"/>
    <cellStyle name="Normal 2 11 17" xfId="19806"/>
    <cellStyle name="Normal 2 11 17 2" xfId="19807"/>
    <cellStyle name="Normal 2 11 17 2 2" xfId="19808"/>
    <cellStyle name="Normal 2 11 17 3" xfId="19809"/>
    <cellStyle name="Normal 2 11 17 4" xfId="19810"/>
    <cellStyle name="Normal 2 11 17 5" xfId="19811"/>
    <cellStyle name="Normal 2 11 18" xfId="19812"/>
    <cellStyle name="Normal 2 11 18 2" xfId="19813"/>
    <cellStyle name="Normal 2 11 19" xfId="19814"/>
    <cellStyle name="Normal 2 11 2" xfId="19815"/>
    <cellStyle name="Normal 2 11 2 10" xfId="19816"/>
    <cellStyle name="Normal 2 11 2 11" xfId="19817"/>
    <cellStyle name="Normal 2 11 2 2" xfId="19818"/>
    <cellStyle name="Normal 2 11 2 2 2" xfId="19819"/>
    <cellStyle name="Normal 2 11 2 2 2 2" xfId="19820"/>
    <cellStyle name="Normal 2 11 2 2 2 2 2" xfId="19821"/>
    <cellStyle name="Normal 2 11 2 2 2 2 3" xfId="19822"/>
    <cellStyle name="Normal 2 11 2 2 2 3" xfId="19823"/>
    <cellStyle name="Normal 2 11 2 2 2 4" xfId="19824"/>
    <cellStyle name="Normal 2 11 2 2 2 5" xfId="19825"/>
    <cellStyle name="Normal 2 11 2 2 2 6" xfId="19826"/>
    <cellStyle name="Normal 2 11 2 2 3" xfId="19827"/>
    <cellStyle name="Normal 2 11 2 2 3 2" xfId="19828"/>
    <cellStyle name="Normal 2 11 2 2 3 2 2" xfId="19829"/>
    <cellStyle name="Normal 2 11 2 2 3 3" xfId="19830"/>
    <cellStyle name="Normal 2 11 2 2 3 4" xfId="19831"/>
    <cellStyle name="Normal 2 11 2 2 3 5" xfId="19832"/>
    <cellStyle name="Normal 2 11 2 2 4" xfId="19833"/>
    <cellStyle name="Normal 2 11 2 2 4 2" xfId="19834"/>
    <cellStyle name="Normal 2 11 2 2 4 3" xfId="19835"/>
    <cellStyle name="Normal 2 11 2 2 4 4" xfId="19836"/>
    <cellStyle name="Normal 2 11 2 2 5" xfId="19837"/>
    <cellStyle name="Normal 2 11 2 2 5 2" xfId="19838"/>
    <cellStyle name="Normal 2 11 2 2 6" xfId="19839"/>
    <cellStyle name="Normal 2 11 2 2 7" xfId="19840"/>
    <cellStyle name="Normal 2 11 2 2 8" xfId="19841"/>
    <cellStyle name="Normal 2 11 2 2 9" xfId="19842"/>
    <cellStyle name="Normal 2 11 2 3" xfId="19843"/>
    <cellStyle name="Normal 2 11 2 3 2" xfId="19844"/>
    <cellStyle name="Normal 2 11 2 3 2 2" xfId="19845"/>
    <cellStyle name="Normal 2 11 2 3 2 2 2" xfId="19846"/>
    <cellStyle name="Normal 2 11 2 3 2 2 3" xfId="19847"/>
    <cellStyle name="Normal 2 11 2 3 2 3" xfId="19848"/>
    <cellStyle name="Normal 2 11 2 3 2 4" xfId="19849"/>
    <cellStyle name="Normal 2 11 2 3 2 5" xfId="19850"/>
    <cellStyle name="Normal 2 11 2 3 2 6" xfId="19851"/>
    <cellStyle name="Normal 2 11 2 3 3" xfId="19852"/>
    <cellStyle name="Normal 2 11 2 3 3 2" xfId="19853"/>
    <cellStyle name="Normal 2 11 2 3 3 2 2" xfId="19854"/>
    <cellStyle name="Normal 2 11 2 3 3 3" xfId="19855"/>
    <cellStyle name="Normal 2 11 2 3 3 4" xfId="19856"/>
    <cellStyle name="Normal 2 11 2 3 3 5" xfId="19857"/>
    <cellStyle name="Normal 2 11 2 3 4" xfId="19858"/>
    <cellStyle name="Normal 2 11 2 3 4 2" xfId="19859"/>
    <cellStyle name="Normal 2 11 2 3 4 3" xfId="19860"/>
    <cellStyle name="Normal 2 11 2 3 4 4" xfId="19861"/>
    <cellStyle name="Normal 2 11 2 3 5" xfId="19862"/>
    <cellStyle name="Normal 2 11 2 3 5 2" xfId="19863"/>
    <cellStyle name="Normal 2 11 2 3 6" xfId="19864"/>
    <cellStyle name="Normal 2 11 2 3 7" xfId="19865"/>
    <cellStyle name="Normal 2 11 2 3 8" xfId="19866"/>
    <cellStyle name="Normal 2 11 2 3 9" xfId="19867"/>
    <cellStyle name="Normal 2 11 2 4" xfId="19868"/>
    <cellStyle name="Normal 2 11 2 4 2" xfId="19869"/>
    <cellStyle name="Normal 2 11 2 4 2 2" xfId="19870"/>
    <cellStyle name="Normal 2 11 2 4 2 3" xfId="19871"/>
    <cellStyle name="Normal 2 11 2 4 3" xfId="19872"/>
    <cellStyle name="Normal 2 11 2 4 4" xfId="19873"/>
    <cellStyle name="Normal 2 11 2 4 5" xfId="19874"/>
    <cellStyle name="Normal 2 11 2 4 6" xfId="19875"/>
    <cellStyle name="Normal 2 11 2 5" xfId="19876"/>
    <cellStyle name="Normal 2 11 2 5 2" xfId="19877"/>
    <cellStyle name="Normal 2 11 2 5 2 2" xfId="19878"/>
    <cellStyle name="Normal 2 11 2 5 3" xfId="19879"/>
    <cellStyle name="Normal 2 11 2 5 4" xfId="19880"/>
    <cellStyle name="Normal 2 11 2 5 5" xfId="19881"/>
    <cellStyle name="Normal 2 11 2 6" xfId="19882"/>
    <cellStyle name="Normal 2 11 2 6 2" xfId="19883"/>
    <cellStyle name="Normal 2 11 2 6 3" xfId="19884"/>
    <cellStyle name="Normal 2 11 2 6 4" xfId="19885"/>
    <cellStyle name="Normal 2 11 2 7" xfId="19886"/>
    <cellStyle name="Normal 2 11 2 7 2" xfId="19887"/>
    <cellStyle name="Normal 2 11 2 8" xfId="19888"/>
    <cellStyle name="Normal 2 11 2 9" xfId="19889"/>
    <cellStyle name="Normal 2 11 20" xfId="19890"/>
    <cellStyle name="Normal 2 11 21" xfId="19891"/>
    <cellStyle name="Normal 2 11 22" xfId="19892"/>
    <cellStyle name="Normal 2 11 3" xfId="19893"/>
    <cellStyle name="Normal 2 11 3 10" xfId="19894"/>
    <cellStyle name="Normal 2 11 3 11" xfId="19895"/>
    <cellStyle name="Normal 2 11 3 2" xfId="19896"/>
    <cellStyle name="Normal 2 11 3 2 2" xfId="19897"/>
    <cellStyle name="Normal 2 11 3 2 2 2" xfId="19898"/>
    <cellStyle name="Normal 2 11 3 2 2 2 2" xfId="19899"/>
    <cellStyle name="Normal 2 11 3 2 2 2 3" xfId="19900"/>
    <cellStyle name="Normal 2 11 3 2 2 3" xfId="19901"/>
    <cellStyle name="Normal 2 11 3 2 2 4" xfId="19902"/>
    <cellStyle name="Normal 2 11 3 2 2 5" xfId="19903"/>
    <cellStyle name="Normal 2 11 3 2 2 6" xfId="19904"/>
    <cellStyle name="Normal 2 11 3 2 3" xfId="19905"/>
    <cellStyle name="Normal 2 11 3 2 3 2" xfId="19906"/>
    <cellStyle name="Normal 2 11 3 2 3 2 2" xfId="19907"/>
    <cellStyle name="Normal 2 11 3 2 3 3" xfId="19908"/>
    <cellStyle name="Normal 2 11 3 2 3 4" xfId="19909"/>
    <cellStyle name="Normal 2 11 3 2 3 5" xfId="19910"/>
    <cellStyle name="Normal 2 11 3 2 4" xfId="19911"/>
    <cellStyle name="Normal 2 11 3 2 4 2" xfId="19912"/>
    <cellStyle name="Normal 2 11 3 2 4 3" xfId="19913"/>
    <cellStyle name="Normal 2 11 3 2 4 4" xfId="19914"/>
    <cellStyle name="Normal 2 11 3 2 5" xfId="19915"/>
    <cellStyle name="Normal 2 11 3 2 5 2" xfId="19916"/>
    <cellStyle name="Normal 2 11 3 2 6" xfId="19917"/>
    <cellStyle name="Normal 2 11 3 2 7" xfId="19918"/>
    <cellStyle name="Normal 2 11 3 2 8" xfId="19919"/>
    <cellStyle name="Normal 2 11 3 2 9" xfId="19920"/>
    <cellStyle name="Normal 2 11 3 3" xfId="19921"/>
    <cellStyle name="Normal 2 11 3 3 2" xfId="19922"/>
    <cellStyle name="Normal 2 11 3 3 2 2" xfId="19923"/>
    <cellStyle name="Normal 2 11 3 3 2 2 2" xfId="19924"/>
    <cellStyle name="Normal 2 11 3 3 2 2 3" xfId="19925"/>
    <cellStyle name="Normal 2 11 3 3 2 3" xfId="19926"/>
    <cellStyle name="Normal 2 11 3 3 2 4" xfId="19927"/>
    <cellStyle name="Normal 2 11 3 3 2 5" xfId="19928"/>
    <cellStyle name="Normal 2 11 3 3 2 6" xfId="19929"/>
    <cellStyle name="Normal 2 11 3 3 3" xfId="19930"/>
    <cellStyle name="Normal 2 11 3 3 3 2" xfId="19931"/>
    <cellStyle name="Normal 2 11 3 3 3 2 2" xfId="19932"/>
    <cellStyle name="Normal 2 11 3 3 3 3" xfId="19933"/>
    <cellStyle name="Normal 2 11 3 3 3 4" xfId="19934"/>
    <cellStyle name="Normal 2 11 3 3 3 5" xfId="19935"/>
    <cellStyle name="Normal 2 11 3 3 4" xfId="19936"/>
    <cellStyle name="Normal 2 11 3 3 4 2" xfId="19937"/>
    <cellStyle name="Normal 2 11 3 3 4 3" xfId="19938"/>
    <cellStyle name="Normal 2 11 3 3 4 4" xfId="19939"/>
    <cellStyle name="Normal 2 11 3 3 5" xfId="19940"/>
    <cellStyle name="Normal 2 11 3 3 5 2" xfId="19941"/>
    <cellStyle name="Normal 2 11 3 3 6" xfId="19942"/>
    <cellStyle name="Normal 2 11 3 3 7" xfId="19943"/>
    <cellStyle name="Normal 2 11 3 3 8" xfId="19944"/>
    <cellStyle name="Normal 2 11 3 3 9" xfId="19945"/>
    <cellStyle name="Normal 2 11 3 4" xfId="19946"/>
    <cellStyle name="Normal 2 11 3 4 2" xfId="19947"/>
    <cellStyle name="Normal 2 11 3 4 2 2" xfId="19948"/>
    <cellStyle name="Normal 2 11 3 4 2 3" xfId="19949"/>
    <cellStyle name="Normal 2 11 3 4 3" xfId="19950"/>
    <cellStyle name="Normal 2 11 3 4 4" xfId="19951"/>
    <cellStyle name="Normal 2 11 3 4 5" xfId="19952"/>
    <cellStyle name="Normal 2 11 3 4 6" xfId="19953"/>
    <cellStyle name="Normal 2 11 3 5" xfId="19954"/>
    <cellStyle name="Normal 2 11 3 5 2" xfId="19955"/>
    <cellStyle name="Normal 2 11 3 5 2 2" xfId="19956"/>
    <cellStyle name="Normal 2 11 3 5 3" xfId="19957"/>
    <cellStyle name="Normal 2 11 3 5 4" xfId="19958"/>
    <cellStyle name="Normal 2 11 3 5 5" xfId="19959"/>
    <cellStyle name="Normal 2 11 3 6" xfId="19960"/>
    <cellStyle name="Normal 2 11 3 6 2" xfId="19961"/>
    <cellStyle name="Normal 2 11 3 6 3" xfId="19962"/>
    <cellStyle name="Normal 2 11 3 6 4" xfId="19963"/>
    <cellStyle name="Normal 2 11 3 7" xfId="19964"/>
    <cellStyle name="Normal 2 11 3 7 2" xfId="19965"/>
    <cellStyle name="Normal 2 11 3 8" xfId="19966"/>
    <cellStyle name="Normal 2 11 3 9" xfId="19967"/>
    <cellStyle name="Normal 2 11 4" xfId="19968"/>
    <cellStyle name="Normal 2 11 4 10" xfId="19969"/>
    <cellStyle name="Normal 2 11 4 11" xfId="19970"/>
    <cellStyle name="Normal 2 11 4 2" xfId="19971"/>
    <cellStyle name="Normal 2 11 4 2 2" xfId="19972"/>
    <cellStyle name="Normal 2 11 4 2 2 2" xfId="19973"/>
    <cellStyle name="Normal 2 11 4 2 2 2 2" xfId="19974"/>
    <cellStyle name="Normal 2 11 4 2 2 2 3" xfId="19975"/>
    <cellStyle name="Normal 2 11 4 2 2 3" xfId="19976"/>
    <cellStyle name="Normal 2 11 4 2 2 4" xfId="19977"/>
    <cellStyle name="Normal 2 11 4 2 2 5" xfId="19978"/>
    <cellStyle name="Normal 2 11 4 2 2 6" xfId="19979"/>
    <cellStyle name="Normal 2 11 4 2 3" xfId="19980"/>
    <cellStyle name="Normal 2 11 4 2 3 2" xfId="19981"/>
    <cellStyle name="Normal 2 11 4 2 3 2 2" xfId="19982"/>
    <cellStyle name="Normal 2 11 4 2 3 3" xfId="19983"/>
    <cellStyle name="Normal 2 11 4 2 3 4" xfId="19984"/>
    <cellStyle name="Normal 2 11 4 2 3 5" xfId="19985"/>
    <cellStyle name="Normal 2 11 4 2 4" xfId="19986"/>
    <cellStyle name="Normal 2 11 4 2 4 2" xfId="19987"/>
    <cellStyle name="Normal 2 11 4 2 4 3" xfId="19988"/>
    <cellStyle name="Normal 2 11 4 2 4 4" xfId="19989"/>
    <cellStyle name="Normal 2 11 4 2 5" xfId="19990"/>
    <cellStyle name="Normal 2 11 4 2 5 2" xfId="19991"/>
    <cellStyle name="Normal 2 11 4 2 6" xfId="19992"/>
    <cellStyle name="Normal 2 11 4 2 7" xfId="19993"/>
    <cellStyle name="Normal 2 11 4 2 8" xfId="19994"/>
    <cellStyle name="Normal 2 11 4 2 9" xfId="19995"/>
    <cellStyle name="Normal 2 11 4 3" xfId="19996"/>
    <cellStyle name="Normal 2 11 4 3 2" xfId="19997"/>
    <cellStyle name="Normal 2 11 4 3 2 2" xfId="19998"/>
    <cellStyle name="Normal 2 11 4 3 2 2 2" xfId="19999"/>
    <cellStyle name="Normal 2 11 4 3 2 2 3" xfId="20000"/>
    <cellStyle name="Normal 2 11 4 3 2 3" xfId="20001"/>
    <cellStyle name="Normal 2 11 4 3 2 4" xfId="20002"/>
    <cellStyle name="Normal 2 11 4 3 2 5" xfId="20003"/>
    <cellStyle name="Normal 2 11 4 3 2 6" xfId="20004"/>
    <cellStyle name="Normal 2 11 4 3 3" xfId="20005"/>
    <cellStyle name="Normal 2 11 4 3 3 2" xfId="20006"/>
    <cellStyle name="Normal 2 11 4 3 3 2 2" xfId="20007"/>
    <cellStyle name="Normal 2 11 4 3 3 3" xfId="20008"/>
    <cellStyle name="Normal 2 11 4 3 3 4" xfId="20009"/>
    <cellStyle name="Normal 2 11 4 3 3 5" xfId="20010"/>
    <cellStyle name="Normal 2 11 4 3 4" xfId="20011"/>
    <cellStyle name="Normal 2 11 4 3 4 2" xfId="20012"/>
    <cellStyle name="Normal 2 11 4 3 4 3" xfId="20013"/>
    <cellStyle name="Normal 2 11 4 3 4 4" xfId="20014"/>
    <cellStyle name="Normal 2 11 4 3 5" xfId="20015"/>
    <cellStyle name="Normal 2 11 4 3 5 2" xfId="20016"/>
    <cellStyle name="Normal 2 11 4 3 6" xfId="20017"/>
    <cellStyle name="Normal 2 11 4 3 7" xfId="20018"/>
    <cellStyle name="Normal 2 11 4 3 8" xfId="20019"/>
    <cellStyle name="Normal 2 11 4 3 9" xfId="20020"/>
    <cellStyle name="Normal 2 11 4 4" xfId="20021"/>
    <cellStyle name="Normal 2 11 4 4 2" xfId="20022"/>
    <cellStyle name="Normal 2 11 4 4 2 2" xfId="20023"/>
    <cellStyle name="Normal 2 11 4 4 2 3" xfId="20024"/>
    <cellStyle name="Normal 2 11 4 4 3" xfId="20025"/>
    <cellStyle name="Normal 2 11 4 4 4" xfId="20026"/>
    <cellStyle name="Normal 2 11 4 4 5" xfId="20027"/>
    <cellStyle name="Normal 2 11 4 4 6" xfId="20028"/>
    <cellStyle name="Normal 2 11 4 5" xfId="20029"/>
    <cellStyle name="Normal 2 11 4 5 2" xfId="20030"/>
    <cellStyle name="Normal 2 11 4 5 2 2" xfId="20031"/>
    <cellStyle name="Normal 2 11 4 5 3" xfId="20032"/>
    <cellStyle name="Normal 2 11 4 5 4" xfId="20033"/>
    <cellStyle name="Normal 2 11 4 5 5" xfId="20034"/>
    <cellStyle name="Normal 2 11 4 6" xfId="20035"/>
    <cellStyle name="Normal 2 11 4 6 2" xfId="20036"/>
    <cellStyle name="Normal 2 11 4 6 3" xfId="20037"/>
    <cellStyle name="Normal 2 11 4 6 4" xfId="20038"/>
    <cellStyle name="Normal 2 11 4 7" xfId="20039"/>
    <cellStyle name="Normal 2 11 4 7 2" xfId="20040"/>
    <cellStyle name="Normal 2 11 4 8" xfId="20041"/>
    <cellStyle name="Normal 2 11 4 9" xfId="20042"/>
    <cellStyle name="Normal 2 11 5" xfId="20043"/>
    <cellStyle name="Normal 2 11 5 10" xfId="20044"/>
    <cellStyle name="Normal 2 11 5 11" xfId="20045"/>
    <cellStyle name="Normal 2 11 5 2" xfId="20046"/>
    <cellStyle name="Normal 2 11 5 2 2" xfId="20047"/>
    <cellStyle name="Normal 2 11 5 2 2 2" xfId="20048"/>
    <cellStyle name="Normal 2 11 5 2 2 2 2" xfId="20049"/>
    <cellStyle name="Normal 2 11 5 2 2 2 3" xfId="20050"/>
    <cellStyle name="Normal 2 11 5 2 2 3" xfId="20051"/>
    <cellStyle name="Normal 2 11 5 2 2 4" xfId="20052"/>
    <cellStyle name="Normal 2 11 5 2 2 5" xfId="20053"/>
    <cellStyle name="Normal 2 11 5 2 2 6" xfId="20054"/>
    <cellStyle name="Normal 2 11 5 2 3" xfId="20055"/>
    <cellStyle name="Normal 2 11 5 2 3 2" xfId="20056"/>
    <cellStyle name="Normal 2 11 5 2 3 2 2" xfId="20057"/>
    <cellStyle name="Normal 2 11 5 2 3 3" xfId="20058"/>
    <cellStyle name="Normal 2 11 5 2 3 4" xfId="20059"/>
    <cellStyle name="Normal 2 11 5 2 3 5" xfId="20060"/>
    <cellStyle name="Normal 2 11 5 2 4" xfId="20061"/>
    <cellStyle name="Normal 2 11 5 2 4 2" xfId="20062"/>
    <cellStyle name="Normal 2 11 5 2 4 3" xfId="20063"/>
    <cellStyle name="Normal 2 11 5 2 4 4" xfId="20064"/>
    <cellStyle name="Normal 2 11 5 2 5" xfId="20065"/>
    <cellStyle name="Normal 2 11 5 2 5 2" xfId="20066"/>
    <cellStyle name="Normal 2 11 5 2 6" xfId="20067"/>
    <cellStyle name="Normal 2 11 5 2 7" xfId="20068"/>
    <cellStyle name="Normal 2 11 5 2 8" xfId="20069"/>
    <cellStyle name="Normal 2 11 5 2 9" xfId="20070"/>
    <cellStyle name="Normal 2 11 5 3" xfId="20071"/>
    <cellStyle name="Normal 2 11 5 3 2" xfId="20072"/>
    <cellStyle name="Normal 2 11 5 3 2 2" xfId="20073"/>
    <cellStyle name="Normal 2 11 5 3 2 2 2" xfId="20074"/>
    <cellStyle name="Normal 2 11 5 3 2 2 3" xfId="20075"/>
    <cellStyle name="Normal 2 11 5 3 2 3" xfId="20076"/>
    <cellStyle name="Normal 2 11 5 3 2 4" xfId="20077"/>
    <cellStyle name="Normal 2 11 5 3 2 5" xfId="20078"/>
    <cellStyle name="Normal 2 11 5 3 2 6" xfId="20079"/>
    <cellStyle name="Normal 2 11 5 3 3" xfId="20080"/>
    <cellStyle name="Normal 2 11 5 3 3 2" xfId="20081"/>
    <cellStyle name="Normal 2 11 5 3 3 2 2" xfId="20082"/>
    <cellStyle name="Normal 2 11 5 3 3 3" xfId="20083"/>
    <cellStyle name="Normal 2 11 5 3 3 4" xfId="20084"/>
    <cellStyle name="Normal 2 11 5 3 3 5" xfId="20085"/>
    <cellStyle name="Normal 2 11 5 3 4" xfId="20086"/>
    <cellStyle name="Normal 2 11 5 3 4 2" xfId="20087"/>
    <cellStyle name="Normal 2 11 5 3 4 3" xfId="20088"/>
    <cellStyle name="Normal 2 11 5 3 4 4" xfId="20089"/>
    <cellStyle name="Normal 2 11 5 3 5" xfId="20090"/>
    <cellStyle name="Normal 2 11 5 3 5 2" xfId="20091"/>
    <cellStyle name="Normal 2 11 5 3 6" xfId="20092"/>
    <cellStyle name="Normal 2 11 5 3 7" xfId="20093"/>
    <cellStyle name="Normal 2 11 5 3 8" xfId="20094"/>
    <cellStyle name="Normal 2 11 5 3 9" xfId="20095"/>
    <cellStyle name="Normal 2 11 5 4" xfId="20096"/>
    <cellStyle name="Normal 2 11 5 4 2" xfId="20097"/>
    <cellStyle name="Normal 2 11 5 4 2 2" xfId="20098"/>
    <cellStyle name="Normal 2 11 5 4 2 3" xfId="20099"/>
    <cellStyle name="Normal 2 11 5 4 3" xfId="20100"/>
    <cellStyle name="Normal 2 11 5 4 4" xfId="20101"/>
    <cellStyle name="Normal 2 11 5 4 5" xfId="20102"/>
    <cellStyle name="Normal 2 11 5 4 6" xfId="20103"/>
    <cellStyle name="Normal 2 11 5 5" xfId="20104"/>
    <cellStyle name="Normal 2 11 5 5 2" xfId="20105"/>
    <cellStyle name="Normal 2 11 5 5 2 2" xfId="20106"/>
    <cellStyle name="Normal 2 11 5 5 3" xfId="20107"/>
    <cellStyle name="Normal 2 11 5 5 4" xfId="20108"/>
    <cellStyle name="Normal 2 11 5 5 5" xfId="20109"/>
    <cellStyle name="Normal 2 11 5 6" xfId="20110"/>
    <cellStyle name="Normal 2 11 5 6 2" xfId="20111"/>
    <cellStyle name="Normal 2 11 5 6 3" xfId="20112"/>
    <cellStyle name="Normal 2 11 5 6 4" xfId="20113"/>
    <cellStyle name="Normal 2 11 5 7" xfId="20114"/>
    <cellStyle name="Normal 2 11 5 7 2" xfId="20115"/>
    <cellStyle name="Normal 2 11 5 8" xfId="20116"/>
    <cellStyle name="Normal 2 11 5 9" xfId="20117"/>
    <cellStyle name="Normal 2 11 6" xfId="20118"/>
    <cellStyle name="Normal 2 11 6 10" xfId="20119"/>
    <cellStyle name="Normal 2 11 6 11" xfId="20120"/>
    <cellStyle name="Normal 2 11 6 2" xfId="20121"/>
    <cellStyle name="Normal 2 11 6 2 2" xfId="20122"/>
    <cellStyle name="Normal 2 11 6 2 2 2" xfId="20123"/>
    <cellStyle name="Normal 2 11 6 2 2 2 2" xfId="20124"/>
    <cellStyle name="Normal 2 11 6 2 2 2 3" xfId="20125"/>
    <cellStyle name="Normal 2 11 6 2 2 3" xfId="20126"/>
    <cellStyle name="Normal 2 11 6 2 2 4" xfId="20127"/>
    <cellStyle name="Normal 2 11 6 2 2 5" xfId="20128"/>
    <cellStyle name="Normal 2 11 6 2 2 6" xfId="20129"/>
    <cellStyle name="Normal 2 11 6 2 3" xfId="20130"/>
    <cellStyle name="Normal 2 11 6 2 3 2" xfId="20131"/>
    <cellStyle name="Normal 2 11 6 2 3 2 2" xfId="20132"/>
    <cellStyle name="Normal 2 11 6 2 3 3" xfId="20133"/>
    <cellStyle name="Normal 2 11 6 2 3 4" xfId="20134"/>
    <cellStyle name="Normal 2 11 6 2 3 5" xfId="20135"/>
    <cellStyle name="Normal 2 11 6 2 4" xfId="20136"/>
    <cellStyle name="Normal 2 11 6 2 4 2" xfId="20137"/>
    <cellStyle name="Normal 2 11 6 2 4 3" xfId="20138"/>
    <cellStyle name="Normal 2 11 6 2 4 4" xfId="20139"/>
    <cellStyle name="Normal 2 11 6 2 5" xfId="20140"/>
    <cellStyle name="Normal 2 11 6 2 5 2" xfId="20141"/>
    <cellStyle name="Normal 2 11 6 2 6" xfId="20142"/>
    <cellStyle name="Normal 2 11 6 2 7" xfId="20143"/>
    <cellStyle name="Normal 2 11 6 2 8" xfId="20144"/>
    <cellStyle name="Normal 2 11 6 2 9" xfId="20145"/>
    <cellStyle name="Normal 2 11 6 3" xfId="20146"/>
    <cellStyle name="Normal 2 11 6 3 2" xfId="20147"/>
    <cellStyle name="Normal 2 11 6 3 2 2" xfId="20148"/>
    <cellStyle name="Normal 2 11 6 3 2 2 2" xfId="20149"/>
    <cellStyle name="Normal 2 11 6 3 2 2 3" xfId="20150"/>
    <cellStyle name="Normal 2 11 6 3 2 3" xfId="20151"/>
    <cellStyle name="Normal 2 11 6 3 2 4" xfId="20152"/>
    <cellStyle name="Normal 2 11 6 3 2 5" xfId="20153"/>
    <cellStyle name="Normal 2 11 6 3 2 6" xfId="20154"/>
    <cellStyle name="Normal 2 11 6 3 3" xfId="20155"/>
    <cellStyle name="Normal 2 11 6 3 3 2" xfId="20156"/>
    <cellStyle name="Normal 2 11 6 3 3 2 2" xfId="20157"/>
    <cellStyle name="Normal 2 11 6 3 3 3" xfId="20158"/>
    <cellStyle name="Normal 2 11 6 3 3 4" xfId="20159"/>
    <cellStyle name="Normal 2 11 6 3 3 5" xfId="20160"/>
    <cellStyle name="Normal 2 11 6 3 4" xfId="20161"/>
    <cellStyle name="Normal 2 11 6 3 4 2" xfId="20162"/>
    <cellStyle name="Normal 2 11 6 3 4 3" xfId="20163"/>
    <cellStyle name="Normal 2 11 6 3 4 4" xfId="20164"/>
    <cellStyle name="Normal 2 11 6 3 5" xfId="20165"/>
    <cellStyle name="Normal 2 11 6 3 5 2" xfId="20166"/>
    <cellStyle name="Normal 2 11 6 3 6" xfId="20167"/>
    <cellStyle name="Normal 2 11 6 3 7" xfId="20168"/>
    <cellStyle name="Normal 2 11 6 3 8" xfId="20169"/>
    <cellStyle name="Normal 2 11 6 3 9" xfId="20170"/>
    <cellStyle name="Normal 2 11 6 4" xfId="20171"/>
    <cellStyle name="Normal 2 11 6 4 2" xfId="20172"/>
    <cellStyle name="Normal 2 11 6 4 2 2" xfId="20173"/>
    <cellStyle name="Normal 2 11 6 4 2 3" xfId="20174"/>
    <cellStyle name="Normal 2 11 6 4 3" xfId="20175"/>
    <cellStyle name="Normal 2 11 6 4 4" xfId="20176"/>
    <cellStyle name="Normal 2 11 6 4 5" xfId="20177"/>
    <cellStyle name="Normal 2 11 6 4 6" xfId="20178"/>
    <cellStyle name="Normal 2 11 6 5" xfId="20179"/>
    <cellStyle name="Normal 2 11 6 5 2" xfId="20180"/>
    <cellStyle name="Normal 2 11 6 5 2 2" xfId="20181"/>
    <cellStyle name="Normal 2 11 6 5 3" xfId="20182"/>
    <cellStyle name="Normal 2 11 6 5 4" xfId="20183"/>
    <cellStyle name="Normal 2 11 6 5 5" xfId="20184"/>
    <cellStyle name="Normal 2 11 6 6" xfId="20185"/>
    <cellStyle name="Normal 2 11 6 6 2" xfId="20186"/>
    <cellStyle name="Normal 2 11 6 6 3" xfId="20187"/>
    <cellStyle name="Normal 2 11 6 6 4" xfId="20188"/>
    <cellStyle name="Normal 2 11 6 7" xfId="20189"/>
    <cellStyle name="Normal 2 11 6 7 2" xfId="20190"/>
    <cellStyle name="Normal 2 11 6 8" xfId="20191"/>
    <cellStyle name="Normal 2 11 6 9" xfId="20192"/>
    <cellStyle name="Normal 2 11 7" xfId="20193"/>
    <cellStyle name="Normal 2 11 7 10" xfId="20194"/>
    <cellStyle name="Normal 2 11 7 11" xfId="20195"/>
    <cellStyle name="Normal 2 11 7 2" xfId="20196"/>
    <cellStyle name="Normal 2 11 7 2 2" xfId="20197"/>
    <cellStyle name="Normal 2 11 7 2 2 2" xfId="20198"/>
    <cellStyle name="Normal 2 11 7 2 2 2 2" xfId="20199"/>
    <cellStyle name="Normal 2 11 7 2 2 2 3" xfId="20200"/>
    <cellStyle name="Normal 2 11 7 2 2 3" xfId="20201"/>
    <cellStyle name="Normal 2 11 7 2 2 4" xfId="20202"/>
    <cellStyle name="Normal 2 11 7 2 2 5" xfId="20203"/>
    <cellStyle name="Normal 2 11 7 2 2 6" xfId="20204"/>
    <cellStyle name="Normal 2 11 7 2 3" xfId="20205"/>
    <cellStyle name="Normal 2 11 7 2 3 2" xfId="20206"/>
    <cellStyle name="Normal 2 11 7 2 3 2 2" xfId="20207"/>
    <cellStyle name="Normal 2 11 7 2 3 3" xfId="20208"/>
    <cellStyle name="Normal 2 11 7 2 3 4" xfId="20209"/>
    <cellStyle name="Normal 2 11 7 2 3 5" xfId="20210"/>
    <cellStyle name="Normal 2 11 7 2 4" xfId="20211"/>
    <cellStyle name="Normal 2 11 7 2 4 2" xfId="20212"/>
    <cellStyle name="Normal 2 11 7 2 4 3" xfId="20213"/>
    <cellStyle name="Normal 2 11 7 2 4 4" xfId="20214"/>
    <cellStyle name="Normal 2 11 7 2 5" xfId="20215"/>
    <cellStyle name="Normal 2 11 7 2 5 2" xfId="20216"/>
    <cellStyle name="Normal 2 11 7 2 6" xfId="20217"/>
    <cellStyle name="Normal 2 11 7 2 7" xfId="20218"/>
    <cellStyle name="Normal 2 11 7 2 8" xfId="20219"/>
    <cellStyle name="Normal 2 11 7 2 9" xfId="20220"/>
    <cellStyle name="Normal 2 11 7 3" xfId="20221"/>
    <cellStyle name="Normal 2 11 7 3 2" xfId="20222"/>
    <cellStyle name="Normal 2 11 7 3 2 2" xfId="20223"/>
    <cellStyle name="Normal 2 11 7 3 2 2 2" xfId="20224"/>
    <cellStyle name="Normal 2 11 7 3 2 2 3" xfId="20225"/>
    <cellStyle name="Normal 2 11 7 3 2 3" xfId="20226"/>
    <cellStyle name="Normal 2 11 7 3 2 4" xfId="20227"/>
    <cellStyle name="Normal 2 11 7 3 2 5" xfId="20228"/>
    <cellStyle name="Normal 2 11 7 3 2 6" xfId="20229"/>
    <cellStyle name="Normal 2 11 7 3 3" xfId="20230"/>
    <cellStyle name="Normal 2 11 7 3 3 2" xfId="20231"/>
    <cellStyle name="Normal 2 11 7 3 3 2 2" xfId="20232"/>
    <cellStyle name="Normal 2 11 7 3 3 3" xfId="20233"/>
    <cellStyle name="Normal 2 11 7 3 3 4" xfId="20234"/>
    <cellStyle name="Normal 2 11 7 3 3 5" xfId="20235"/>
    <cellStyle name="Normal 2 11 7 3 4" xfId="20236"/>
    <cellStyle name="Normal 2 11 7 3 4 2" xfId="20237"/>
    <cellStyle name="Normal 2 11 7 3 4 3" xfId="20238"/>
    <cellStyle name="Normal 2 11 7 3 4 4" xfId="20239"/>
    <cellStyle name="Normal 2 11 7 3 5" xfId="20240"/>
    <cellStyle name="Normal 2 11 7 3 5 2" xfId="20241"/>
    <cellStyle name="Normal 2 11 7 3 6" xfId="20242"/>
    <cellStyle name="Normal 2 11 7 3 7" xfId="20243"/>
    <cellStyle name="Normal 2 11 7 3 8" xfId="20244"/>
    <cellStyle name="Normal 2 11 7 3 9" xfId="20245"/>
    <cellStyle name="Normal 2 11 7 4" xfId="20246"/>
    <cellStyle name="Normal 2 11 7 4 2" xfId="20247"/>
    <cellStyle name="Normal 2 11 7 4 2 2" xfId="20248"/>
    <cellStyle name="Normal 2 11 7 4 2 3" xfId="20249"/>
    <cellStyle name="Normal 2 11 7 4 3" xfId="20250"/>
    <cellStyle name="Normal 2 11 7 4 4" xfId="20251"/>
    <cellStyle name="Normal 2 11 7 4 5" xfId="20252"/>
    <cellStyle name="Normal 2 11 7 4 6" xfId="20253"/>
    <cellStyle name="Normal 2 11 7 5" xfId="20254"/>
    <cellStyle name="Normal 2 11 7 5 2" xfId="20255"/>
    <cellStyle name="Normal 2 11 7 5 2 2" xfId="20256"/>
    <cellStyle name="Normal 2 11 7 5 3" xfId="20257"/>
    <cellStyle name="Normal 2 11 7 5 4" xfId="20258"/>
    <cellStyle name="Normal 2 11 7 5 5" xfId="20259"/>
    <cellStyle name="Normal 2 11 7 6" xfId="20260"/>
    <cellStyle name="Normal 2 11 7 6 2" xfId="20261"/>
    <cellStyle name="Normal 2 11 7 6 3" xfId="20262"/>
    <cellStyle name="Normal 2 11 7 6 4" xfId="20263"/>
    <cellStyle name="Normal 2 11 7 7" xfId="20264"/>
    <cellStyle name="Normal 2 11 7 7 2" xfId="20265"/>
    <cellStyle name="Normal 2 11 7 8" xfId="20266"/>
    <cellStyle name="Normal 2 11 7 9" xfId="20267"/>
    <cellStyle name="Normal 2 11 8" xfId="20268"/>
    <cellStyle name="Normal 2 11 8 10" xfId="20269"/>
    <cellStyle name="Normal 2 11 8 2" xfId="20270"/>
    <cellStyle name="Normal 2 11 8 2 2" xfId="20271"/>
    <cellStyle name="Normal 2 11 8 2 2 2" xfId="20272"/>
    <cellStyle name="Normal 2 11 8 2 2 3" xfId="20273"/>
    <cellStyle name="Normal 2 11 8 2 3" xfId="20274"/>
    <cellStyle name="Normal 2 11 8 2 4" xfId="20275"/>
    <cellStyle name="Normal 2 11 8 2 5" xfId="20276"/>
    <cellStyle name="Normal 2 11 8 2 6" xfId="20277"/>
    <cellStyle name="Normal 2 11 8 3" xfId="20278"/>
    <cellStyle name="Normal 2 11 8 3 2" xfId="20279"/>
    <cellStyle name="Normal 2 11 8 3 2 2" xfId="20280"/>
    <cellStyle name="Normal 2 11 8 3 2 3" xfId="20281"/>
    <cellStyle name="Normal 2 11 8 3 3" xfId="20282"/>
    <cellStyle name="Normal 2 11 8 3 4" xfId="20283"/>
    <cellStyle name="Normal 2 11 8 3 5" xfId="20284"/>
    <cellStyle name="Normal 2 11 8 3 6" xfId="20285"/>
    <cellStyle name="Normal 2 11 8 4" xfId="20286"/>
    <cellStyle name="Normal 2 11 8 4 2" xfId="20287"/>
    <cellStyle name="Normal 2 11 8 4 2 2" xfId="20288"/>
    <cellStyle name="Normal 2 11 8 4 3" xfId="20289"/>
    <cellStyle name="Normal 2 11 8 4 4" xfId="20290"/>
    <cellStyle name="Normal 2 11 8 4 5" xfId="20291"/>
    <cellStyle name="Normal 2 11 8 5" xfId="20292"/>
    <cellStyle name="Normal 2 11 8 5 2" xfId="20293"/>
    <cellStyle name="Normal 2 11 8 5 3" xfId="20294"/>
    <cellStyle name="Normal 2 11 8 5 4" xfId="20295"/>
    <cellStyle name="Normal 2 11 8 6" xfId="20296"/>
    <cellStyle name="Normal 2 11 8 6 2" xfId="20297"/>
    <cellStyle name="Normal 2 11 8 7" xfId="20298"/>
    <cellStyle name="Normal 2 11 8 8" xfId="20299"/>
    <cellStyle name="Normal 2 11 8 9" xfId="20300"/>
    <cellStyle name="Normal 2 11 9" xfId="20301"/>
    <cellStyle name="Normal 2 11 9 10" xfId="20302"/>
    <cellStyle name="Normal 2 11 9 2" xfId="20303"/>
    <cellStyle name="Normal 2 11 9 2 2" xfId="20304"/>
    <cellStyle name="Normal 2 11 9 2 2 2" xfId="20305"/>
    <cellStyle name="Normal 2 11 9 2 2 3" xfId="20306"/>
    <cellStyle name="Normal 2 11 9 2 3" xfId="20307"/>
    <cellStyle name="Normal 2 11 9 2 4" xfId="20308"/>
    <cellStyle name="Normal 2 11 9 2 5" xfId="20309"/>
    <cellStyle name="Normal 2 11 9 2 6" xfId="20310"/>
    <cellStyle name="Normal 2 11 9 3" xfId="20311"/>
    <cellStyle name="Normal 2 11 9 3 2" xfId="20312"/>
    <cellStyle name="Normal 2 11 9 3 2 2" xfId="20313"/>
    <cellStyle name="Normal 2 11 9 3 2 3" xfId="20314"/>
    <cellStyle name="Normal 2 11 9 3 3" xfId="20315"/>
    <cellStyle name="Normal 2 11 9 3 4" xfId="20316"/>
    <cellStyle name="Normal 2 11 9 3 5" xfId="20317"/>
    <cellStyle name="Normal 2 11 9 3 6" xfId="20318"/>
    <cellStyle name="Normal 2 11 9 4" xfId="20319"/>
    <cellStyle name="Normal 2 11 9 4 2" xfId="20320"/>
    <cellStyle name="Normal 2 11 9 4 2 2" xfId="20321"/>
    <cellStyle name="Normal 2 11 9 4 3" xfId="20322"/>
    <cellStyle name="Normal 2 11 9 4 4" xfId="20323"/>
    <cellStyle name="Normal 2 11 9 4 5" xfId="20324"/>
    <cellStyle name="Normal 2 11 9 5" xfId="20325"/>
    <cellStyle name="Normal 2 11 9 5 2" xfId="20326"/>
    <cellStyle name="Normal 2 11 9 5 3" xfId="20327"/>
    <cellStyle name="Normal 2 11 9 5 4" xfId="20328"/>
    <cellStyle name="Normal 2 11 9 6" xfId="20329"/>
    <cellStyle name="Normal 2 11 9 6 2" xfId="20330"/>
    <cellStyle name="Normal 2 11 9 7" xfId="20331"/>
    <cellStyle name="Normal 2 11 9 8" xfId="20332"/>
    <cellStyle name="Normal 2 11 9 9" xfId="20333"/>
    <cellStyle name="Normal 2 12" xfId="20334"/>
    <cellStyle name="Normal 2 12 10" xfId="20335"/>
    <cellStyle name="Normal 2 12 10 10" xfId="20336"/>
    <cellStyle name="Normal 2 12 10 2" xfId="20337"/>
    <cellStyle name="Normal 2 12 10 2 2" xfId="20338"/>
    <cellStyle name="Normal 2 12 10 2 2 2" xfId="20339"/>
    <cellStyle name="Normal 2 12 10 2 2 3" xfId="20340"/>
    <cellStyle name="Normal 2 12 10 2 3" xfId="20341"/>
    <cellStyle name="Normal 2 12 10 2 4" xfId="20342"/>
    <cellStyle name="Normal 2 12 10 2 5" xfId="20343"/>
    <cellStyle name="Normal 2 12 10 2 6" xfId="20344"/>
    <cellStyle name="Normal 2 12 10 3" xfId="20345"/>
    <cellStyle name="Normal 2 12 10 3 2" xfId="20346"/>
    <cellStyle name="Normal 2 12 10 3 2 2" xfId="20347"/>
    <cellStyle name="Normal 2 12 10 3 2 3" xfId="20348"/>
    <cellStyle name="Normal 2 12 10 3 3" xfId="20349"/>
    <cellStyle name="Normal 2 12 10 3 4" xfId="20350"/>
    <cellStyle name="Normal 2 12 10 3 5" xfId="20351"/>
    <cellStyle name="Normal 2 12 10 3 6" xfId="20352"/>
    <cellStyle name="Normal 2 12 10 4" xfId="20353"/>
    <cellStyle name="Normal 2 12 10 4 2" xfId="20354"/>
    <cellStyle name="Normal 2 12 10 4 2 2" xfId="20355"/>
    <cellStyle name="Normal 2 12 10 4 3" xfId="20356"/>
    <cellStyle name="Normal 2 12 10 4 4" xfId="20357"/>
    <cellStyle name="Normal 2 12 10 4 5" xfId="20358"/>
    <cellStyle name="Normal 2 12 10 5" xfId="20359"/>
    <cellStyle name="Normal 2 12 10 5 2" xfId="20360"/>
    <cellStyle name="Normal 2 12 10 5 3" xfId="20361"/>
    <cellStyle name="Normal 2 12 10 5 4" xfId="20362"/>
    <cellStyle name="Normal 2 12 10 6" xfId="20363"/>
    <cellStyle name="Normal 2 12 10 6 2" xfId="20364"/>
    <cellStyle name="Normal 2 12 10 7" xfId="20365"/>
    <cellStyle name="Normal 2 12 10 8" xfId="20366"/>
    <cellStyle name="Normal 2 12 10 9" xfId="20367"/>
    <cellStyle name="Normal 2 12 11" xfId="20368"/>
    <cellStyle name="Normal 2 12 11 10" xfId="20369"/>
    <cellStyle name="Normal 2 12 11 2" xfId="20370"/>
    <cellStyle name="Normal 2 12 11 2 2" xfId="20371"/>
    <cellStyle name="Normal 2 12 11 2 2 2" xfId="20372"/>
    <cellStyle name="Normal 2 12 11 2 2 3" xfId="20373"/>
    <cellStyle name="Normal 2 12 11 2 3" xfId="20374"/>
    <cellStyle name="Normal 2 12 11 2 4" xfId="20375"/>
    <cellStyle name="Normal 2 12 11 2 5" xfId="20376"/>
    <cellStyle name="Normal 2 12 11 2 6" xfId="20377"/>
    <cellStyle name="Normal 2 12 11 3" xfId="20378"/>
    <cellStyle name="Normal 2 12 11 3 2" xfId="20379"/>
    <cellStyle name="Normal 2 12 11 3 2 2" xfId="20380"/>
    <cellStyle name="Normal 2 12 11 3 2 3" xfId="20381"/>
    <cellStyle name="Normal 2 12 11 3 3" xfId="20382"/>
    <cellStyle name="Normal 2 12 11 3 4" xfId="20383"/>
    <cellStyle name="Normal 2 12 11 3 5" xfId="20384"/>
    <cellStyle name="Normal 2 12 11 3 6" xfId="20385"/>
    <cellStyle name="Normal 2 12 11 4" xfId="20386"/>
    <cellStyle name="Normal 2 12 11 4 2" xfId="20387"/>
    <cellStyle name="Normal 2 12 11 4 2 2" xfId="20388"/>
    <cellStyle name="Normal 2 12 11 4 3" xfId="20389"/>
    <cellStyle name="Normal 2 12 11 4 4" xfId="20390"/>
    <cellStyle name="Normal 2 12 11 4 5" xfId="20391"/>
    <cellStyle name="Normal 2 12 11 5" xfId="20392"/>
    <cellStyle name="Normal 2 12 11 5 2" xfId="20393"/>
    <cellStyle name="Normal 2 12 11 5 3" xfId="20394"/>
    <cellStyle name="Normal 2 12 11 5 4" xfId="20395"/>
    <cellStyle name="Normal 2 12 11 6" xfId="20396"/>
    <cellStyle name="Normal 2 12 11 6 2" xfId="20397"/>
    <cellStyle name="Normal 2 12 11 7" xfId="20398"/>
    <cellStyle name="Normal 2 12 11 8" xfId="20399"/>
    <cellStyle name="Normal 2 12 11 9" xfId="20400"/>
    <cellStyle name="Normal 2 12 12" xfId="20401"/>
    <cellStyle name="Normal 2 12 12 10" xfId="20402"/>
    <cellStyle name="Normal 2 12 12 2" xfId="20403"/>
    <cellStyle name="Normal 2 12 12 2 2" xfId="20404"/>
    <cellStyle name="Normal 2 12 12 2 2 2" xfId="20405"/>
    <cellStyle name="Normal 2 12 12 2 2 3" xfId="20406"/>
    <cellStyle name="Normal 2 12 12 2 3" xfId="20407"/>
    <cellStyle name="Normal 2 12 12 2 4" xfId="20408"/>
    <cellStyle name="Normal 2 12 12 2 5" xfId="20409"/>
    <cellStyle name="Normal 2 12 12 2 6" xfId="20410"/>
    <cellStyle name="Normal 2 12 12 3" xfId="20411"/>
    <cellStyle name="Normal 2 12 12 3 2" xfId="20412"/>
    <cellStyle name="Normal 2 12 12 3 2 2" xfId="20413"/>
    <cellStyle name="Normal 2 12 12 3 2 3" xfId="20414"/>
    <cellStyle name="Normal 2 12 12 3 3" xfId="20415"/>
    <cellStyle name="Normal 2 12 12 3 4" xfId="20416"/>
    <cellStyle name="Normal 2 12 12 3 5" xfId="20417"/>
    <cellStyle name="Normal 2 12 12 3 6" xfId="20418"/>
    <cellStyle name="Normal 2 12 12 4" xfId="20419"/>
    <cellStyle name="Normal 2 12 12 4 2" xfId="20420"/>
    <cellStyle name="Normal 2 12 12 4 2 2" xfId="20421"/>
    <cellStyle name="Normal 2 12 12 4 3" xfId="20422"/>
    <cellStyle name="Normal 2 12 12 4 4" xfId="20423"/>
    <cellStyle name="Normal 2 12 12 4 5" xfId="20424"/>
    <cellStyle name="Normal 2 12 12 5" xfId="20425"/>
    <cellStyle name="Normal 2 12 12 5 2" xfId="20426"/>
    <cellStyle name="Normal 2 12 12 5 3" xfId="20427"/>
    <cellStyle name="Normal 2 12 12 5 4" xfId="20428"/>
    <cellStyle name="Normal 2 12 12 6" xfId="20429"/>
    <cellStyle name="Normal 2 12 12 6 2" xfId="20430"/>
    <cellStyle name="Normal 2 12 12 7" xfId="20431"/>
    <cellStyle name="Normal 2 12 12 8" xfId="20432"/>
    <cellStyle name="Normal 2 12 12 9" xfId="20433"/>
    <cellStyle name="Normal 2 12 13" xfId="20434"/>
    <cellStyle name="Normal 2 12 13 2" xfId="20435"/>
    <cellStyle name="Normal 2 12 13 2 2" xfId="20436"/>
    <cellStyle name="Normal 2 12 13 2 2 2" xfId="20437"/>
    <cellStyle name="Normal 2 12 13 2 2 3" xfId="20438"/>
    <cellStyle name="Normal 2 12 13 2 3" xfId="20439"/>
    <cellStyle name="Normal 2 12 13 2 4" xfId="20440"/>
    <cellStyle name="Normal 2 12 13 2 5" xfId="20441"/>
    <cellStyle name="Normal 2 12 13 2 6" xfId="20442"/>
    <cellStyle name="Normal 2 12 13 3" xfId="20443"/>
    <cellStyle name="Normal 2 12 13 3 2" xfId="20444"/>
    <cellStyle name="Normal 2 12 13 3 2 2" xfId="20445"/>
    <cellStyle name="Normal 2 12 13 3 3" xfId="20446"/>
    <cellStyle name="Normal 2 12 13 3 4" xfId="20447"/>
    <cellStyle name="Normal 2 12 13 3 5" xfId="20448"/>
    <cellStyle name="Normal 2 12 13 4" xfId="20449"/>
    <cellStyle name="Normal 2 12 13 4 2" xfId="20450"/>
    <cellStyle name="Normal 2 12 13 4 3" xfId="20451"/>
    <cellStyle name="Normal 2 12 13 4 4" xfId="20452"/>
    <cellStyle name="Normal 2 12 13 5" xfId="20453"/>
    <cellStyle name="Normal 2 12 13 5 2" xfId="20454"/>
    <cellStyle name="Normal 2 12 13 6" xfId="20455"/>
    <cellStyle name="Normal 2 12 13 7" xfId="20456"/>
    <cellStyle name="Normal 2 12 13 8" xfId="20457"/>
    <cellStyle name="Normal 2 12 13 9" xfId="20458"/>
    <cellStyle name="Normal 2 12 14" xfId="20459"/>
    <cellStyle name="Normal 2 12 14 2" xfId="20460"/>
    <cellStyle name="Normal 2 12 14 2 2" xfId="20461"/>
    <cellStyle name="Normal 2 12 14 2 2 2" xfId="20462"/>
    <cellStyle name="Normal 2 12 14 2 2 3" xfId="20463"/>
    <cellStyle name="Normal 2 12 14 2 3" xfId="20464"/>
    <cellStyle name="Normal 2 12 14 2 4" xfId="20465"/>
    <cellStyle name="Normal 2 12 14 2 5" xfId="20466"/>
    <cellStyle name="Normal 2 12 14 2 6" xfId="20467"/>
    <cellStyle name="Normal 2 12 14 3" xfId="20468"/>
    <cellStyle name="Normal 2 12 14 3 2" xfId="20469"/>
    <cellStyle name="Normal 2 12 14 3 2 2" xfId="20470"/>
    <cellStyle name="Normal 2 12 14 3 3" xfId="20471"/>
    <cellStyle name="Normal 2 12 14 3 4" xfId="20472"/>
    <cellStyle name="Normal 2 12 14 3 5" xfId="20473"/>
    <cellStyle name="Normal 2 12 14 4" xfId="20474"/>
    <cellStyle name="Normal 2 12 14 4 2" xfId="20475"/>
    <cellStyle name="Normal 2 12 14 4 3" xfId="20476"/>
    <cellStyle name="Normal 2 12 14 4 4" xfId="20477"/>
    <cellStyle name="Normal 2 12 14 5" xfId="20478"/>
    <cellStyle name="Normal 2 12 14 5 2" xfId="20479"/>
    <cellStyle name="Normal 2 12 14 6" xfId="20480"/>
    <cellStyle name="Normal 2 12 14 7" xfId="20481"/>
    <cellStyle name="Normal 2 12 14 8" xfId="20482"/>
    <cellStyle name="Normal 2 12 14 9" xfId="20483"/>
    <cellStyle name="Normal 2 12 15" xfId="20484"/>
    <cellStyle name="Normal 2 12 15 2" xfId="20485"/>
    <cellStyle name="Normal 2 12 15 2 2" xfId="20486"/>
    <cellStyle name="Normal 2 12 15 2 3" xfId="20487"/>
    <cellStyle name="Normal 2 12 15 3" xfId="20488"/>
    <cellStyle name="Normal 2 12 15 4" xfId="20489"/>
    <cellStyle name="Normal 2 12 15 5" xfId="20490"/>
    <cellStyle name="Normal 2 12 15 6" xfId="20491"/>
    <cellStyle name="Normal 2 12 16" xfId="20492"/>
    <cellStyle name="Normal 2 12 16 2" xfId="20493"/>
    <cellStyle name="Normal 2 12 16 2 2" xfId="20494"/>
    <cellStyle name="Normal 2 12 16 3" xfId="20495"/>
    <cellStyle name="Normal 2 12 16 4" xfId="20496"/>
    <cellStyle name="Normal 2 12 16 5" xfId="20497"/>
    <cellStyle name="Normal 2 12 17" xfId="20498"/>
    <cellStyle name="Normal 2 12 17 2" xfId="20499"/>
    <cellStyle name="Normal 2 12 17 2 2" xfId="20500"/>
    <cellStyle name="Normal 2 12 17 3" xfId="20501"/>
    <cellStyle name="Normal 2 12 17 4" xfId="20502"/>
    <cellStyle name="Normal 2 12 17 5" xfId="20503"/>
    <cellStyle name="Normal 2 12 18" xfId="20504"/>
    <cellStyle name="Normal 2 12 18 2" xfId="20505"/>
    <cellStyle name="Normal 2 12 19" xfId="20506"/>
    <cellStyle name="Normal 2 12 2" xfId="20507"/>
    <cellStyle name="Normal 2 12 2 10" xfId="20508"/>
    <cellStyle name="Normal 2 12 2 11" xfId="20509"/>
    <cellStyle name="Normal 2 12 2 2" xfId="20510"/>
    <cellStyle name="Normal 2 12 2 2 2" xfId="20511"/>
    <cellStyle name="Normal 2 12 2 2 2 2" xfId="20512"/>
    <cellStyle name="Normal 2 12 2 2 2 2 2" xfId="20513"/>
    <cellStyle name="Normal 2 12 2 2 2 2 3" xfId="20514"/>
    <cellStyle name="Normal 2 12 2 2 2 3" xfId="20515"/>
    <cellStyle name="Normal 2 12 2 2 2 4" xfId="20516"/>
    <cellStyle name="Normal 2 12 2 2 2 5" xfId="20517"/>
    <cellStyle name="Normal 2 12 2 2 2 6" xfId="20518"/>
    <cellStyle name="Normal 2 12 2 2 3" xfId="20519"/>
    <cellStyle name="Normal 2 12 2 2 3 2" xfId="20520"/>
    <cellStyle name="Normal 2 12 2 2 3 2 2" xfId="20521"/>
    <cellStyle name="Normal 2 12 2 2 3 3" xfId="20522"/>
    <cellStyle name="Normal 2 12 2 2 3 4" xfId="20523"/>
    <cellStyle name="Normal 2 12 2 2 3 5" xfId="20524"/>
    <cellStyle name="Normal 2 12 2 2 4" xfId="20525"/>
    <cellStyle name="Normal 2 12 2 2 4 2" xfId="20526"/>
    <cellStyle name="Normal 2 12 2 2 4 3" xfId="20527"/>
    <cellStyle name="Normal 2 12 2 2 4 4" xfId="20528"/>
    <cellStyle name="Normal 2 12 2 2 5" xfId="20529"/>
    <cellStyle name="Normal 2 12 2 2 5 2" xfId="20530"/>
    <cellStyle name="Normal 2 12 2 2 6" xfId="20531"/>
    <cellStyle name="Normal 2 12 2 2 7" xfId="20532"/>
    <cellStyle name="Normal 2 12 2 2 8" xfId="20533"/>
    <cellStyle name="Normal 2 12 2 2 9" xfId="20534"/>
    <cellStyle name="Normal 2 12 2 3" xfId="20535"/>
    <cellStyle name="Normal 2 12 2 3 2" xfId="20536"/>
    <cellStyle name="Normal 2 12 2 3 2 2" xfId="20537"/>
    <cellStyle name="Normal 2 12 2 3 2 2 2" xfId="20538"/>
    <cellStyle name="Normal 2 12 2 3 2 2 3" xfId="20539"/>
    <cellStyle name="Normal 2 12 2 3 2 3" xfId="20540"/>
    <cellStyle name="Normal 2 12 2 3 2 4" xfId="20541"/>
    <cellStyle name="Normal 2 12 2 3 2 5" xfId="20542"/>
    <cellStyle name="Normal 2 12 2 3 2 6" xfId="20543"/>
    <cellStyle name="Normal 2 12 2 3 3" xfId="20544"/>
    <cellStyle name="Normal 2 12 2 3 3 2" xfId="20545"/>
    <cellStyle name="Normal 2 12 2 3 3 2 2" xfId="20546"/>
    <cellStyle name="Normal 2 12 2 3 3 3" xfId="20547"/>
    <cellStyle name="Normal 2 12 2 3 3 4" xfId="20548"/>
    <cellStyle name="Normal 2 12 2 3 3 5" xfId="20549"/>
    <cellStyle name="Normal 2 12 2 3 4" xfId="20550"/>
    <cellStyle name="Normal 2 12 2 3 4 2" xfId="20551"/>
    <cellStyle name="Normal 2 12 2 3 4 3" xfId="20552"/>
    <cellStyle name="Normal 2 12 2 3 4 4" xfId="20553"/>
    <cellStyle name="Normal 2 12 2 3 5" xfId="20554"/>
    <cellStyle name="Normal 2 12 2 3 5 2" xfId="20555"/>
    <cellStyle name="Normal 2 12 2 3 6" xfId="20556"/>
    <cellStyle name="Normal 2 12 2 3 7" xfId="20557"/>
    <cellStyle name="Normal 2 12 2 3 8" xfId="20558"/>
    <cellStyle name="Normal 2 12 2 3 9" xfId="20559"/>
    <cellStyle name="Normal 2 12 2 4" xfId="20560"/>
    <cellStyle name="Normal 2 12 2 4 2" xfId="20561"/>
    <cellStyle name="Normal 2 12 2 4 2 2" xfId="20562"/>
    <cellStyle name="Normal 2 12 2 4 2 3" xfId="20563"/>
    <cellStyle name="Normal 2 12 2 4 3" xfId="20564"/>
    <cellStyle name="Normal 2 12 2 4 4" xfId="20565"/>
    <cellStyle name="Normal 2 12 2 4 5" xfId="20566"/>
    <cellStyle name="Normal 2 12 2 4 6" xfId="20567"/>
    <cellStyle name="Normal 2 12 2 5" xfId="20568"/>
    <cellStyle name="Normal 2 12 2 5 2" xfId="20569"/>
    <cellStyle name="Normal 2 12 2 5 2 2" xfId="20570"/>
    <cellStyle name="Normal 2 12 2 5 3" xfId="20571"/>
    <cellStyle name="Normal 2 12 2 5 4" xfId="20572"/>
    <cellStyle name="Normal 2 12 2 5 5" xfId="20573"/>
    <cellStyle name="Normal 2 12 2 6" xfId="20574"/>
    <cellStyle name="Normal 2 12 2 6 2" xfId="20575"/>
    <cellStyle name="Normal 2 12 2 6 3" xfId="20576"/>
    <cellStyle name="Normal 2 12 2 6 4" xfId="20577"/>
    <cellStyle name="Normal 2 12 2 7" xfId="20578"/>
    <cellStyle name="Normal 2 12 2 7 2" xfId="20579"/>
    <cellStyle name="Normal 2 12 2 8" xfId="20580"/>
    <cellStyle name="Normal 2 12 2 9" xfId="20581"/>
    <cellStyle name="Normal 2 12 20" xfId="20582"/>
    <cellStyle name="Normal 2 12 21" xfId="20583"/>
    <cellStyle name="Normal 2 12 22" xfId="20584"/>
    <cellStyle name="Normal 2 12 3" xfId="20585"/>
    <cellStyle name="Normal 2 12 3 10" xfId="20586"/>
    <cellStyle name="Normal 2 12 3 11" xfId="20587"/>
    <cellStyle name="Normal 2 12 3 2" xfId="20588"/>
    <cellStyle name="Normal 2 12 3 2 2" xfId="20589"/>
    <cellStyle name="Normal 2 12 3 2 2 2" xfId="20590"/>
    <cellStyle name="Normal 2 12 3 2 2 2 2" xfId="20591"/>
    <cellStyle name="Normal 2 12 3 2 2 2 3" xfId="20592"/>
    <cellStyle name="Normal 2 12 3 2 2 3" xfId="20593"/>
    <cellStyle name="Normal 2 12 3 2 2 4" xfId="20594"/>
    <cellStyle name="Normal 2 12 3 2 2 5" xfId="20595"/>
    <cellStyle name="Normal 2 12 3 2 2 6" xfId="20596"/>
    <cellStyle name="Normal 2 12 3 2 3" xfId="20597"/>
    <cellStyle name="Normal 2 12 3 2 3 2" xfId="20598"/>
    <cellStyle name="Normal 2 12 3 2 3 2 2" xfId="20599"/>
    <cellStyle name="Normal 2 12 3 2 3 3" xfId="20600"/>
    <cellStyle name="Normal 2 12 3 2 3 4" xfId="20601"/>
    <cellStyle name="Normal 2 12 3 2 3 5" xfId="20602"/>
    <cellStyle name="Normal 2 12 3 2 4" xfId="20603"/>
    <cellStyle name="Normal 2 12 3 2 4 2" xfId="20604"/>
    <cellStyle name="Normal 2 12 3 2 4 3" xfId="20605"/>
    <cellStyle name="Normal 2 12 3 2 4 4" xfId="20606"/>
    <cellStyle name="Normal 2 12 3 2 5" xfId="20607"/>
    <cellStyle name="Normal 2 12 3 2 5 2" xfId="20608"/>
    <cellStyle name="Normal 2 12 3 2 6" xfId="20609"/>
    <cellStyle name="Normal 2 12 3 2 7" xfId="20610"/>
    <cellStyle name="Normal 2 12 3 2 8" xfId="20611"/>
    <cellStyle name="Normal 2 12 3 2 9" xfId="20612"/>
    <cellStyle name="Normal 2 12 3 3" xfId="20613"/>
    <cellStyle name="Normal 2 12 3 3 2" xfId="20614"/>
    <cellStyle name="Normal 2 12 3 3 2 2" xfId="20615"/>
    <cellStyle name="Normal 2 12 3 3 2 2 2" xfId="20616"/>
    <cellStyle name="Normal 2 12 3 3 2 2 3" xfId="20617"/>
    <cellStyle name="Normal 2 12 3 3 2 3" xfId="20618"/>
    <cellStyle name="Normal 2 12 3 3 2 4" xfId="20619"/>
    <cellStyle name="Normal 2 12 3 3 2 5" xfId="20620"/>
    <cellStyle name="Normal 2 12 3 3 2 6" xfId="20621"/>
    <cellStyle name="Normal 2 12 3 3 3" xfId="20622"/>
    <cellStyle name="Normal 2 12 3 3 3 2" xfId="20623"/>
    <cellStyle name="Normal 2 12 3 3 3 2 2" xfId="20624"/>
    <cellStyle name="Normal 2 12 3 3 3 3" xfId="20625"/>
    <cellStyle name="Normal 2 12 3 3 3 4" xfId="20626"/>
    <cellStyle name="Normal 2 12 3 3 3 5" xfId="20627"/>
    <cellStyle name="Normal 2 12 3 3 4" xfId="20628"/>
    <cellStyle name="Normal 2 12 3 3 4 2" xfId="20629"/>
    <cellStyle name="Normal 2 12 3 3 4 3" xfId="20630"/>
    <cellStyle name="Normal 2 12 3 3 4 4" xfId="20631"/>
    <cellStyle name="Normal 2 12 3 3 5" xfId="20632"/>
    <cellStyle name="Normal 2 12 3 3 5 2" xfId="20633"/>
    <cellStyle name="Normal 2 12 3 3 6" xfId="20634"/>
    <cellStyle name="Normal 2 12 3 3 7" xfId="20635"/>
    <cellStyle name="Normal 2 12 3 3 8" xfId="20636"/>
    <cellStyle name="Normal 2 12 3 3 9" xfId="20637"/>
    <cellStyle name="Normal 2 12 3 4" xfId="20638"/>
    <cellStyle name="Normal 2 12 3 4 2" xfId="20639"/>
    <cellStyle name="Normal 2 12 3 4 2 2" xfId="20640"/>
    <cellStyle name="Normal 2 12 3 4 2 3" xfId="20641"/>
    <cellStyle name="Normal 2 12 3 4 3" xfId="20642"/>
    <cellStyle name="Normal 2 12 3 4 4" xfId="20643"/>
    <cellStyle name="Normal 2 12 3 4 5" xfId="20644"/>
    <cellStyle name="Normal 2 12 3 4 6" xfId="20645"/>
    <cellStyle name="Normal 2 12 3 5" xfId="20646"/>
    <cellStyle name="Normal 2 12 3 5 2" xfId="20647"/>
    <cellStyle name="Normal 2 12 3 5 2 2" xfId="20648"/>
    <cellStyle name="Normal 2 12 3 5 3" xfId="20649"/>
    <cellStyle name="Normal 2 12 3 5 4" xfId="20650"/>
    <cellStyle name="Normal 2 12 3 5 5" xfId="20651"/>
    <cellStyle name="Normal 2 12 3 6" xfId="20652"/>
    <cellStyle name="Normal 2 12 3 6 2" xfId="20653"/>
    <cellStyle name="Normal 2 12 3 6 3" xfId="20654"/>
    <cellStyle name="Normal 2 12 3 6 4" xfId="20655"/>
    <cellStyle name="Normal 2 12 3 7" xfId="20656"/>
    <cellStyle name="Normal 2 12 3 7 2" xfId="20657"/>
    <cellStyle name="Normal 2 12 3 8" xfId="20658"/>
    <cellStyle name="Normal 2 12 3 9" xfId="20659"/>
    <cellStyle name="Normal 2 12 4" xfId="20660"/>
    <cellStyle name="Normal 2 12 4 10" xfId="20661"/>
    <cellStyle name="Normal 2 12 4 11" xfId="20662"/>
    <cellStyle name="Normal 2 12 4 2" xfId="20663"/>
    <cellStyle name="Normal 2 12 4 2 2" xfId="20664"/>
    <cellStyle name="Normal 2 12 4 2 2 2" xfId="20665"/>
    <cellStyle name="Normal 2 12 4 2 2 2 2" xfId="20666"/>
    <cellStyle name="Normal 2 12 4 2 2 2 3" xfId="20667"/>
    <cellStyle name="Normal 2 12 4 2 2 3" xfId="20668"/>
    <cellStyle name="Normal 2 12 4 2 2 4" xfId="20669"/>
    <cellStyle name="Normal 2 12 4 2 2 5" xfId="20670"/>
    <cellStyle name="Normal 2 12 4 2 2 6" xfId="20671"/>
    <cellStyle name="Normal 2 12 4 2 3" xfId="20672"/>
    <cellStyle name="Normal 2 12 4 2 3 2" xfId="20673"/>
    <cellStyle name="Normal 2 12 4 2 3 2 2" xfId="20674"/>
    <cellStyle name="Normal 2 12 4 2 3 3" xfId="20675"/>
    <cellStyle name="Normal 2 12 4 2 3 4" xfId="20676"/>
    <cellStyle name="Normal 2 12 4 2 3 5" xfId="20677"/>
    <cellStyle name="Normal 2 12 4 2 4" xfId="20678"/>
    <cellStyle name="Normal 2 12 4 2 4 2" xfId="20679"/>
    <cellStyle name="Normal 2 12 4 2 4 3" xfId="20680"/>
    <cellStyle name="Normal 2 12 4 2 4 4" xfId="20681"/>
    <cellStyle name="Normal 2 12 4 2 5" xfId="20682"/>
    <cellStyle name="Normal 2 12 4 2 5 2" xfId="20683"/>
    <cellStyle name="Normal 2 12 4 2 6" xfId="20684"/>
    <cellStyle name="Normal 2 12 4 2 7" xfId="20685"/>
    <cellStyle name="Normal 2 12 4 2 8" xfId="20686"/>
    <cellStyle name="Normal 2 12 4 2 9" xfId="20687"/>
    <cellStyle name="Normal 2 12 4 3" xfId="20688"/>
    <cellStyle name="Normal 2 12 4 3 2" xfId="20689"/>
    <cellStyle name="Normal 2 12 4 3 2 2" xfId="20690"/>
    <cellStyle name="Normal 2 12 4 3 2 2 2" xfId="20691"/>
    <cellStyle name="Normal 2 12 4 3 2 2 3" xfId="20692"/>
    <cellStyle name="Normal 2 12 4 3 2 3" xfId="20693"/>
    <cellStyle name="Normal 2 12 4 3 2 4" xfId="20694"/>
    <cellStyle name="Normal 2 12 4 3 2 5" xfId="20695"/>
    <cellStyle name="Normal 2 12 4 3 2 6" xfId="20696"/>
    <cellStyle name="Normal 2 12 4 3 3" xfId="20697"/>
    <cellStyle name="Normal 2 12 4 3 3 2" xfId="20698"/>
    <cellStyle name="Normal 2 12 4 3 3 2 2" xfId="20699"/>
    <cellStyle name="Normal 2 12 4 3 3 3" xfId="20700"/>
    <cellStyle name="Normal 2 12 4 3 3 4" xfId="20701"/>
    <cellStyle name="Normal 2 12 4 3 3 5" xfId="20702"/>
    <cellStyle name="Normal 2 12 4 3 4" xfId="20703"/>
    <cellStyle name="Normal 2 12 4 3 4 2" xfId="20704"/>
    <cellStyle name="Normal 2 12 4 3 4 3" xfId="20705"/>
    <cellStyle name="Normal 2 12 4 3 4 4" xfId="20706"/>
    <cellStyle name="Normal 2 12 4 3 5" xfId="20707"/>
    <cellStyle name="Normal 2 12 4 3 5 2" xfId="20708"/>
    <cellStyle name="Normal 2 12 4 3 6" xfId="20709"/>
    <cellStyle name="Normal 2 12 4 3 7" xfId="20710"/>
    <cellStyle name="Normal 2 12 4 3 8" xfId="20711"/>
    <cellStyle name="Normal 2 12 4 3 9" xfId="20712"/>
    <cellStyle name="Normal 2 12 4 4" xfId="20713"/>
    <cellStyle name="Normal 2 12 4 4 2" xfId="20714"/>
    <cellStyle name="Normal 2 12 4 4 2 2" xfId="20715"/>
    <cellStyle name="Normal 2 12 4 4 2 3" xfId="20716"/>
    <cellStyle name="Normal 2 12 4 4 3" xfId="20717"/>
    <cellStyle name="Normal 2 12 4 4 4" xfId="20718"/>
    <cellStyle name="Normal 2 12 4 4 5" xfId="20719"/>
    <cellStyle name="Normal 2 12 4 4 6" xfId="20720"/>
    <cellStyle name="Normal 2 12 4 5" xfId="20721"/>
    <cellStyle name="Normal 2 12 4 5 2" xfId="20722"/>
    <cellStyle name="Normal 2 12 4 5 2 2" xfId="20723"/>
    <cellStyle name="Normal 2 12 4 5 3" xfId="20724"/>
    <cellStyle name="Normal 2 12 4 5 4" xfId="20725"/>
    <cellStyle name="Normal 2 12 4 5 5" xfId="20726"/>
    <cellStyle name="Normal 2 12 4 6" xfId="20727"/>
    <cellStyle name="Normal 2 12 4 6 2" xfId="20728"/>
    <cellStyle name="Normal 2 12 4 6 3" xfId="20729"/>
    <cellStyle name="Normal 2 12 4 6 4" xfId="20730"/>
    <cellStyle name="Normal 2 12 4 7" xfId="20731"/>
    <cellStyle name="Normal 2 12 4 7 2" xfId="20732"/>
    <cellStyle name="Normal 2 12 4 8" xfId="20733"/>
    <cellStyle name="Normal 2 12 4 9" xfId="20734"/>
    <cellStyle name="Normal 2 12 5" xfId="20735"/>
    <cellStyle name="Normal 2 12 5 10" xfId="20736"/>
    <cellStyle name="Normal 2 12 5 11" xfId="20737"/>
    <cellStyle name="Normal 2 12 5 2" xfId="20738"/>
    <cellStyle name="Normal 2 12 5 2 2" xfId="20739"/>
    <cellStyle name="Normal 2 12 5 2 2 2" xfId="20740"/>
    <cellStyle name="Normal 2 12 5 2 2 2 2" xfId="20741"/>
    <cellStyle name="Normal 2 12 5 2 2 2 3" xfId="20742"/>
    <cellStyle name="Normal 2 12 5 2 2 3" xfId="20743"/>
    <cellStyle name="Normal 2 12 5 2 2 4" xfId="20744"/>
    <cellStyle name="Normal 2 12 5 2 2 5" xfId="20745"/>
    <cellStyle name="Normal 2 12 5 2 2 6" xfId="20746"/>
    <cellStyle name="Normal 2 12 5 2 3" xfId="20747"/>
    <cellStyle name="Normal 2 12 5 2 3 2" xfId="20748"/>
    <cellStyle name="Normal 2 12 5 2 3 2 2" xfId="20749"/>
    <cellStyle name="Normal 2 12 5 2 3 3" xfId="20750"/>
    <cellStyle name="Normal 2 12 5 2 3 4" xfId="20751"/>
    <cellStyle name="Normal 2 12 5 2 3 5" xfId="20752"/>
    <cellStyle name="Normal 2 12 5 2 4" xfId="20753"/>
    <cellStyle name="Normal 2 12 5 2 4 2" xfId="20754"/>
    <cellStyle name="Normal 2 12 5 2 4 3" xfId="20755"/>
    <cellStyle name="Normal 2 12 5 2 4 4" xfId="20756"/>
    <cellStyle name="Normal 2 12 5 2 5" xfId="20757"/>
    <cellStyle name="Normal 2 12 5 2 5 2" xfId="20758"/>
    <cellStyle name="Normal 2 12 5 2 6" xfId="20759"/>
    <cellStyle name="Normal 2 12 5 2 7" xfId="20760"/>
    <cellStyle name="Normal 2 12 5 2 8" xfId="20761"/>
    <cellStyle name="Normal 2 12 5 2 9" xfId="20762"/>
    <cellStyle name="Normal 2 12 5 3" xfId="20763"/>
    <cellStyle name="Normal 2 12 5 3 2" xfId="20764"/>
    <cellStyle name="Normal 2 12 5 3 2 2" xfId="20765"/>
    <cellStyle name="Normal 2 12 5 3 2 2 2" xfId="20766"/>
    <cellStyle name="Normal 2 12 5 3 2 2 3" xfId="20767"/>
    <cellStyle name="Normal 2 12 5 3 2 3" xfId="20768"/>
    <cellStyle name="Normal 2 12 5 3 2 4" xfId="20769"/>
    <cellStyle name="Normal 2 12 5 3 2 5" xfId="20770"/>
    <cellStyle name="Normal 2 12 5 3 2 6" xfId="20771"/>
    <cellStyle name="Normal 2 12 5 3 3" xfId="20772"/>
    <cellStyle name="Normal 2 12 5 3 3 2" xfId="20773"/>
    <cellStyle name="Normal 2 12 5 3 3 2 2" xfId="20774"/>
    <cellStyle name="Normal 2 12 5 3 3 3" xfId="20775"/>
    <cellStyle name="Normal 2 12 5 3 3 4" xfId="20776"/>
    <cellStyle name="Normal 2 12 5 3 3 5" xfId="20777"/>
    <cellStyle name="Normal 2 12 5 3 4" xfId="20778"/>
    <cellStyle name="Normal 2 12 5 3 4 2" xfId="20779"/>
    <cellStyle name="Normal 2 12 5 3 4 3" xfId="20780"/>
    <cellStyle name="Normal 2 12 5 3 4 4" xfId="20781"/>
    <cellStyle name="Normal 2 12 5 3 5" xfId="20782"/>
    <cellStyle name="Normal 2 12 5 3 5 2" xfId="20783"/>
    <cellStyle name="Normal 2 12 5 3 6" xfId="20784"/>
    <cellStyle name="Normal 2 12 5 3 7" xfId="20785"/>
    <cellStyle name="Normal 2 12 5 3 8" xfId="20786"/>
    <cellStyle name="Normal 2 12 5 3 9" xfId="20787"/>
    <cellStyle name="Normal 2 12 5 4" xfId="20788"/>
    <cellStyle name="Normal 2 12 5 4 2" xfId="20789"/>
    <cellStyle name="Normal 2 12 5 4 2 2" xfId="20790"/>
    <cellStyle name="Normal 2 12 5 4 2 3" xfId="20791"/>
    <cellStyle name="Normal 2 12 5 4 3" xfId="20792"/>
    <cellStyle name="Normal 2 12 5 4 4" xfId="20793"/>
    <cellStyle name="Normal 2 12 5 4 5" xfId="20794"/>
    <cellStyle name="Normal 2 12 5 4 6" xfId="20795"/>
    <cellStyle name="Normal 2 12 5 5" xfId="20796"/>
    <cellStyle name="Normal 2 12 5 5 2" xfId="20797"/>
    <cellStyle name="Normal 2 12 5 5 2 2" xfId="20798"/>
    <cellStyle name="Normal 2 12 5 5 3" xfId="20799"/>
    <cellStyle name="Normal 2 12 5 5 4" xfId="20800"/>
    <cellStyle name="Normal 2 12 5 5 5" xfId="20801"/>
    <cellStyle name="Normal 2 12 5 6" xfId="20802"/>
    <cellStyle name="Normal 2 12 5 6 2" xfId="20803"/>
    <cellStyle name="Normal 2 12 5 6 3" xfId="20804"/>
    <cellStyle name="Normal 2 12 5 6 4" xfId="20805"/>
    <cellStyle name="Normal 2 12 5 7" xfId="20806"/>
    <cellStyle name="Normal 2 12 5 7 2" xfId="20807"/>
    <cellStyle name="Normal 2 12 5 8" xfId="20808"/>
    <cellStyle name="Normal 2 12 5 9" xfId="20809"/>
    <cellStyle name="Normal 2 12 6" xfId="20810"/>
    <cellStyle name="Normal 2 12 6 10" xfId="20811"/>
    <cellStyle name="Normal 2 12 6 11" xfId="20812"/>
    <cellStyle name="Normal 2 12 6 2" xfId="20813"/>
    <cellStyle name="Normal 2 12 6 2 2" xfId="20814"/>
    <cellStyle name="Normal 2 12 6 2 2 2" xfId="20815"/>
    <cellStyle name="Normal 2 12 6 2 2 2 2" xfId="20816"/>
    <cellStyle name="Normal 2 12 6 2 2 2 3" xfId="20817"/>
    <cellStyle name="Normal 2 12 6 2 2 3" xfId="20818"/>
    <cellStyle name="Normal 2 12 6 2 2 4" xfId="20819"/>
    <cellStyle name="Normal 2 12 6 2 2 5" xfId="20820"/>
    <cellStyle name="Normal 2 12 6 2 2 6" xfId="20821"/>
    <cellStyle name="Normal 2 12 6 2 3" xfId="20822"/>
    <cellStyle name="Normal 2 12 6 2 3 2" xfId="20823"/>
    <cellStyle name="Normal 2 12 6 2 3 2 2" xfId="20824"/>
    <cellStyle name="Normal 2 12 6 2 3 3" xfId="20825"/>
    <cellStyle name="Normal 2 12 6 2 3 4" xfId="20826"/>
    <cellStyle name="Normal 2 12 6 2 3 5" xfId="20827"/>
    <cellStyle name="Normal 2 12 6 2 4" xfId="20828"/>
    <cellStyle name="Normal 2 12 6 2 4 2" xfId="20829"/>
    <cellStyle name="Normal 2 12 6 2 4 3" xfId="20830"/>
    <cellStyle name="Normal 2 12 6 2 4 4" xfId="20831"/>
    <cellStyle name="Normal 2 12 6 2 5" xfId="20832"/>
    <cellStyle name="Normal 2 12 6 2 5 2" xfId="20833"/>
    <cellStyle name="Normal 2 12 6 2 6" xfId="20834"/>
    <cellStyle name="Normal 2 12 6 2 7" xfId="20835"/>
    <cellStyle name="Normal 2 12 6 2 8" xfId="20836"/>
    <cellStyle name="Normal 2 12 6 2 9" xfId="20837"/>
    <cellStyle name="Normal 2 12 6 3" xfId="20838"/>
    <cellStyle name="Normal 2 12 6 3 2" xfId="20839"/>
    <cellStyle name="Normal 2 12 6 3 2 2" xfId="20840"/>
    <cellStyle name="Normal 2 12 6 3 2 2 2" xfId="20841"/>
    <cellStyle name="Normal 2 12 6 3 2 2 3" xfId="20842"/>
    <cellStyle name="Normal 2 12 6 3 2 3" xfId="20843"/>
    <cellStyle name="Normal 2 12 6 3 2 4" xfId="20844"/>
    <cellStyle name="Normal 2 12 6 3 2 5" xfId="20845"/>
    <cellStyle name="Normal 2 12 6 3 2 6" xfId="20846"/>
    <cellStyle name="Normal 2 12 6 3 3" xfId="20847"/>
    <cellStyle name="Normal 2 12 6 3 3 2" xfId="20848"/>
    <cellStyle name="Normal 2 12 6 3 3 2 2" xfId="20849"/>
    <cellStyle name="Normal 2 12 6 3 3 3" xfId="20850"/>
    <cellStyle name="Normal 2 12 6 3 3 4" xfId="20851"/>
    <cellStyle name="Normal 2 12 6 3 3 5" xfId="20852"/>
    <cellStyle name="Normal 2 12 6 3 4" xfId="20853"/>
    <cellStyle name="Normal 2 12 6 3 4 2" xfId="20854"/>
    <cellStyle name="Normal 2 12 6 3 4 3" xfId="20855"/>
    <cellStyle name="Normal 2 12 6 3 4 4" xfId="20856"/>
    <cellStyle name="Normal 2 12 6 3 5" xfId="20857"/>
    <cellStyle name="Normal 2 12 6 3 5 2" xfId="20858"/>
    <cellStyle name="Normal 2 12 6 3 6" xfId="20859"/>
    <cellStyle name="Normal 2 12 6 3 7" xfId="20860"/>
    <cellStyle name="Normal 2 12 6 3 8" xfId="20861"/>
    <cellStyle name="Normal 2 12 6 3 9" xfId="20862"/>
    <cellStyle name="Normal 2 12 6 4" xfId="20863"/>
    <cellStyle name="Normal 2 12 6 4 2" xfId="20864"/>
    <cellStyle name="Normal 2 12 6 4 2 2" xfId="20865"/>
    <cellStyle name="Normal 2 12 6 4 2 3" xfId="20866"/>
    <cellStyle name="Normal 2 12 6 4 3" xfId="20867"/>
    <cellStyle name="Normal 2 12 6 4 4" xfId="20868"/>
    <cellStyle name="Normal 2 12 6 4 5" xfId="20869"/>
    <cellStyle name="Normal 2 12 6 4 6" xfId="20870"/>
    <cellStyle name="Normal 2 12 6 5" xfId="20871"/>
    <cellStyle name="Normal 2 12 6 5 2" xfId="20872"/>
    <cellStyle name="Normal 2 12 6 5 2 2" xfId="20873"/>
    <cellStyle name="Normal 2 12 6 5 3" xfId="20874"/>
    <cellStyle name="Normal 2 12 6 5 4" xfId="20875"/>
    <cellStyle name="Normal 2 12 6 5 5" xfId="20876"/>
    <cellStyle name="Normal 2 12 6 6" xfId="20877"/>
    <cellStyle name="Normal 2 12 6 6 2" xfId="20878"/>
    <cellStyle name="Normal 2 12 6 6 3" xfId="20879"/>
    <cellStyle name="Normal 2 12 6 6 4" xfId="20880"/>
    <cellStyle name="Normal 2 12 6 7" xfId="20881"/>
    <cellStyle name="Normal 2 12 6 7 2" xfId="20882"/>
    <cellStyle name="Normal 2 12 6 8" xfId="20883"/>
    <cellStyle name="Normal 2 12 6 9" xfId="20884"/>
    <cellStyle name="Normal 2 12 7" xfId="20885"/>
    <cellStyle name="Normal 2 12 7 10" xfId="20886"/>
    <cellStyle name="Normal 2 12 7 11" xfId="20887"/>
    <cellStyle name="Normal 2 12 7 2" xfId="20888"/>
    <cellStyle name="Normal 2 12 7 2 2" xfId="20889"/>
    <cellStyle name="Normal 2 12 7 2 2 2" xfId="20890"/>
    <cellStyle name="Normal 2 12 7 2 2 2 2" xfId="20891"/>
    <cellStyle name="Normal 2 12 7 2 2 2 3" xfId="20892"/>
    <cellStyle name="Normal 2 12 7 2 2 3" xfId="20893"/>
    <cellStyle name="Normal 2 12 7 2 2 4" xfId="20894"/>
    <cellStyle name="Normal 2 12 7 2 2 5" xfId="20895"/>
    <cellStyle name="Normal 2 12 7 2 2 6" xfId="20896"/>
    <cellStyle name="Normal 2 12 7 2 3" xfId="20897"/>
    <cellStyle name="Normal 2 12 7 2 3 2" xfId="20898"/>
    <cellStyle name="Normal 2 12 7 2 3 2 2" xfId="20899"/>
    <cellStyle name="Normal 2 12 7 2 3 3" xfId="20900"/>
    <cellStyle name="Normal 2 12 7 2 3 4" xfId="20901"/>
    <cellStyle name="Normal 2 12 7 2 3 5" xfId="20902"/>
    <cellStyle name="Normal 2 12 7 2 4" xfId="20903"/>
    <cellStyle name="Normal 2 12 7 2 4 2" xfId="20904"/>
    <cellStyle name="Normal 2 12 7 2 4 3" xfId="20905"/>
    <cellStyle name="Normal 2 12 7 2 4 4" xfId="20906"/>
    <cellStyle name="Normal 2 12 7 2 5" xfId="20907"/>
    <cellStyle name="Normal 2 12 7 2 5 2" xfId="20908"/>
    <cellStyle name="Normal 2 12 7 2 6" xfId="20909"/>
    <cellStyle name="Normal 2 12 7 2 7" xfId="20910"/>
    <cellStyle name="Normal 2 12 7 2 8" xfId="20911"/>
    <cellStyle name="Normal 2 12 7 2 9" xfId="20912"/>
    <cellStyle name="Normal 2 12 7 3" xfId="20913"/>
    <cellStyle name="Normal 2 12 7 3 2" xfId="20914"/>
    <cellStyle name="Normal 2 12 7 3 2 2" xfId="20915"/>
    <cellStyle name="Normal 2 12 7 3 2 2 2" xfId="20916"/>
    <cellStyle name="Normal 2 12 7 3 2 2 3" xfId="20917"/>
    <cellStyle name="Normal 2 12 7 3 2 3" xfId="20918"/>
    <cellStyle name="Normal 2 12 7 3 2 4" xfId="20919"/>
    <cellStyle name="Normal 2 12 7 3 2 5" xfId="20920"/>
    <cellStyle name="Normal 2 12 7 3 2 6" xfId="20921"/>
    <cellStyle name="Normal 2 12 7 3 3" xfId="20922"/>
    <cellStyle name="Normal 2 12 7 3 3 2" xfId="20923"/>
    <cellStyle name="Normal 2 12 7 3 3 2 2" xfId="20924"/>
    <cellStyle name="Normal 2 12 7 3 3 3" xfId="20925"/>
    <cellStyle name="Normal 2 12 7 3 3 4" xfId="20926"/>
    <cellStyle name="Normal 2 12 7 3 3 5" xfId="20927"/>
    <cellStyle name="Normal 2 12 7 3 4" xfId="20928"/>
    <cellStyle name="Normal 2 12 7 3 4 2" xfId="20929"/>
    <cellStyle name="Normal 2 12 7 3 4 3" xfId="20930"/>
    <cellStyle name="Normal 2 12 7 3 4 4" xfId="20931"/>
    <cellStyle name="Normal 2 12 7 3 5" xfId="20932"/>
    <cellStyle name="Normal 2 12 7 3 5 2" xfId="20933"/>
    <cellStyle name="Normal 2 12 7 3 6" xfId="20934"/>
    <cellStyle name="Normal 2 12 7 3 7" xfId="20935"/>
    <cellStyle name="Normal 2 12 7 3 8" xfId="20936"/>
    <cellStyle name="Normal 2 12 7 3 9" xfId="20937"/>
    <cellStyle name="Normal 2 12 7 4" xfId="20938"/>
    <cellStyle name="Normal 2 12 7 4 2" xfId="20939"/>
    <cellStyle name="Normal 2 12 7 4 2 2" xfId="20940"/>
    <cellStyle name="Normal 2 12 7 4 2 3" xfId="20941"/>
    <cellStyle name="Normal 2 12 7 4 3" xfId="20942"/>
    <cellStyle name="Normal 2 12 7 4 4" xfId="20943"/>
    <cellStyle name="Normal 2 12 7 4 5" xfId="20944"/>
    <cellStyle name="Normal 2 12 7 4 6" xfId="20945"/>
    <cellStyle name="Normal 2 12 7 5" xfId="20946"/>
    <cellStyle name="Normal 2 12 7 5 2" xfId="20947"/>
    <cellStyle name="Normal 2 12 7 5 2 2" xfId="20948"/>
    <cellStyle name="Normal 2 12 7 5 3" xfId="20949"/>
    <cellStyle name="Normal 2 12 7 5 4" xfId="20950"/>
    <cellStyle name="Normal 2 12 7 5 5" xfId="20951"/>
    <cellStyle name="Normal 2 12 7 6" xfId="20952"/>
    <cellStyle name="Normal 2 12 7 6 2" xfId="20953"/>
    <cellStyle name="Normal 2 12 7 6 3" xfId="20954"/>
    <cellStyle name="Normal 2 12 7 6 4" xfId="20955"/>
    <cellStyle name="Normal 2 12 7 7" xfId="20956"/>
    <cellStyle name="Normal 2 12 7 7 2" xfId="20957"/>
    <cellStyle name="Normal 2 12 7 8" xfId="20958"/>
    <cellStyle name="Normal 2 12 7 9" xfId="20959"/>
    <cellStyle name="Normal 2 12 8" xfId="20960"/>
    <cellStyle name="Normal 2 12 8 10" xfId="20961"/>
    <cellStyle name="Normal 2 12 8 2" xfId="20962"/>
    <cellStyle name="Normal 2 12 8 2 2" xfId="20963"/>
    <cellStyle name="Normal 2 12 8 2 2 2" xfId="20964"/>
    <cellStyle name="Normal 2 12 8 2 2 3" xfId="20965"/>
    <cellStyle name="Normal 2 12 8 2 3" xfId="20966"/>
    <cellStyle name="Normal 2 12 8 2 4" xfId="20967"/>
    <cellStyle name="Normal 2 12 8 2 5" xfId="20968"/>
    <cellStyle name="Normal 2 12 8 2 6" xfId="20969"/>
    <cellStyle name="Normal 2 12 8 3" xfId="20970"/>
    <cellStyle name="Normal 2 12 8 3 2" xfId="20971"/>
    <cellStyle name="Normal 2 12 8 3 2 2" xfId="20972"/>
    <cellStyle name="Normal 2 12 8 3 2 3" xfId="20973"/>
    <cellStyle name="Normal 2 12 8 3 3" xfId="20974"/>
    <cellStyle name="Normal 2 12 8 3 4" xfId="20975"/>
    <cellStyle name="Normal 2 12 8 3 5" xfId="20976"/>
    <cellStyle name="Normal 2 12 8 3 6" xfId="20977"/>
    <cellStyle name="Normal 2 12 8 4" xfId="20978"/>
    <cellStyle name="Normal 2 12 8 4 2" xfId="20979"/>
    <cellStyle name="Normal 2 12 8 4 2 2" xfId="20980"/>
    <cellStyle name="Normal 2 12 8 4 3" xfId="20981"/>
    <cellStyle name="Normal 2 12 8 4 4" xfId="20982"/>
    <cellStyle name="Normal 2 12 8 4 5" xfId="20983"/>
    <cellStyle name="Normal 2 12 8 5" xfId="20984"/>
    <cellStyle name="Normal 2 12 8 5 2" xfId="20985"/>
    <cellStyle name="Normal 2 12 8 5 3" xfId="20986"/>
    <cellStyle name="Normal 2 12 8 5 4" xfId="20987"/>
    <cellStyle name="Normal 2 12 8 6" xfId="20988"/>
    <cellStyle name="Normal 2 12 8 6 2" xfId="20989"/>
    <cellStyle name="Normal 2 12 8 7" xfId="20990"/>
    <cellStyle name="Normal 2 12 8 8" xfId="20991"/>
    <cellStyle name="Normal 2 12 8 9" xfId="20992"/>
    <cellStyle name="Normal 2 12 9" xfId="20993"/>
    <cellStyle name="Normal 2 12 9 10" xfId="20994"/>
    <cellStyle name="Normal 2 12 9 2" xfId="20995"/>
    <cellStyle name="Normal 2 12 9 2 2" xfId="20996"/>
    <cellStyle name="Normal 2 12 9 2 2 2" xfId="20997"/>
    <cellStyle name="Normal 2 12 9 2 2 3" xfId="20998"/>
    <cellStyle name="Normal 2 12 9 2 3" xfId="20999"/>
    <cellStyle name="Normal 2 12 9 2 4" xfId="21000"/>
    <cellStyle name="Normal 2 12 9 2 5" xfId="21001"/>
    <cellStyle name="Normal 2 12 9 2 6" xfId="21002"/>
    <cellStyle name="Normal 2 12 9 3" xfId="21003"/>
    <cellStyle name="Normal 2 12 9 3 2" xfId="21004"/>
    <cellStyle name="Normal 2 12 9 3 2 2" xfId="21005"/>
    <cellStyle name="Normal 2 12 9 3 2 3" xfId="21006"/>
    <cellStyle name="Normal 2 12 9 3 3" xfId="21007"/>
    <cellStyle name="Normal 2 12 9 3 4" xfId="21008"/>
    <cellStyle name="Normal 2 12 9 3 5" xfId="21009"/>
    <cellStyle name="Normal 2 12 9 3 6" xfId="21010"/>
    <cellStyle name="Normal 2 12 9 4" xfId="21011"/>
    <cellStyle name="Normal 2 12 9 4 2" xfId="21012"/>
    <cellStyle name="Normal 2 12 9 4 2 2" xfId="21013"/>
    <cellStyle name="Normal 2 12 9 4 3" xfId="21014"/>
    <cellStyle name="Normal 2 12 9 4 4" xfId="21015"/>
    <cellStyle name="Normal 2 12 9 4 5" xfId="21016"/>
    <cellStyle name="Normal 2 12 9 5" xfId="21017"/>
    <cellStyle name="Normal 2 12 9 5 2" xfId="21018"/>
    <cellStyle name="Normal 2 12 9 5 3" xfId="21019"/>
    <cellStyle name="Normal 2 12 9 5 4" xfId="21020"/>
    <cellStyle name="Normal 2 12 9 6" xfId="21021"/>
    <cellStyle name="Normal 2 12 9 6 2" xfId="21022"/>
    <cellStyle name="Normal 2 12 9 7" xfId="21023"/>
    <cellStyle name="Normal 2 12 9 8" xfId="21024"/>
    <cellStyle name="Normal 2 12 9 9" xfId="21025"/>
    <cellStyle name="Normal 2 13" xfId="21026"/>
    <cellStyle name="Normal 2 13 2" xfId="21027"/>
    <cellStyle name="Normal 2 13 2 2" xfId="21028"/>
    <cellStyle name="Normal 2 13 3" xfId="21029"/>
    <cellStyle name="Normal 2 13 3 2" xfId="21030"/>
    <cellStyle name="Normal 2 13 4" xfId="21031"/>
    <cellStyle name="Normal 2 13 5" xfId="21032"/>
    <cellStyle name="Normal 2 13 6" xfId="21033"/>
    <cellStyle name="Normal 2 13 7" xfId="21034"/>
    <cellStyle name="Normal 2 13 8" xfId="21035"/>
    <cellStyle name="Normal 2 14" xfId="21036"/>
    <cellStyle name="Normal 2 14 10" xfId="21037"/>
    <cellStyle name="Normal 2 14 10 10" xfId="21038"/>
    <cellStyle name="Normal 2 14 10 2" xfId="21039"/>
    <cellStyle name="Normal 2 14 10 2 2" xfId="21040"/>
    <cellStyle name="Normal 2 14 10 2 2 2" xfId="21041"/>
    <cellStyle name="Normal 2 14 10 2 2 3" xfId="21042"/>
    <cellStyle name="Normal 2 14 10 2 3" xfId="21043"/>
    <cellStyle name="Normal 2 14 10 2 4" xfId="21044"/>
    <cellStyle name="Normal 2 14 10 2 5" xfId="21045"/>
    <cellStyle name="Normal 2 14 10 2 6" xfId="21046"/>
    <cellStyle name="Normal 2 14 10 3" xfId="21047"/>
    <cellStyle name="Normal 2 14 10 3 2" xfId="21048"/>
    <cellStyle name="Normal 2 14 10 3 2 2" xfId="21049"/>
    <cellStyle name="Normal 2 14 10 3 2 3" xfId="21050"/>
    <cellStyle name="Normal 2 14 10 3 3" xfId="21051"/>
    <cellStyle name="Normal 2 14 10 3 4" xfId="21052"/>
    <cellStyle name="Normal 2 14 10 3 5" xfId="21053"/>
    <cellStyle name="Normal 2 14 10 3 6" xfId="21054"/>
    <cellStyle name="Normal 2 14 10 4" xfId="21055"/>
    <cellStyle name="Normal 2 14 10 4 2" xfId="21056"/>
    <cellStyle name="Normal 2 14 10 4 2 2" xfId="21057"/>
    <cellStyle name="Normal 2 14 10 4 3" xfId="21058"/>
    <cellStyle name="Normal 2 14 10 4 4" xfId="21059"/>
    <cellStyle name="Normal 2 14 10 4 5" xfId="21060"/>
    <cellStyle name="Normal 2 14 10 5" xfId="21061"/>
    <cellStyle name="Normal 2 14 10 5 2" xfId="21062"/>
    <cellStyle name="Normal 2 14 10 5 3" xfId="21063"/>
    <cellStyle name="Normal 2 14 10 5 4" xfId="21064"/>
    <cellStyle name="Normal 2 14 10 6" xfId="21065"/>
    <cellStyle name="Normal 2 14 10 6 2" xfId="21066"/>
    <cellStyle name="Normal 2 14 10 7" xfId="21067"/>
    <cellStyle name="Normal 2 14 10 8" xfId="21068"/>
    <cellStyle name="Normal 2 14 10 9" xfId="21069"/>
    <cellStyle name="Normal 2 14 11" xfId="21070"/>
    <cellStyle name="Normal 2 14 11 10" xfId="21071"/>
    <cellStyle name="Normal 2 14 11 2" xfId="21072"/>
    <cellStyle name="Normal 2 14 11 2 2" xfId="21073"/>
    <cellStyle name="Normal 2 14 11 2 2 2" xfId="21074"/>
    <cellStyle name="Normal 2 14 11 2 2 3" xfId="21075"/>
    <cellStyle name="Normal 2 14 11 2 3" xfId="21076"/>
    <cellStyle name="Normal 2 14 11 2 4" xfId="21077"/>
    <cellStyle name="Normal 2 14 11 2 5" xfId="21078"/>
    <cellStyle name="Normal 2 14 11 2 6" xfId="21079"/>
    <cellStyle name="Normal 2 14 11 3" xfId="21080"/>
    <cellStyle name="Normal 2 14 11 3 2" xfId="21081"/>
    <cellStyle name="Normal 2 14 11 3 2 2" xfId="21082"/>
    <cellStyle name="Normal 2 14 11 3 2 3" xfId="21083"/>
    <cellStyle name="Normal 2 14 11 3 3" xfId="21084"/>
    <cellStyle name="Normal 2 14 11 3 4" xfId="21085"/>
    <cellStyle name="Normal 2 14 11 3 5" xfId="21086"/>
    <cellStyle name="Normal 2 14 11 3 6" xfId="21087"/>
    <cellStyle name="Normal 2 14 11 4" xfId="21088"/>
    <cellStyle name="Normal 2 14 11 4 2" xfId="21089"/>
    <cellStyle name="Normal 2 14 11 4 2 2" xfId="21090"/>
    <cellStyle name="Normal 2 14 11 4 3" xfId="21091"/>
    <cellStyle name="Normal 2 14 11 4 4" xfId="21092"/>
    <cellStyle name="Normal 2 14 11 4 5" xfId="21093"/>
    <cellStyle name="Normal 2 14 11 5" xfId="21094"/>
    <cellStyle name="Normal 2 14 11 5 2" xfId="21095"/>
    <cellStyle name="Normal 2 14 11 5 3" xfId="21096"/>
    <cellStyle name="Normal 2 14 11 5 4" xfId="21097"/>
    <cellStyle name="Normal 2 14 11 6" xfId="21098"/>
    <cellStyle name="Normal 2 14 11 6 2" xfId="21099"/>
    <cellStyle name="Normal 2 14 11 7" xfId="21100"/>
    <cellStyle name="Normal 2 14 11 8" xfId="21101"/>
    <cellStyle name="Normal 2 14 11 9" xfId="21102"/>
    <cellStyle name="Normal 2 14 12" xfId="21103"/>
    <cellStyle name="Normal 2 14 12 10" xfId="21104"/>
    <cellStyle name="Normal 2 14 12 2" xfId="21105"/>
    <cellStyle name="Normal 2 14 12 2 2" xfId="21106"/>
    <cellStyle name="Normal 2 14 12 2 2 2" xfId="21107"/>
    <cellStyle name="Normal 2 14 12 2 2 3" xfId="21108"/>
    <cellStyle name="Normal 2 14 12 2 3" xfId="21109"/>
    <cellStyle name="Normal 2 14 12 2 4" xfId="21110"/>
    <cellStyle name="Normal 2 14 12 2 5" xfId="21111"/>
    <cellStyle name="Normal 2 14 12 2 6" xfId="21112"/>
    <cellStyle name="Normal 2 14 12 3" xfId="21113"/>
    <cellStyle name="Normal 2 14 12 3 2" xfId="21114"/>
    <cellStyle name="Normal 2 14 12 3 2 2" xfId="21115"/>
    <cellStyle name="Normal 2 14 12 3 2 3" xfId="21116"/>
    <cellStyle name="Normal 2 14 12 3 3" xfId="21117"/>
    <cellStyle name="Normal 2 14 12 3 4" xfId="21118"/>
    <cellStyle name="Normal 2 14 12 3 5" xfId="21119"/>
    <cellStyle name="Normal 2 14 12 3 6" xfId="21120"/>
    <cellStyle name="Normal 2 14 12 4" xfId="21121"/>
    <cellStyle name="Normal 2 14 12 4 2" xfId="21122"/>
    <cellStyle name="Normal 2 14 12 4 2 2" xfId="21123"/>
    <cellStyle name="Normal 2 14 12 4 3" xfId="21124"/>
    <cellStyle name="Normal 2 14 12 4 4" xfId="21125"/>
    <cellStyle name="Normal 2 14 12 4 5" xfId="21126"/>
    <cellStyle name="Normal 2 14 12 5" xfId="21127"/>
    <cellStyle name="Normal 2 14 12 5 2" xfId="21128"/>
    <cellStyle name="Normal 2 14 12 5 3" xfId="21129"/>
    <cellStyle name="Normal 2 14 12 5 4" xfId="21130"/>
    <cellStyle name="Normal 2 14 12 6" xfId="21131"/>
    <cellStyle name="Normal 2 14 12 6 2" xfId="21132"/>
    <cellStyle name="Normal 2 14 12 7" xfId="21133"/>
    <cellStyle name="Normal 2 14 12 8" xfId="21134"/>
    <cellStyle name="Normal 2 14 12 9" xfId="21135"/>
    <cellStyle name="Normal 2 14 13" xfId="21136"/>
    <cellStyle name="Normal 2 14 13 2" xfId="21137"/>
    <cellStyle name="Normal 2 14 13 2 2" xfId="21138"/>
    <cellStyle name="Normal 2 14 13 2 2 2" xfId="21139"/>
    <cellStyle name="Normal 2 14 13 2 2 3" xfId="21140"/>
    <cellStyle name="Normal 2 14 13 2 3" xfId="21141"/>
    <cellStyle name="Normal 2 14 13 2 4" xfId="21142"/>
    <cellStyle name="Normal 2 14 13 2 5" xfId="21143"/>
    <cellStyle name="Normal 2 14 13 2 6" xfId="21144"/>
    <cellStyle name="Normal 2 14 13 3" xfId="21145"/>
    <cellStyle name="Normal 2 14 13 3 2" xfId="21146"/>
    <cellStyle name="Normal 2 14 13 3 2 2" xfId="21147"/>
    <cellStyle name="Normal 2 14 13 3 3" xfId="21148"/>
    <cellStyle name="Normal 2 14 13 3 4" xfId="21149"/>
    <cellStyle name="Normal 2 14 13 3 5" xfId="21150"/>
    <cellStyle name="Normal 2 14 13 4" xfId="21151"/>
    <cellStyle name="Normal 2 14 13 4 2" xfId="21152"/>
    <cellStyle name="Normal 2 14 13 4 3" xfId="21153"/>
    <cellStyle name="Normal 2 14 13 4 4" xfId="21154"/>
    <cellStyle name="Normal 2 14 13 5" xfId="21155"/>
    <cellStyle name="Normal 2 14 13 5 2" xfId="21156"/>
    <cellStyle name="Normal 2 14 13 6" xfId="21157"/>
    <cellStyle name="Normal 2 14 13 7" xfId="21158"/>
    <cellStyle name="Normal 2 14 13 8" xfId="21159"/>
    <cellStyle name="Normal 2 14 13 9" xfId="21160"/>
    <cellStyle name="Normal 2 14 14" xfId="21161"/>
    <cellStyle name="Normal 2 14 14 2" xfId="21162"/>
    <cellStyle name="Normal 2 14 14 2 2" xfId="21163"/>
    <cellStyle name="Normal 2 14 14 2 2 2" xfId="21164"/>
    <cellStyle name="Normal 2 14 14 2 2 3" xfId="21165"/>
    <cellStyle name="Normal 2 14 14 2 3" xfId="21166"/>
    <cellStyle name="Normal 2 14 14 2 4" xfId="21167"/>
    <cellStyle name="Normal 2 14 14 2 5" xfId="21168"/>
    <cellStyle name="Normal 2 14 14 2 6" xfId="21169"/>
    <cellStyle name="Normal 2 14 14 3" xfId="21170"/>
    <cellStyle name="Normal 2 14 14 3 2" xfId="21171"/>
    <cellStyle name="Normal 2 14 14 3 2 2" xfId="21172"/>
    <cellStyle name="Normal 2 14 14 3 3" xfId="21173"/>
    <cellStyle name="Normal 2 14 14 3 4" xfId="21174"/>
    <cellStyle name="Normal 2 14 14 3 5" xfId="21175"/>
    <cellStyle name="Normal 2 14 14 4" xfId="21176"/>
    <cellStyle name="Normal 2 14 14 4 2" xfId="21177"/>
    <cellStyle name="Normal 2 14 14 4 3" xfId="21178"/>
    <cellStyle name="Normal 2 14 14 4 4" xfId="21179"/>
    <cellStyle name="Normal 2 14 14 5" xfId="21180"/>
    <cellStyle name="Normal 2 14 14 5 2" xfId="21181"/>
    <cellStyle name="Normal 2 14 14 6" xfId="21182"/>
    <cellStyle name="Normal 2 14 14 7" xfId="21183"/>
    <cellStyle name="Normal 2 14 14 8" xfId="21184"/>
    <cellStyle name="Normal 2 14 14 9" xfId="21185"/>
    <cellStyle name="Normal 2 14 15" xfId="21186"/>
    <cellStyle name="Normal 2 14 15 2" xfId="21187"/>
    <cellStyle name="Normal 2 14 15 2 2" xfId="21188"/>
    <cellStyle name="Normal 2 14 15 2 3" xfId="21189"/>
    <cellStyle name="Normal 2 14 15 3" xfId="21190"/>
    <cellStyle name="Normal 2 14 15 4" xfId="21191"/>
    <cellStyle name="Normal 2 14 15 5" xfId="21192"/>
    <cellStyle name="Normal 2 14 15 6" xfId="21193"/>
    <cellStyle name="Normal 2 14 16" xfId="21194"/>
    <cellStyle name="Normal 2 14 16 2" xfId="21195"/>
    <cellStyle name="Normal 2 14 16 2 2" xfId="21196"/>
    <cellStyle name="Normal 2 14 16 3" xfId="21197"/>
    <cellStyle name="Normal 2 14 16 4" xfId="21198"/>
    <cellStyle name="Normal 2 14 16 5" xfId="21199"/>
    <cellStyle name="Normal 2 14 16 6" xfId="21200"/>
    <cellStyle name="Normal 2 14 17" xfId="21201"/>
    <cellStyle name="Normal 2 14 17 2" xfId="21202"/>
    <cellStyle name="Normal 2 14 17 2 2" xfId="21203"/>
    <cellStyle name="Normal 2 14 17 3" xfId="21204"/>
    <cellStyle name="Normal 2 14 17 4" xfId="21205"/>
    <cellStyle name="Normal 2 14 17 5" xfId="21206"/>
    <cellStyle name="Normal 2 14 17 6" xfId="21207"/>
    <cellStyle name="Normal 2 14 18" xfId="21208"/>
    <cellStyle name="Normal 2 14 18 2" xfId="21209"/>
    <cellStyle name="Normal 2 14 18 3" xfId="21210"/>
    <cellStyle name="Normal 2 14 19" xfId="21211"/>
    <cellStyle name="Normal 2 14 19 2" xfId="21212"/>
    <cellStyle name="Normal 2 14 19 3" xfId="21213"/>
    <cellStyle name="Normal 2 14 2" xfId="21214"/>
    <cellStyle name="Normal 2 14 2 10" xfId="21215"/>
    <cellStyle name="Normal 2 14 2 11" xfId="21216"/>
    <cellStyle name="Normal 2 14 2 2" xfId="21217"/>
    <cellStyle name="Normal 2 14 2 2 2" xfId="21218"/>
    <cellStyle name="Normal 2 14 2 2 2 2" xfId="21219"/>
    <cellStyle name="Normal 2 14 2 2 2 2 2" xfId="21220"/>
    <cellStyle name="Normal 2 14 2 2 2 2 3" xfId="21221"/>
    <cellStyle name="Normal 2 14 2 2 2 3" xfId="21222"/>
    <cellStyle name="Normal 2 14 2 2 2 4" xfId="21223"/>
    <cellStyle name="Normal 2 14 2 2 2 5" xfId="21224"/>
    <cellStyle name="Normal 2 14 2 2 2 6" xfId="21225"/>
    <cellStyle name="Normal 2 14 2 2 3" xfId="21226"/>
    <cellStyle name="Normal 2 14 2 2 3 2" xfId="21227"/>
    <cellStyle name="Normal 2 14 2 2 3 2 2" xfId="21228"/>
    <cellStyle name="Normal 2 14 2 2 3 3" xfId="21229"/>
    <cellStyle name="Normal 2 14 2 2 3 4" xfId="21230"/>
    <cellStyle name="Normal 2 14 2 2 3 5" xfId="21231"/>
    <cellStyle name="Normal 2 14 2 2 4" xfId="21232"/>
    <cellStyle name="Normal 2 14 2 2 4 2" xfId="21233"/>
    <cellStyle name="Normal 2 14 2 2 4 3" xfId="21234"/>
    <cellStyle name="Normal 2 14 2 2 4 4" xfId="21235"/>
    <cellStyle name="Normal 2 14 2 2 5" xfId="21236"/>
    <cellStyle name="Normal 2 14 2 2 5 2" xfId="21237"/>
    <cellStyle name="Normal 2 14 2 2 6" xfId="21238"/>
    <cellStyle name="Normal 2 14 2 2 7" xfId="21239"/>
    <cellStyle name="Normal 2 14 2 2 8" xfId="21240"/>
    <cellStyle name="Normal 2 14 2 2 9" xfId="21241"/>
    <cellStyle name="Normal 2 14 2 3" xfId="21242"/>
    <cellStyle name="Normal 2 14 2 3 2" xfId="21243"/>
    <cellStyle name="Normal 2 14 2 3 2 2" xfId="21244"/>
    <cellStyle name="Normal 2 14 2 3 2 2 2" xfId="21245"/>
    <cellStyle name="Normal 2 14 2 3 2 2 3" xfId="21246"/>
    <cellStyle name="Normal 2 14 2 3 2 3" xfId="21247"/>
    <cellStyle name="Normal 2 14 2 3 2 4" xfId="21248"/>
    <cellStyle name="Normal 2 14 2 3 2 5" xfId="21249"/>
    <cellStyle name="Normal 2 14 2 3 2 6" xfId="21250"/>
    <cellStyle name="Normal 2 14 2 3 3" xfId="21251"/>
    <cellStyle name="Normal 2 14 2 3 3 2" xfId="21252"/>
    <cellStyle name="Normal 2 14 2 3 3 2 2" xfId="21253"/>
    <cellStyle name="Normal 2 14 2 3 3 3" xfId="21254"/>
    <cellStyle name="Normal 2 14 2 3 3 4" xfId="21255"/>
    <cellStyle name="Normal 2 14 2 3 3 5" xfId="21256"/>
    <cellStyle name="Normal 2 14 2 3 4" xfId="21257"/>
    <cellStyle name="Normal 2 14 2 3 4 2" xfId="21258"/>
    <cellStyle name="Normal 2 14 2 3 4 3" xfId="21259"/>
    <cellStyle name="Normal 2 14 2 3 4 4" xfId="21260"/>
    <cellStyle name="Normal 2 14 2 3 5" xfId="21261"/>
    <cellStyle name="Normal 2 14 2 3 5 2" xfId="21262"/>
    <cellStyle name="Normal 2 14 2 3 6" xfId="21263"/>
    <cellStyle name="Normal 2 14 2 3 7" xfId="21264"/>
    <cellStyle name="Normal 2 14 2 3 8" xfId="21265"/>
    <cellStyle name="Normal 2 14 2 3 9" xfId="21266"/>
    <cellStyle name="Normal 2 14 2 4" xfId="21267"/>
    <cellStyle name="Normal 2 14 2 4 2" xfId="21268"/>
    <cellStyle name="Normal 2 14 2 4 2 2" xfId="21269"/>
    <cellStyle name="Normal 2 14 2 4 2 3" xfId="21270"/>
    <cellStyle name="Normal 2 14 2 4 3" xfId="21271"/>
    <cellStyle name="Normal 2 14 2 4 4" xfId="21272"/>
    <cellStyle name="Normal 2 14 2 4 5" xfId="21273"/>
    <cellStyle name="Normal 2 14 2 4 6" xfId="21274"/>
    <cellStyle name="Normal 2 14 2 5" xfId="21275"/>
    <cellStyle name="Normal 2 14 2 5 2" xfId="21276"/>
    <cellStyle name="Normal 2 14 2 5 2 2" xfId="21277"/>
    <cellStyle name="Normal 2 14 2 5 3" xfId="21278"/>
    <cellStyle name="Normal 2 14 2 5 4" xfId="21279"/>
    <cellStyle name="Normal 2 14 2 5 5" xfId="21280"/>
    <cellStyle name="Normal 2 14 2 6" xfId="21281"/>
    <cellStyle name="Normal 2 14 2 6 2" xfId="21282"/>
    <cellStyle name="Normal 2 14 2 6 3" xfId="21283"/>
    <cellStyle name="Normal 2 14 2 6 4" xfId="21284"/>
    <cellStyle name="Normal 2 14 2 7" xfId="21285"/>
    <cellStyle name="Normal 2 14 2 7 2" xfId="21286"/>
    <cellStyle name="Normal 2 14 2 8" xfId="21287"/>
    <cellStyle name="Normal 2 14 2 9" xfId="21288"/>
    <cellStyle name="Normal 2 14 20" xfId="21289"/>
    <cellStyle name="Normal 2 14 21" xfId="21290"/>
    <cellStyle name="Normal 2 14 22" xfId="21291"/>
    <cellStyle name="Normal 2 14 23" xfId="21292"/>
    <cellStyle name="Normal 2 14 24" xfId="21293"/>
    <cellStyle name="Normal 2 14 25" xfId="21294"/>
    <cellStyle name="Normal 2 14 26" xfId="21295"/>
    <cellStyle name="Normal 2 14 27" xfId="21296"/>
    <cellStyle name="Normal 2 14 28" xfId="21297"/>
    <cellStyle name="Normal 2 14 29" xfId="21298"/>
    <cellStyle name="Normal 2 14 3" xfId="21299"/>
    <cellStyle name="Normal 2 14 3 10" xfId="21300"/>
    <cellStyle name="Normal 2 14 3 11" xfId="21301"/>
    <cellStyle name="Normal 2 14 3 2" xfId="21302"/>
    <cellStyle name="Normal 2 14 3 2 2" xfId="21303"/>
    <cellStyle name="Normal 2 14 3 2 2 2" xfId="21304"/>
    <cellStyle name="Normal 2 14 3 2 2 2 2" xfId="21305"/>
    <cellStyle name="Normal 2 14 3 2 2 2 3" xfId="21306"/>
    <cellStyle name="Normal 2 14 3 2 2 3" xfId="21307"/>
    <cellStyle name="Normal 2 14 3 2 2 4" xfId="21308"/>
    <cellStyle name="Normal 2 14 3 2 2 5" xfId="21309"/>
    <cellStyle name="Normal 2 14 3 2 2 6" xfId="21310"/>
    <cellStyle name="Normal 2 14 3 2 3" xfId="21311"/>
    <cellStyle name="Normal 2 14 3 2 3 2" xfId="21312"/>
    <cellStyle name="Normal 2 14 3 2 3 2 2" xfId="21313"/>
    <cellStyle name="Normal 2 14 3 2 3 3" xfId="21314"/>
    <cellStyle name="Normal 2 14 3 2 3 4" xfId="21315"/>
    <cellStyle name="Normal 2 14 3 2 3 5" xfId="21316"/>
    <cellStyle name="Normal 2 14 3 2 4" xfId="21317"/>
    <cellStyle name="Normal 2 14 3 2 4 2" xfId="21318"/>
    <cellStyle name="Normal 2 14 3 2 4 3" xfId="21319"/>
    <cellStyle name="Normal 2 14 3 2 4 4" xfId="21320"/>
    <cellStyle name="Normal 2 14 3 2 5" xfId="21321"/>
    <cellStyle name="Normal 2 14 3 2 5 2" xfId="21322"/>
    <cellStyle name="Normal 2 14 3 2 6" xfId="21323"/>
    <cellStyle name="Normal 2 14 3 2 7" xfId="21324"/>
    <cellStyle name="Normal 2 14 3 2 8" xfId="21325"/>
    <cellStyle name="Normal 2 14 3 2 9" xfId="21326"/>
    <cellStyle name="Normal 2 14 3 3" xfId="21327"/>
    <cellStyle name="Normal 2 14 3 3 2" xfId="21328"/>
    <cellStyle name="Normal 2 14 3 3 2 2" xfId="21329"/>
    <cellStyle name="Normal 2 14 3 3 2 2 2" xfId="21330"/>
    <cellStyle name="Normal 2 14 3 3 2 2 3" xfId="21331"/>
    <cellStyle name="Normal 2 14 3 3 2 3" xfId="21332"/>
    <cellStyle name="Normal 2 14 3 3 2 4" xfId="21333"/>
    <cellStyle name="Normal 2 14 3 3 2 5" xfId="21334"/>
    <cellStyle name="Normal 2 14 3 3 2 6" xfId="21335"/>
    <cellStyle name="Normal 2 14 3 3 3" xfId="21336"/>
    <cellStyle name="Normal 2 14 3 3 3 2" xfId="21337"/>
    <cellStyle name="Normal 2 14 3 3 3 2 2" xfId="21338"/>
    <cellStyle name="Normal 2 14 3 3 3 3" xfId="21339"/>
    <cellStyle name="Normal 2 14 3 3 3 4" xfId="21340"/>
    <cellStyle name="Normal 2 14 3 3 3 5" xfId="21341"/>
    <cellStyle name="Normal 2 14 3 3 4" xfId="21342"/>
    <cellStyle name="Normal 2 14 3 3 4 2" xfId="21343"/>
    <cellStyle name="Normal 2 14 3 3 4 3" xfId="21344"/>
    <cellStyle name="Normal 2 14 3 3 4 4" xfId="21345"/>
    <cellStyle name="Normal 2 14 3 3 5" xfId="21346"/>
    <cellStyle name="Normal 2 14 3 3 5 2" xfId="21347"/>
    <cellStyle name="Normal 2 14 3 3 6" xfId="21348"/>
    <cellStyle name="Normal 2 14 3 3 7" xfId="21349"/>
    <cellStyle name="Normal 2 14 3 3 8" xfId="21350"/>
    <cellStyle name="Normal 2 14 3 3 9" xfId="21351"/>
    <cellStyle name="Normal 2 14 3 4" xfId="21352"/>
    <cellStyle name="Normal 2 14 3 4 2" xfId="21353"/>
    <cellStyle name="Normal 2 14 3 4 2 2" xfId="21354"/>
    <cellStyle name="Normal 2 14 3 4 2 3" xfId="21355"/>
    <cellStyle name="Normal 2 14 3 4 3" xfId="21356"/>
    <cellStyle name="Normal 2 14 3 4 4" xfId="21357"/>
    <cellStyle name="Normal 2 14 3 4 5" xfId="21358"/>
    <cellStyle name="Normal 2 14 3 4 6" xfId="21359"/>
    <cellStyle name="Normal 2 14 3 5" xfId="21360"/>
    <cellStyle name="Normal 2 14 3 5 2" xfId="21361"/>
    <cellStyle name="Normal 2 14 3 5 2 2" xfId="21362"/>
    <cellStyle name="Normal 2 14 3 5 3" xfId="21363"/>
    <cellStyle name="Normal 2 14 3 5 4" xfId="21364"/>
    <cellStyle name="Normal 2 14 3 5 5" xfId="21365"/>
    <cellStyle name="Normal 2 14 3 6" xfId="21366"/>
    <cellStyle name="Normal 2 14 3 6 2" xfId="21367"/>
    <cellStyle name="Normal 2 14 3 6 3" xfId="21368"/>
    <cellStyle name="Normal 2 14 3 6 4" xfId="21369"/>
    <cellStyle name="Normal 2 14 3 7" xfId="21370"/>
    <cellStyle name="Normal 2 14 3 7 2" xfId="21371"/>
    <cellStyle name="Normal 2 14 3 8" xfId="21372"/>
    <cellStyle name="Normal 2 14 3 9" xfId="21373"/>
    <cellStyle name="Normal 2 14 30" xfId="21374"/>
    <cellStyle name="Normal 2 14 31" xfId="21375"/>
    <cellStyle name="Normal 2 14 32" xfId="21376"/>
    <cellStyle name="Normal 2 14 33" xfId="21377"/>
    <cellStyle name="Normal 2 14 34" xfId="21378"/>
    <cellStyle name="Normal 2 14 35" xfId="21379"/>
    <cellStyle name="Normal 2 14 36" xfId="21380"/>
    <cellStyle name="Normal 2 14 37" xfId="21381"/>
    <cellStyle name="Normal 2 14 37 2" xfId="21382"/>
    <cellStyle name="Normal 2 14 38" xfId="21383"/>
    <cellStyle name="Normal 2 14 39" xfId="21384"/>
    <cellStyle name="Normal 2 14 4" xfId="21385"/>
    <cellStyle name="Normal 2 14 4 10" xfId="21386"/>
    <cellStyle name="Normal 2 14 4 11" xfId="21387"/>
    <cellStyle name="Normal 2 14 4 2" xfId="21388"/>
    <cellStyle name="Normal 2 14 4 2 2" xfId="21389"/>
    <cellStyle name="Normal 2 14 4 2 2 2" xfId="21390"/>
    <cellStyle name="Normal 2 14 4 2 2 2 2" xfId="21391"/>
    <cellStyle name="Normal 2 14 4 2 2 2 3" xfId="21392"/>
    <cellStyle name="Normal 2 14 4 2 2 3" xfId="21393"/>
    <cellStyle name="Normal 2 14 4 2 2 4" xfId="21394"/>
    <cellStyle name="Normal 2 14 4 2 2 5" xfId="21395"/>
    <cellStyle name="Normal 2 14 4 2 2 6" xfId="21396"/>
    <cellStyle name="Normal 2 14 4 2 3" xfId="21397"/>
    <cellStyle name="Normal 2 14 4 2 3 2" xfId="21398"/>
    <cellStyle name="Normal 2 14 4 2 3 2 2" xfId="21399"/>
    <cellStyle name="Normal 2 14 4 2 3 3" xfId="21400"/>
    <cellStyle name="Normal 2 14 4 2 3 4" xfId="21401"/>
    <cellStyle name="Normal 2 14 4 2 3 5" xfId="21402"/>
    <cellStyle name="Normal 2 14 4 2 4" xfId="21403"/>
    <cellStyle name="Normal 2 14 4 2 4 2" xfId="21404"/>
    <cellStyle name="Normal 2 14 4 2 4 3" xfId="21405"/>
    <cellStyle name="Normal 2 14 4 2 4 4" xfId="21406"/>
    <cellStyle name="Normal 2 14 4 2 5" xfId="21407"/>
    <cellStyle name="Normal 2 14 4 2 5 2" xfId="21408"/>
    <cellStyle name="Normal 2 14 4 2 6" xfId="21409"/>
    <cellStyle name="Normal 2 14 4 2 7" xfId="21410"/>
    <cellStyle name="Normal 2 14 4 2 8" xfId="21411"/>
    <cellStyle name="Normal 2 14 4 2 9" xfId="21412"/>
    <cellStyle name="Normal 2 14 4 3" xfId="21413"/>
    <cellStyle name="Normal 2 14 4 3 2" xfId="21414"/>
    <cellStyle name="Normal 2 14 4 3 2 2" xfId="21415"/>
    <cellStyle name="Normal 2 14 4 3 2 2 2" xfId="21416"/>
    <cellStyle name="Normal 2 14 4 3 2 2 3" xfId="21417"/>
    <cellStyle name="Normal 2 14 4 3 2 3" xfId="21418"/>
    <cellStyle name="Normal 2 14 4 3 2 4" xfId="21419"/>
    <cellStyle name="Normal 2 14 4 3 2 5" xfId="21420"/>
    <cellStyle name="Normal 2 14 4 3 2 6" xfId="21421"/>
    <cellStyle name="Normal 2 14 4 3 3" xfId="21422"/>
    <cellStyle name="Normal 2 14 4 3 3 2" xfId="21423"/>
    <cellStyle name="Normal 2 14 4 3 3 2 2" xfId="21424"/>
    <cellStyle name="Normal 2 14 4 3 3 3" xfId="21425"/>
    <cellStyle name="Normal 2 14 4 3 3 4" xfId="21426"/>
    <cellStyle name="Normal 2 14 4 3 3 5" xfId="21427"/>
    <cellStyle name="Normal 2 14 4 3 4" xfId="21428"/>
    <cellStyle name="Normal 2 14 4 3 4 2" xfId="21429"/>
    <cellStyle name="Normal 2 14 4 3 4 3" xfId="21430"/>
    <cellStyle name="Normal 2 14 4 3 4 4" xfId="21431"/>
    <cellStyle name="Normal 2 14 4 3 5" xfId="21432"/>
    <cellStyle name="Normal 2 14 4 3 5 2" xfId="21433"/>
    <cellStyle name="Normal 2 14 4 3 6" xfId="21434"/>
    <cellStyle name="Normal 2 14 4 3 7" xfId="21435"/>
    <cellStyle name="Normal 2 14 4 3 8" xfId="21436"/>
    <cellStyle name="Normal 2 14 4 3 9" xfId="21437"/>
    <cellStyle name="Normal 2 14 4 4" xfId="21438"/>
    <cellStyle name="Normal 2 14 4 4 2" xfId="21439"/>
    <cellStyle name="Normal 2 14 4 4 2 2" xfId="21440"/>
    <cellStyle name="Normal 2 14 4 4 2 3" xfId="21441"/>
    <cellStyle name="Normal 2 14 4 4 3" xfId="21442"/>
    <cellStyle name="Normal 2 14 4 4 4" xfId="21443"/>
    <cellStyle name="Normal 2 14 4 4 5" xfId="21444"/>
    <cellStyle name="Normal 2 14 4 4 6" xfId="21445"/>
    <cellStyle name="Normal 2 14 4 5" xfId="21446"/>
    <cellStyle name="Normal 2 14 4 5 2" xfId="21447"/>
    <cellStyle name="Normal 2 14 4 5 2 2" xfId="21448"/>
    <cellStyle name="Normal 2 14 4 5 3" xfId="21449"/>
    <cellStyle name="Normal 2 14 4 5 4" xfId="21450"/>
    <cellStyle name="Normal 2 14 4 5 5" xfId="21451"/>
    <cellStyle name="Normal 2 14 4 6" xfId="21452"/>
    <cellStyle name="Normal 2 14 4 6 2" xfId="21453"/>
    <cellStyle name="Normal 2 14 4 6 3" xfId="21454"/>
    <cellStyle name="Normal 2 14 4 6 4" xfId="21455"/>
    <cellStyle name="Normal 2 14 4 7" xfId="21456"/>
    <cellStyle name="Normal 2 14 4 7 2" xfId="21457"/>
    <cellStyle name="Normal 2 14 4 8" xfId="21458"/>
    <cellStyle name="Normal 2 14 4 9" xfId="21459"/>
    <cellStyle name="Normal 2 14 40" xfId="21460"/>
    <cellStyle name="Normal 2 14 5" xfId="21461"/>
    <cellStyle name="Normal 2 14 5 10" xfId="21462"/>
    <cellStyle name="Normal 2 14 5 11" xfId="21463"/>
    <cellStyle name="Normal 2 14 5 2" xfId="21464"/>
    <cellStyle name="Normal 2 14 5 2 2" xfId="21465"/>
    <cellStyle name="Normal 2 14 5 2 2 2" xfId="21466"/>
    <cellStyle name="Normal 2 14 5 2 2 2 2" xfId="21467"/>
    <cellStyle name="Normal 2 14 5 2 2 2 3" xfId="21468"/>
    <cellStyle name="Normal 2 14 5 2 2 3" xfId="21469"/>
    <cellStyle name="Normal 2 14 5 2 2 4" xfId="21470"/>
    <cellStyle name="Normal 2 14 5 2 2 5" xfId="21471"/>
    <cellStyle name="Normal 2 14 5 2 2 6" xfId="21472"/>
    <cellStyle name="Normal 2 14 5 2 3" xfId="21473"/>
    <cellStyle name="Normal 2 14 5 2 3 2" xfId="21474"/>
    <cellStyle name="Normal 2 14 5 2 3 2 2" xfId="21475"/>
    <cellStyle name="Normal 2 14 5 2 3 3" xfId="21476"/>
    <cellStyle name="Normal 2 14 5 2 3 4" xfId="21477"/>
    <cellStyle name="Normal 2 14 5 2 3 5" xfId="21478"/>
    <cellStyle name="Normal 2 14 5 2 4" xfId="21479"/>
    <cellStyle name="Normal 2 14 5 2 4 2" xfId="21480"/>
    <cellStyle name="Normal 2 14 5 2 4 3" xfId="21481"/>
    <cellStyle name="Normal 2 14 5 2 4 4" xfId="21482"/>
    <cellStyle name="Normal 2 14 5 2 5" xfId="21483"/>
    <cellStyle name="Normal 2 14 5 2 5 2" xfId="21484"/>
    <cellStyle name="Normal 2 14 5 2 6" xfId="21485"/>
    <cellStyle name="Normal 2 14 5 2 7" xfId="21486"/>
    <cellStyle name="Normal 2 14 5 2 8" xfId="21487"/>
    <cellStyle name="Normal 2 14 5 2 9" xfId="21488"/>
    <cellStyle name="Normal 2 14 5 3" xfId="21489"/>
    <cellStyle name="Normal 2 14 5 3 2" xfId="21490"/>
    <cellStyle name="Normal 2 14 5 3 2 2" xfId="21491"/>
    <cellStyle name="Normal 2 14 5 3 2 2 2" xfId="21492"/>
    <cellStyle name="Normal 2 14 5 3 2 2 3" xfId="21493"/>
    <cellStyle name="Normal 2 14 5 3 2 3" xfId="21494"/>
    <cellStyle name="Normal 2 14 5 3 2 4" xfId="21495"/>
    <cellStyle name="Normal 2 14 5 3 2 5" xfId="21496"/>
    <cellStyle name="Normal 2 14 5 3 2 6" xfId="21497"/>
    <cellStyle name="Normal 2 14 5 3 3" xfId="21498"/>
    <cellStyle name="Normal 2 14 5 3 3 2" xfId="21499"/>
    <cellStyle name="Normal 2 14 5 3 3 2 2" xfId="21500"/>
    <cellStyle name="Normal 2 14 5 3 3 3" xfId="21501"/>
    <cellStyle name="Normal 2 14 5 3 3 4" xfId="21502"/>
    <cellStyle name="Normal 2 14 5 3 3 5" xfId="21503"/>
    <cellStyle name="Normal 2 14 5 3 4" xfId="21504"/>
    <cellStyle name="Normal 2 14 5 3 4 2" xfId="21505"/>
    <cellStyle name="Normal 2 14 5 3 4 3" xfId="21506"/>
    <cellStyle name="Normal 2 14 5 3 4 4" xfId="21507"/>
    <cellStyle name="Normal 2 14 5 3 5" xfId="21508"/>
    <cellStyle name="Normal 2 14 5 3 5 2" xfId="21509"/>
    <cellStyle name="Normal 2 14 5 3 6" xfId="21510"/>
    <cellStyle name="Normal 2 14 5 3 7" xfId="21511"/>
    <cellStyle name="Normal 2 14 5 3 8" xfId="21512"/>
    <cellStyle name="Normal 2 14 5 3 9" xfId="21513"/>
    <cellStyle name="Normal 2 14 5 4" xfId="21514"/>
    <cellStyle name="Normal 2 14 5 4 2" xfId="21515"/>
    <cellStyle name="Normal 2 14 5 4 2 2" xfId="21516"/>
    <cellStyle name="Normal 2 14 5 4 2 3" xfId="21517"/>
    <cellStyle name="Normal 2 14 5 4 3" xfId="21518"/>
    <cellStyle name="Normal 2 14 5 4 4" xfId="21519"/>
    <cellStyle name="Normal 2 14 5 4 5" xfId="21520"/>
    <cellStyle name="Normal 2 14 5 4 6" xfId="21521"/>
    <cellStyle name="Normal 2 14 5 5" xfId="21522"/>
    <cellStyle name="Normal 2 14 5 5 2" xfId="21523"/>
    <cellStyle name="Normal 2 14 5 5 2 2" xfId="21524"/>
    <cellStyle name="Normal 2 14 5 5 3" xfId="21525"/>
    <cellStyle name="Normal 2 14 5 5 4" xfId="21526"/>
    <cellStyle name="Normal 2 14 5 5 5" xfId="21527"/>
    <cellStyle name="Normal 2 14 5 6" xfId="21528"/>
    <cellStyle name="Normal 2 14 5 6 2" xfId="21529"/>
    <cellStyle name="Normal 2 14 5 6 3" xfId="21530"/>
    <cellStyle name="Normal 2 14 5 6 4" xfId="21531"/>
    <cellStyle name="Normal 2 14 5 7" xfId="21532"/>
    <cellStyle name="Normal 2 14 5 7 2" xfId="21533"/>
    <cellStyle name="Normal 2 14 5 8" xfId="21534"/>
    <cellStyle name="Normal 2 14 5 9" xfId="21535"/>
    <cellStyle name="Normal 2 14 6" xfId="21536"/>
    <cellStyle name="Normal 2 14 6 10" xfId="21537"/>
    <cellStyle name="Normal 2 14 6 11" xfId="21538"/>
    <cellStyle name="Normal 2 14 6 2" xfId="21539"/>
    <cellStyle name="Normal 2 14 6 2 2" xfId="21540"/>
    <cellStyle name="Normal 2 14 6 2 2 2" xfId="21541"/>
    <cellStyle name="Normal 2 14 6 2 2 2 2" xfId="21542"/>
    <cellStyle name="Normal 2 14 6 2 2 2 3" xfId="21543"/>
    <cellStyle name="Normal 2 14 6 2 2 3" xfId="21544"/>
    <cellStyle name="Normal 2 14 6 2 2 4" xfId="21545"/>
    <cellStyle name="Normal 2 14 6 2 2 5" xfId="21546"/>
    <cellStyle name="Normal 2 14 6 2 2 6" xfId="21547"/>
    <cellStyle name="Normal 2 14 6 2 3" xfId="21548"/>
    <cellStyle name="Normal 2 14 6 2 3 2" xfId="21549"/>
    <cellStyle name="Normal 2 14 6 2 3 2 2" xfId="21550"/>
    <cellStyle name="Normal 2 14 6 2 3 3" xfId="21551"/>
    <cellStyle name="Normal 2 14 6 2 3 4" xfId="21552"/>
    <cellStyle name="Normal 2 14 6 2 3 5" xfId="21553"/>
    <cellStyle name="Normal 2 14 6 2 4" xfId="21554"/>
    <cellStyle name="Normal 2 14 6 2 4 2" xfId="21555"/>
    <cellStyle name="Normal 2 14 6 2 4 3" xfId="21556"/>
    <cellStyle name="Normal 2 14 6 2 4 4" xfId="21557"/>
    <cellStyle name="Normal 2 14 6 2 5" xfId="21558"/>
    <cellStyle name="Normal 2 14 6 2 5 2" xfId="21559"/>
    <cellStyle name="Normal 2 14 6 2 6" xfId="21560"/>
    <cellStyle name="Normal 2 14 6 2 7" xfId="21561"/>
    <cellStyle name="Normal 2 14 6 2 8" xfId="21562"/>
    <cellStyle name="Normal 2 14 6 2 9" xfId="21563"/>
    <cellStyle name="Normal 2 14 6 3" xfId="21564"/>
    <cellStyle name="Normal 2 14 6 3 2" xfId="21565"/>
    <cellStyle name="Normal 2 14 6 3 2 2" xfId="21566"/>
    <cellStyle name="Normal 2 14 6 3 2 2 2" xfId="21567"/>
    <cellStyle name="Normal 2 14 6 3 2 2 3" xfId="21568"/>
    <cellStyle name="Normal 2 14 6 3 2 3" xfId="21569"/>
    <cellStyle name="Normal 2 14 6 3 2 4" xfId="21570"/>
    <cellStyle name="Normal 2 14 6 3 2 5" xfId="21571"/>
    <cellStyle name="Normal 2 14 6 3 2 6" xfId="21572"/>
    <cellStyle name="Normal 2 14 6 3 3" xfId="21573"/>
    <cellStyle name="Normal 2 14 6 3 3 2" xfId="21574"/>
    <cellStyle name="Normal 2 14 6 3 3 2 2" xfId="21575"/>
    <cellStyle name="Normal 2 14 6 3 3 3" xfId="21576"/>
    <cellStyle name="Normal 2 14 6 3 3 4" xfId="21577"/>
    <cellStyle name="Normal 2 14 6 3 3 5" xfId="21578"/>
    <cellStyle name="Normal 2 14 6 3 4" xfId="21579"/>
    <cellStyle name="Normal 2 14 6 3 4 2" xfId="21580"/>
    <cellStyle name="Normal 2 14 6 3 4 3" xfId="21581"/>
    <cellStyle name="Normal 2 14 6 3 4 4" xfId="21582"/>
    <cellStyle name="Normal 2 14 6 3 5" xfId="21583"/>
    <cellStyle name="Normal 2 14 6 3 5 2" xfId="21584"/>
    <cellStyle name="Normal 2 14 6 3 6" xfId="21585"/>
    <cellStyle name="Normal 2 14 6 3 7" xfId="21586"/>
    <cellStyle name="Normal 2 14 6 3 8" xfId="21587"/>
    <cellStyle name="Normal 2 14 6 3 9" xfId="21588"/>
    <cellStyle name="Normal 2 14 6 4" xfId="21589"/>
    <cellStyle name="Normal 2 14 6 4 2" xfId="21590"/>
    <cellStyle name="Normal 2 14 6 4 2 2" xfId="21591"/>
    <cellStyle name="Normal 2 14 6 4 2 3" xfId="21592"/>
    <cellStyle name="Normal 2 14 6 4 3" xfId="21593"/>
    <cellStyle name="Normal 2 14 6 4 4" xfId="21594"/>
    <cellStyle name="Normal 2 14 6 4 5" xfId="21595"/>
    <cellStyle name="Normal 2 14 6 4 6" xfId="21596"/>
    <cellStyle name="Normal 2 14 6 5" xfId="21597"/>
    <cellStyle name="Normal 2 14 6 5 2" xfId="21598"/>
    <cellStyle name="Normal 2 14 6 5 2 2" xfId="21599"/>
    <cellStyle name="Normal 2 14 6 5 3" xfId="21600"/>
    <cellStyle name="Normal 2 14 6 5 4" xfId="21601"/>
    <cellStyle name="Normal 2 14 6 5 5" xfId="21602"/>
    <cellStyle name="Normal 2 14 6 6" xfId="21603"/>
    <cellStyle name="Normal 2 14 6 6 2" xfId="21604"/>
    <cellStyle name="Normal 2 14 6 6 3" xfId="21605"/>
    <cellStyle name="Normal 2 14 6 6 4" xfId="21606"/>
    <cellStyle name="Normal 2 14 6 7" xfId="21607"/>
    <cellStyle name="Normal 2 14 6 7 2" xfId="21608"/>
    <cellStyle name="Normal 2 14 6 8" xfId="21609"/>
    <cellStyle name="Normal 2 14 6 9" xfId="21610"/>
    <cellStyle name="Normal 2 14 7" xfId="21611"/>
    <cellStyle name="Normal 2 14 7 10" xfId="21612"/>
    <cellStyle name="Normal 2 14 7 11" xfId="21613"/>
    <cellStyle name="Normal 2 14 7 2" xfId="21614"/>
    <cellStyle name="Normal 2 14 7 2 2" xfId="21615"/>
    <cellStyle name="Normal 2 14 7 2 2 2" xfId="21616"/>
    <cellStyle name="Normal 2 14 7 2 2 2 2" xfId="21617"/>
    <cellStyle name="Normal 2 14 7 2 2 2 3" xfId="21618"/>
    <cellStyle name="Normal 2 14 7 2 2 3" xfId="21619"/>
    <cellStyle name="Normal 2 14 7 2 2 4" xfId="21620"/>
    <cellStyle name="Normal 2 14 7 2 2 5" xfId="21621"/>
    <cellStyle name="Normal 2 14 7 2 2 6" xfId="21622"/>
    <cellStyle name="Normal 2 14 7 2 3" xfId="21623"/>
    <cellStyle name="Normal 2 14 7 2 3 2" xfId="21624"/>
    <cellStyle name="Normal 2 14 7 2 3 2 2" xfId="21625"/>
    <cellStyle name="Normal 2 14 7 2 3 3" xfId="21626"/>
    <cellStyle name="Normal 2 14 7 2 3 4" xfId="21627"/>
    <cellStyle name="Normal 2 14 7 2 3 5" xfId="21628"/>
    <cellStyle name="Normal 2 14 7 2 4" xfId="21629"/>
    <cellStyle name="Normal 2 14 7 2 4 2" xfId="21630"/>
    <cellStyle name="Normal 2 14 7 2 4 3" xfId="21631"/>
    <cellStyle name="Normal 2 14 7 2 4 4" xfId="21632"/>
    <cellStyle name="Normal 2 14 7 2 5" xfId="21633"/>
    <cellStyle name="Normal 2 14 7 2 5 2" xfId="21634"/>
    <cellStyle name="Normal 2 14 7 2 6" xfId="21635"/>
    <cellStyle name="Normal 2 14 7 2 7" xfId="21636"/>
    <cellStyle name="Normal 2 14 7 2 8" xfId="21637"/>
    <cellStyle name="Normal 2 14 7 2 9" xfId="21638"/>
    <cellStyle name="Normal 2 14 7 3" xfId="21639"/>
    <cellStyle name="Normal 2 14 7 3 2" xfId="21640"/>
    <cellStyle name="Normal 2 14 7 3 2 2" xfId="21641"/>
    <cellStyle name="Normal 2 14 7 3 2 2 2" xfId="21642"/>
    <cellStyle name="Normal 2 14 7 3 2 2 3" xfId="21643"/>
    <cellStyle name="Normal 2 14 7 3 2 3" xfId="21644"/>
    <cellStyle name="Normal 2 14 7 3 2 4" xfId="21645"/>
    <cellStyle name="Normal 2 14 7 3 2 5" xfId="21646"/>
    <cellStyle name="Normal 2 14 7 3 2 6" xfId="21647"/>
    <cellStyle name="Normal 2 14 7 3 3" xfId="21648"/>
    <cellStyle name="Normal 2 14 7 3 3 2" xfId="21649"/>
    <cellStyle name="Normal 2 14 7 3 3 2 2" xfId="21650"/>
    <cellStyle name="Normal 2 14 7 3 3 3" xfId="21651"/>
    <cellStyle name="Normal 2 14 7 3 3 4" xfId="21652"/>
    <cellStyle name="Normal 2 14 7 3 3 5" xfId="21653"/>
    <cellStyle name="Normal 2 14 7 3 4" xfId="21654"/>
    <cellStyle name="Normal 2 14 7 3 4 2" xfId="21655"/>
    <cellStyle name="Normal 2 14 7 3 4 3" xfId="21656"/>
    <cellStyle name="Normal 2 14 7 3 4 4" xfId="21657"/>
    <cellStyle name="Normal 2 14 7 3 5" xfId="21658"/>
    <cellStyle name="Normal 2 14 7 3 5 2" xfId="21659"/>
    <cellStyle name="Normal 2 14 7 3 6" xfId="21660"/>
    <cellStyle name="Normal 2 14 7 3 7" xfId="21661"/>
    <cellStyle name="Normal 2 14 7 3 8" xfId="21662"/>
    <cellStyle name="Normal 2 14 7 3 9" xfId="21663"/>
    <cellStyle name="Normal 2 14 7 4" xfId="21664"/>
    <cellStyle name="Normal 2 14 7 4 2" xfId="21665"/>
    <cellStyle name="Normal 2 14 7 4 2 2" xfId="21666"/>
    <cellStyle name="Normal 2 14 7 4 2 3" xfId="21667"/>
    <cellStyle name="Normal 2 14 7 4 3" xfId="21668"/>
    <cellStyle name="Normal 2 14 7 4 4" xfId="21669"/>
    <cellStyle name="Normal 2 14 7 4 5" xfId="21670"/>
    <cellStyle name="Normal 2 14 7 4 6" xfId="21671"/>
    <cellStyle name="Normal 2 14 7 5" xfId="21672"/>
    <cellStyle name="Normal 2 14 7 5 2" xfId="21673"/>
    <cellStyle name="Normal 2 14 7 5 2 2" xfId="21674"/>
    <cellStyle name="Normal 2 14 7 5 3" xfId="21675"/>
    <cellStyle name="Normal 2 14 7 5 4" xfId="21676"/>
    <cellStyle name="Normal 2 14 7 5 5" xfId="21677"/>
    <cellStyle name="Normal 2 14 7 6" xfId="21678"/>
    <cellStyle name="Normal 2 14 7 6 2" xfId="21679"/>
    <cellStyle name="Normal 2 14 7 6 3" xfId="21680"/>
    <cellStyle name="Normal 2 14 7 6 4" xfId="21681"/>
    <cellStyle name="Normal 2 14 7 7" xfId="21682"/>
    <cellStyle name="Normal 2 14 7 7 2" xfId="21683"/>
    <cellStyle name="Normal 2 14 7 8" xfId="21684"/>
    <cellStyle name="Normal 2 14 7 9" xfId="21685"/>
    <cellStyle name="Normal 2 14 8" xfId="21686"/>
    <cellStyle name="Normal 2 14 8 10" xfId="21687"/>
    <cellStyle name="Normal 2 14 8 2" xfId="21688"/>
    <cellStyle name="Normal 2 14 8 2 2" xfId="21689"/>
    <cellStyle name="Normal 2 14 8 2 2 2" xfId="21690"/>
    <cellStyle name="Normal 2 14 8 2 2 3" xfId="21691"/>
    <cellStyle name="Normal 2 14 8 2 3" xfId="21692"/>
    <cellStyle name="Normal 2 14 8 2 4" xfId="21693"/>
    <cellStyle name="Normal 2 14 8 2 5" xfId="21694"/>
    <cellStyle name="Normal 2 14 8 2 6" xfId="21695"/>
    <cellStyle name="Normal 2 14 8 3" xfId="21696"/>
    <cellStyle name="Normal 2 14 8 3 2" xfId="21697"/>
    <cellStyle name="Normal 2 14 8 3 2 2" xfId="21698"/>
    <cellStyle name="Normal 2 14 8 3 2 3" xfId="21699"/>
    <cellStyle name="Normal 2 14 8 3 3" xfId="21700"/>
    <cellStyle name="Normal 2 14 8 3 4" xfId="21701"/>
    <cellStyle name="Normal 2 14 8 3 5" xfId="21702"/>
    <cellStyle name="Normal 2 14 8 3 6" xfId="21703"/>
    <cellStyle name="Normal 2 14 8 4" xfId="21704"/>
    <cellStyle name="Normal 2 14 8 4 2" xfId="21705"/>
    <cellStyle name="Normal 2 14 8 4 2 2" xfId="21706"/>
    <cellStyle name="Normal 2 14 8 4 3" xfId="21707"/>
    <cellStyle name="Normal 2 14 8 4 4" xfId="21708"/>
    <cellStyle name="Normal 2 14 8 4 5" xfId="21709"/>
    <cellStyle name="Normal 2 14 8 5" xfId="21710"/>
    <cellStyle name="Normal 2 14 8 5 2" xfId="21711"/>
    <cellStyle name="Normal 2 14 8 5 3" xfId="21712"/>
    <cellStyle name="Normal 2 14 8 5 4" xfId="21713"/>
    <cellStyle name="Normal 2 14 8 6" xfId="21714"/>
    <cellStyle name="Normal 2 14 8 6 2" xfId="21715"/>
    <cellStyle name="Normal 2 14 8 7" xfId="21716"/>
    <cellStyle name="Normal 2 14 8 8" xfId="21717"/>
    <cellStyle name="Normal 2 14 8 9" xfId="21718"/>
    <cellStyle name="Normal 2 14 9" xfId="21719"/>
    <cellStyle name="Normal 2 14 9 10" xfId="21720"/>
    <cellStyle name="Normal 2 14 9 2" xfId="21721"/>
    <cellStyle name="Normal 2 14 9 2 2" xfId="21722"/>
    <cellStyle name="Normal 2 14 9 2 2 2" xfId="21723"/>
    <cellStyle name="Normal 2 14 9 2 2 3" xfId="21724"/>
    <cellStyle name="Normal 2 14 9 2 3" xfId="21725"/>
    <cellStyle name="Normal 2 14 9 2 4" xfId="21726"/>
    <cellStyle name="Normal 2 14 9 2 5" xfId="21727"/>
    <cellStyle name="Normal 2 14 9 2 6" xfId="21728"/>
    <cellStyle name="Normal 2 14 9 3" xfId="21729"/>
    <cellStyle name="Normal 2 14 9 3 2" xfId="21730"/>
    <cellStyle name="Normal 2 14 9 3 2 2" xfId="21731"/>
    <cellStyle name="Normal 2 14 9 3 2 3" xfId="21732"/>
    <cellStyle name="Normal 2 14 9 3 3" xfId="21733"/>
    <cellStyle name="Normal 2 14 9 3 4" xfId="21734"/>
    <cellStyle name="Normal 2 14 9 3 5" xfId="21735"/>
    <cellStyle name="Normal 2 14 9 3 6" xfId="21736"/>
    <cellStyle name="Normal 2 14 9 4" xfId="21737"/>
    <cellStyle name="Normal 2 14 9 4 2" xfId="21738"/>
    <cellStyle name="Normal 2 14 9 4 2 2" xfId="21739"/>
    <cellStyle name="Normal 2 14 9 4 3" xfId="21740"/>
    <cellStyle name="Normal 2 14 9 4 4" xfId="21741"/>
    <cellStyle name="Normal 2 14 9 4 5" xfId="21742"/>
    <cellStyle name="Normal 2 14 9 5" xfId="21743"/>
    <cellStyle name="Normal 2 14 9 5 2" xfId="21744"/>
    <cellStyle name="Normal 2 14 9 5 3" xfId="21745"/>
    <cellStyle name="Normal 2 14 9 5 4" xfId="21746"/>
    <cellStyle name="Normal 2 14 9 6" xfId="21747"/>
    <cellStyle name="Normal 2 14 9 6 2" xfId="21748"/>
    <cellStyle name="Normal 2 14 9 7" xfId="21749"/>
    <cellStyle name="Normal 2 14 9 8" xfId="21750"/>
    <cellStyle name="Normal 2 14 9 9" xfId="21751"/>
    <cellStyle name="Normal 2 15" xfId="21752"/>
    <cellStyle name="Normal 2 15 10" xfId="21753"/>
    <cellStyle name="Normal 2 15 10 10" xfId="21754"/>
    <cellStyle name="Normal 2 15 10 2" xfId="21755"/>
    <cellStyle name="Normal 2 15 10 2 2" xfId="21756"/>
    <cellStyle name="Normal 2 15 10 2 2 2" xfId="21757"/>
    <cellStyle name="Normal 2 15 10 2 2 3" xfId="21758"/>
    <cellStyle name="Normal 2 15 10 2 3" xfId="21759"/>
    <cellStyle name="Normal 2 15 10 2 4" xfId="21760"/>
    <cellStyle name="Normal 2 15 10 2 5" xfId="21761"/>
    <cellStyle name="Normal 2 15 10 2 6" xfId="21762"/>
    <cellStyle name="Normal 2 15 10 3" xfId="21763"/>
    <cellStyle name="Normal 2 15 10 3 2" xfId="21764"/>
    <cellStyle name="Normal 2 15 10 3 2 2" xfId="21765"/>
    <cellStyle name="Normal 2 15 10 3 2 3" xfId="21766"/>
    <cellStyle name="Normal 2 15 10 3 3" xfId="21767"/>
    <cellStyle name="Normal 2 15 10 3 4" xfId="21768"/>
    <cellStyle name="Normal 2 15 10 3 5" xfId="21769"/>
    <cellStyle name="Normal 2 15 10 3 6" xfId="21770"/>
    <cellStyle name="Normal 2 15 10 4" xfId="21771"/>
    <cellStyle name="Normal 2 15 10 4 2" xfId="21772"/>
    <cellStyle name="Normal 2 15 10 4 2 2" xfId="21773"/>
    <cellStyle name="Normal 2 15 10 4 3" xfId="21774"/>
    <cellStyle name="Normal 2 15 10 4 4" xfId="21775"/>
    <cellStyle name="Normal 2 15 10 4 5" xfId="21776"/>
    <cellStyle name="Normal 2 15 10 5" xfId="21777"/>
    <cellStyle name="Normal 2 15 10 5 2" xfId="21778"/>
    <cellStyle name="Normal 2 15 10 5 3" xfId="21779"/>
    <cellStyle name="Normal 2 15 10 5 4" xfId="21780"/>
    <cellStyle name="Normal 2 15 10 6" xfId="21781"/>
    <cellStyle name="Normal 2 15 10 6 2" xfId="21782"/>
    <cellStyle name="Normal 2 15 10 7" xfId="21783"/>
    <cellStyle name="Normal 2 15 10 8" xfId="21784"/>
    <cellStyle name="Normal 2 15 10 9" xfId="21785"/>
    <cellStyle name="Normal 2 15 11" xfId="21786"/>
    <cellStyle name="Normal 2 15 11 10" xfId="21787"/>
    <cellStyle name="Normal 2 15 11 2" xfId="21788"/>
    <cellStyle name="Normal 2 15 11 2 2" xfId="21789"/>
    <cellStyle name="Normal 2 15 11 2 2 2" xfId="21790"/>
    <cellStyle name="Normal 2 15 11 2 2 3" xfId="21791"/>
    <cellStyle name="Normal 2 15 11 2 3" xfId="21792"/>
    <cellStyle name="Normal 2 15 11 2 4" xfId="21793"/>
    <cellStyle name="Normal 2 15 11 2 5" xfId="21794"/>
    <cellStyle name="Normal 2 15 11 2 6" xfId="21795"/>
    <cellStyle name="Normal 2 15 11 3" xfId="21796"/>
    <cellStyle name="Normal 2 15 11 3 2" xfId="21797"/>
    <cellStyle name="Normal 2 15 11 3 2 2" xfId="21798"/>
    <cellStyle name="Normal 2 15 11 3 2 3" xfId="21799"/>
    <cellStyle name="Normal 2 15 11 3 3" xfId="21800"/>
    <cellStyle name="Normal 2 15 11 3 4" xfId="21801"/>
    <cellStyle name="Normal 2 15 11 3 5" xfId="21802"/>
    <cellStyle name="Normal 2 15 11 3 6" xfId="21803"/>
    <cellStyle name="Normal 2 15 11 4" xfId="21804"/>
    <cellStyle name="Normal 2 15 11 4 2" xfId="21805"/>
    <cellStyle name="Normal 2 15 11 4 2 2" xfId="21806"/>
    <cellStyle name="Normal 2 15 11 4 3" xfId="21807"/>
    <cellStyle name="Normal 2 15 11 4 4" xfId="21808"/>
    <cellStyle name="Normal 2 15 11 4 5" xfId="21809"/>
    <cellStyle name="Normal 2 15 11 5" xfId="21810"/>
    <cellStyle name="Normal 2 15 11 5 2" xfId="21811"/>
    <cellStyle name="Normal 2 15 11 5 3" xfId="21812"/>
    <cellStyle name="Normal 2 15 11 5 4" xfId="21813"/>
    <cellStyle name="Normal 2 15 11 6" xfId="21814"/>
    <cellStyle name="Normal 2 15 11 6 2" xfId="21815"/>
    <cellStyle name="Normal 2 15 11 7" xfId="21816"/>
    <cellStyle name="Normal 2 15 11 8" xfId="21817"/>
    <cellStyle name="Normal 2 15 11 9" xfId="21818"/>
    <cellStyle name="Normal 2 15 12" xfId="21819"/>
    <cellStyle name="Normal 2 15 12 10" xfId="21820"/>
    <cellStyle name="Normal 2 15 12 2" xfId="21821"/>
    <cellStyle name="Normal 2 15 12 2 2" xfId="21822"/>
    <cellStyle name="Normal 2 15 12 2 2 2" xfId="21823"/>
    <cellStyle name="Normal 2 15 12 2 2 3" xfId="21824"/>
    <cellStyle name="Normal 2 15 12 2 3" xfId="21825"/>
    <cellStyle name="Normal 2 15 12 2 4" xfId="21826"/>
    <cellStyle name="Normal 2 15 12 2 5" xfId="21827"/>
    <cellStyle name="Normal 2 15 12 2 6" xfId="21828"/>
    <cellStyle name="Normal 2 15 12 3" xfId="21829"/>
    <cellStyle name="Normal 2 15 12 3 2" xfId="21830"/>
    <cellStyle name="Normal 2 15 12 3 2 2" xfId="21831"/>
    <cellStyle name="Normal 2 15 12 3 2 3" xfId="21832"/>
    <cellStyle name="Normal 2 15 12 3 3" xfId="21833"/>
    <cellStyle name="Normal 2 15 12 3 4" xfId="21834"/>
    <cellStyle name="Normal 2 15 12 3 5" xfId="21835"/>
    <cellStyle name="Normal 2 15 12 3 6" xfId="21836"/>
    <cellStyle name="Normal 2 15 12 4" xfId="21837"/>
    <cellStyle name="Normal 2 15 12 4 2" xfId="21838"/>
    <cellStyle name="Normal 2 15 12 4 2 2" xfId="21839"/>
    <cellStyle name="Normal 2 15 12 4 3" xfId="21840"/>
    <cellStyle name="Normal 2 15 12 4 4" xfId="21841"/>
    <cellStyle name="Normal 2 15 12 4 5" xfId="21842"/>
    <cellStyle name="Normal 2 15 12 5" xfId="21843"/>
    <cellStyle name="Normal 2 15 12 5 2" xfId="21844"/>
    <cellStyle name="Normal 2 15 12 5 3" xfId="21845"/>
    <cellStyle name="Normal 2 15 12 5 4" xfId="21846"/>
    <cellStyle name="Normal 2 15 12 6" xfId="21847"/>
    <cellStyle name="Normal 2 15 12 6 2" xfId="21848"/>
    <cellStyle name="Normal 2 15 12 7" xfId="21849"/>
    <cellStyle name="Normal 2 15 12 8" xfId="21850"/>
    <cellStyle name="Normal 2 15 12 9" xfId="21851"/>
    <cellStyle name="Normal 2 15 13" xfId="21852"/>
    <cellStyle name="Normal 2 15 13 2" xfId="21853"/>
    <cellStyle name="Normal 2 15 13 2 2" xfId="21854"/>
    <cellStyle name="Normal 2 15 13 2 2 2" xfId="21855"/>
    <cellStyle name="Normal 2 15 13 2 2 3" xfId="21856"/>
    <cellStyle name="Normal 2 15 13 2 3" xfId="21857"/>
    <cellStyle name="Normal 2 15 13 2 4" xfId="21858"/>
    <cellStyle name="Normal 2 15 13 2 5" xfId="21859"/>
    <cellStyle name="Normal 2 15 13 2 6" xfId="21860"/>
    <cellStyle name="Normal 2 15 13 3" xfId="21861"/>
    <cellStyle name="Normal 2 15 13 3 2" xfId="21862"/>
    <cellStyle name="Normal 2 15 13 3 2 2" xfId="21863"/>
    <cellStyle name="Normal 2 15 13 3 3" xfId="21864"/>
    <cellStyle name="Normal 2 15 13 3 4" xfId="21865"/>
    <cellStyle name="Normal 2 15 13 3 5" xfId="21866"/>
    <cellStyle name="Normal 2 15 13 4" xfId="21867"/>
    <cellStyle name="Normal 2 15 13 4 2" xfId="21868"/>
    <cellStyle name="Normal 2 15 13 4 3" xfId="21869"/>
    <cellStyle name="Normal 2 15 13 4 4" xfId="21870"/>
    <cellStyle name="Normal 2 15 13 5" xfId="21871"/>
    <cellStyle name="Normal 2 15 13 5 2" xfId="21872"/>
    <cellStyle name="Normal 2 15 13 6" xfId="21873"/>
    <cellStyle name="Normal 2 15 13 7" xfId="21874"/>
    <cellStyle name="Normal 2 15 13 8" xfId="21875"/>
    <cellStyle name="Normal 2 15 13 9" xfId="21876"/>
    <cellStyle name="Normal 2 15 14" xfId="21877"/>
    <cellStyle name="Normal 2 15 14 2" xfId="21878"/>
    <cellStyle name="Normal 2 15 14 2 2" xfId="21879"/>
    <cellStyle name="Normal 2 15 14 2 2 2" xfId="21880"/>
    <cellStyle name="Normal 2 15 14 2 2 3" xfId="21881"/>
    <cellStyle name="Normal 2 15 14 2 3" xfId="21882"/>
    <cellStyle name="Normal 2 15 14 2 4" xfId="21883"/>
    <cellStyle name="Normal 2 15 14 2 5" xfId="21884"/>
    <cellStyle name="Normal 2 15 14 2 6" xfId="21885"/>
    <cellStyle name="Normal 2 15 14 3" xfId="21886"/>
    <cellStyle name="Normal 2 15 14 3 2" xfId="21887"/>
    <cellStyle name="Normal 2 15 14 3 2 2" xfId="21888"/>
    <cellStyle name="Normal 2 15 14 3 3" xfId="21889"/>
    <cellStyle name="Normal 2 15 14 3 4" xfId="21890"/>
    <cellStyle name="Normal 2 15 14 3 5" xfId="21891"/>
    <cellStyle name="Normal 2 15 14 4" xfId="21892"/>
    <cellStyle name="Normal 2 15 14 4 2" xfId="21893"/>
    <cellStyle name="Normal 2 15 14 4 3" xfId="21894"/>
    <cellStyle name="Normal 2 15 14 4 4" xfId="21895"/>
    <cellStyle name="Normal 2 15 14 5" xfId="21896"/>
    <cellStyle name="Normal 2 15 14 5 2" xfId="21897"/>
    <cellStyle name="Normal 2 15 14 6" xfId="21898"/>
    <cellStyle name="Normal 2 15 14 7" xfId="21899"/>
    <cellStyle name="Normal 2 15 14 8" xfId="21900"/>
    <cellStyle name="Normal 2 15 14 9" xfId="21901"/>
    <cellStyle name="Normal 2 15 15" xfId="21902"/>
    <cellStyle name="Normal 2 15 15 2" xfId="21903"/>
    <cellStyle name="Normal 2 15 15 2 2" xfId="21904"/>
    <cellStyle name="Normal 2 15 15 2 3" xfId="21905"/>
    <cellStyle name="Normal 2 15 15 3" xfId="21906"/>
    <cellStyle name="Normal 2 15 15 4" xfId="21907"/>
    <cellStyle name="Normal 2 15 15 5" xfId="21908"/>
    <cellStyle name="Normal 2 15 15 6" xfId="21909"/>
    <cellStyle name="Normal 2 15 16" xfId="21910"/>
    <cellStyle name="Normal 2 15 16 2" xfId="21911"/>
    <cellStyle name="Normal 2 15 16 2 2" xfId="21912"/>
    <cellStyle name="Normal 2 15 16 3" xfId="21913"/>
    <cellStyle name="Normal 2 15 16 4" xfId="21914"/>
    <cellStyle name="Normal 2 15 16 5" xfId="21915"/>
    <cellStyle name="Normal 2 15 17" xfId="21916"/>
    <cellStyle name="Normal 2 15 17 2" xfId="21917"/>
    <cellStyle name="Normal 2 15 17 2 2" xfId="21918"/>
    <cellStyle name="Normal 2 15 17 3" xfId="21919"/>
    <cellStyle name="Normal 2 15 17 4" xfId="21920"/>
    <cellStyle name="Normal 2 15 17 5" xfId="21921"/>
    <cellStyle name="Normal 2 15 18" xfId="21922"/>
    <cellStyle name="Normal 2 15 18 2" xfId="21923"/>
    <cellStyle name="Normal 2 15 19" xfId="21924"/>
    <cellStyle name="Normal 2 15 2" xfId="21925"/>
    <cellStyle name="Normal 2 15 2 10" xfId="21926"/>
    <cellStyle name="Normal 2 15 2 11" xfId="21927"/>
    <cellStyle name="Normal 2 15 2 2" xfId="21928"/>
    <cellStyle name="Normal 2 15 2 2 2" xfId="21929"/>
    <cellStyle name="Normal 2 15 2 2 2 2" xfId="21930"/>
    <cellStyle name="Normal 2 15 2 2 2 2 2" xfId="21931"/>
    <cellStyle name="Normal 2 15 2 2 2 2 3" xfId="21932"/>
    <cellStyle name="Normal 2 15 2 2 2 3" xfId="21933"/>
    <cellStyle name="Normal 2 15 2 2 2 4" xfId="21934"/>
    <cellStyle name="Normal 2 15 2 2 2 5" xfId="21935"/>
    <cellStyle name="Normal 2 15 2 2 2 6" xfId="21936"/>
    <cellStyle name="Normal 2 15 2 2 3" xfId="21937"/>
    <cellStyle name="Normal 2 15 2 2 3 2" xfId="21938"/>
    <cellStyle name="Normal 2 15 2 2 3 2 2" xfId="21939"/>
    <cellStyle name="Normal 2 15 2 2 3 3" xfId="21940"/>
    <cellStyle name="Normal 2 15 2 2 3 4" xfId="21941"/>
    <cellStyle name="Normal 2 15 2 2 3 5" xfId="21942"/>
    <cellStyle name="Normal 2 15 2 2 4" xfId="21943"/>
    <cellStyle name="Normal 2 15 2 2 4 2" xfId="21944"/>
    <cellStyle name="Normal 2 15 2 2 4 3" xfId="21945"/>
    <cellStyle name="Normal 2 15 2 2 4 4" xfId="21946"/>
    <cellStyle name="Normal 2 15 2 2 5" xfId="21947"/>
    <cellStyle name="Normal 2 15 2 2 5 2" xfId="21948"/>
    <cellStyle name="Normal 2 15 2 2 6" xfId="21949"/>
    <cellStyle name="Normal 2 15 2 2 7" xfId="21950"/>
    <cellStyle name="Normal 2 15 2 2 8" xfId="21951"/>
    <cellStyle name="Normal 2 15 2 2 9" xfId="21952"/>
    <cellStyle name="Normal 2 15 2 3" xfId="21953"/>
    <cellStyle name="Normal 2 15 2 3 2" xfId="21954"/>
    <cellStyle name="Normal 2 15 2 3 2 2" xfId="21955"/>
    <cellStyle name="Normal 2 15 2 3 2 2 2" xfId="21956"/>
    <cellStyle name="Normal 2 15 2 3 2 2 3" xfId="21957"/>
    <cellStyle name="Normal 2 15 2 3 2 3" xfId="21958"/>
    <cellStyle name="Normal 2 15 2 3 2 4" xfId="21959"/>
    <cellStyle name="Normal 2 15 2 3 2 5" xfId="21960"/>
    <cellStyle name="Normal 2 15 2 3 2 6" xfId="21961"/>
    <cellStyle name="Normal 2 15 2 3 3" xfId="21962"/>
    <cellStyle name="Normal 2 15 2 3 3 2" xfId="21963"/>
    <cellStyle name="Normal 2 15 2 3 3 2 2" xfId="21964"/>
    <cellStyle name="Normal 2 15 2 3 3 3" xfId="21965"/>
    <cellStyle name="Normal 2 15 2 3 3 4" xfId="21966"/>
    <cellStyle name="Normal 2 15 2 3 3 5" xfId="21967"/>
    <cellStyle name="Normal 2 15 2 3 4" xfId="21968"/>
    <cellStyle name="Normal 2 15 2 3 4 2" xfId="21969"/>
    <cellStyle name="Normal 2 15 2 3 4 3" xfId="21970"/>
    <cellStyle name="Normal 2 15 2 3 4 4" xfId="21971"/>
    <cellStyle name="Normal 2 15 2 3 5" xfId="21972"/>
    <cellStyle name="Normal 2 15 2 3 5 2" xfId="21973"/>
    <cellStyle name="Normal 2 15 2 3 6" xfId="21974"/>
    <cellStyle name="Normal 2 15 2 3 7" xfId="21975"/>
    <cellStyle name="Normal 2 15 2 3 8" xfId="21976"/>
    <cellStyle name="Normal 2 15 2 3 9" xfId="21977"/>
    <cellStyle name="Normal 2 15 2 4" xfId="21978"/>
    <cellStyle name="Normal 2 15 2 4 2" xfId="21979"/>
    <cellStyle name="Normal 2 15 2 4 2 2" xfId="21980"/>
    <cellStyle name="Normal 2 15 2 4 2 3" xfId="21981"/>
    <cellStyle name="Normal 2 15 2 4 3" xfId="21982"/>
    <cellStyle name="Normal 2 15 2 4 4" xfId="21983"/>
    <cellStyle name="Normal 2 15 2 4 5" xfId="21984"/>
    <cellStyle name="Normal 2 15 2 4 6" xfId="21985"/>
    <cellStyle name="Normal 2 15 2 5" xfId="21986"/>
    <cellStyle name="Normal 2 15 2 5 2" xfId="21987"/>
    <cellStyle name="Normal 2 15 2 5 2 2" xfId="21988"/>
    <cellStyle name="Normal 2 15 2 5 3" xfId="21989"/>
    <cellStyle name="Normal 2 15 2 5 4" xfId="21990"/>
    <cellStyle name="Normal 2 15 2 5 5" xfId="21991"/>
    <cellStyle name="Normal 2 15 2 6" xfId="21992"/>
    <cellStyle name="Normal 2 15 2 6 2" xfId="21993"/>
    <cellStyle name="Normal 2 15 2 6 3" xfId="21994"/>
    <cellStyle name="Normal 2 15 2 6 4" xfId="21995"/>
    <cellStyle name="Normal 2 15 2 7" xfId="21996"/>
    <cellStyle name="Normal 2 15 2 7 2" xfId="21997"/>
    <cellStyle name="Normal 2 15 2 8" xfId="21998"/>
    <cellStyle name="Normal 2 15 2 9" xfId="21999"/>
    <cellStyle name="Normal 2 15 20" xfId="22000"/>
    <cellStyle name="Normal 2 15 21" xfId="22001"/>
    <cellStyle name="Normal 2 15 22" xfId="22002"/>
    <cellStyle name="Normal 2 15 3" xfId="22003"/>
    <cellStyle name="Normal 2 15 3 10" xfId="22004"/>
    <cellStyle name="Normal 2 15 3 11" xfId="22005"/>
    <cellStyle name="Normal 2 15 3 2" xfId="22006"/>
    <cellStyle name="Normal 2 15 3 2 2" xfId="22007"/>
    <cellStyle name="Normal 2 15 3 2 2 2" xfId="22008"/>
    <cellStyle name="Normal 2 15 3 2 2 2 2" xfId="22009"/>
    <cellStyle name="Normal 2 15 3 2 2 2 3" xfId="22010"/>
    <cellStyle name="Normal 2 15 3 2 2 3" xfId="22011"/>
    <cellStyle name="Normal 2 15 3 2 2 4" xfId="22012"/>
    <cellStyle name="Normal 2 15 3 2 2 5" xfId="22013"/>
    <cellStyle name="Normal 2 15 3 2 2 6" xfId="22014"/>
    <cellStyle name="Normal 2 15 3 2 3" xfId="22015"/>
    <cellStyle name="Normal 2 15 3 2 3 2" xfId="22016"/>
    <cellStyle name="Normal 2 15 3 2 3 2 2" xfId="22017"/>
    <cellStyle name="Normal 2 15 3 2 3 3" xfId="22018"/>
    <cellStyle name="Normal 2 15 3 2 3 4" xfId="22019"/>
    <cellStyle name="Normal 2 15 3 2 3 5" xfId="22020"/>
    <cellStyle name="Normal 2 15 3 2 4" xfId="22021"/>
    <cellStyle name="Normal 2 15 3 2 4 2" xfId="22022"/>
    <cellStyle name="Normal 2 15 3 2 4 3" xfId="22023"/>
    <cellStyle name="Normal 2 15 3 2 4 4" xfId="22024"/>
    <cellStyle name="Normal 2 15 3 2 5" xfId="22025"/>
    <cellStyle name="Normal 2 15 3 2 5 2" xfId="22026"/>
    <cellStyle name="Normal 2 15 3 2 6" xfId="22027"/>
    <cellStyle name="Normal 2 15 3 2 7" xfId="22028"/>
    <cellStyle name="Normal 2 15 3 2 8" xfId="22029"/>
    <cellStyle name="Normal 2 15 3 2 9" xfId="22030"/>
    <cellStyle name="Normal 2 15 3 3" xfId="22031"/>
    <cellStyle name="Normal 2 15 3 3 2" xfId="22032"/>
    <cellStyle name="Normal 2 15 3 3 2 2" xfId="22033"/>
    <cellStyle name="Normal 2 15 3 3 2 2 2" xfId="22034"/>
    <cellStyle name="Normal 2 15 3 3 2 2 3" xfId="22035"/>
    <cellStyle name="Normal 2 15 3 3 2 3" xfId="22036"/>
    <cellStyle name="Normal 2 15 3 3 2 4" xfId="22037"/>
    <cellStyle name="Normal 2 15 3 3 2 5" xfId="22038"/>
    <cellStyle name="Normal 2 15 3 3 2 6" xfId="22039"/>
    <cellStyle name="Normal 2 15 3 3 3" xfId="22040"/>
    <cellStyle name="Normal 2 15 3 3 3 2" xfId="22041"/>
    <cellStyle name="Normal 2 15 3 3 3 2 2" xfId="22042"/>
    <cellStyle name="Normal 2 15 3 3 3 3" xfId="22043"/>
    <cellStyle name="Normal 2 15 3 3 3 4" xfId="22044"/>
    <cellStyle name="Normal 2 15 3 3 3 5" xfId="22045"/>
    <cellStyle name="Normal 2 15 3 3 4" xfId="22046"/>
    <cellStyle name="Normal 2 15 3 3 4 2" xfId="22047"/>
    <cellStyle name="Normal 2 15 3 3 4 3" xfId="22048"/>
    <cellStyle name="Normal 2 15 3 3 4 4" xfId="22049"/>
    <cellStyle name="Normal 2 15 3 3 5" xfId="22050"/>
    <cellStyle name="Normal 2 15 3 3 5 2" xfId="22051"/>
    <cellStyle name="Normal 2 15 3 3 6" xfId="22052"/>
    <cellStyle name="Normal 2 15 3 3 7" xfId="22053"/>
    <cellStyle name="Normal 2 15 3 3 8" xfId="22054"/>
    <cellStyle name="Normal 2 15 3 3 9" xfId="22055"/>
    <cellStyle name="Normal 2 15 3 4" xfId="22056"/>
    <cellStyle name="Normal 2 15 3 4 2" xfId="22057"/>
    <cellStyle name="Normal 2 15 3 4 2 2" xfId="22058"/>
    <cellStyle name="Normal 2 15 3 4 2 3" xfId="22059"/>
    <cellStyle name="Normal 2 15 3 4 3" xfId="22060"/>
    <cellStyle name="Normal 2 15 3 4 4" xfId="22061"/>
    <cellStyle name="Normal 2 15 3 4 5" xfId="22062"/>
    <cellStyle name="Normal 2 15 3 4 6" xfId="22063"/>
    <cellStyle name="Normal 2 15 3 5" xfId="22064"/>
    <cellStyle name="Normal 2 15 3 5 2" xfId="22065"/>
    <cellStyle name="Normal 2 15 3 5 2 2" xfId="22066"/>
    <cellStyle name="Normal 2 15 3 5 3" xfId="22067"/>
    <cellStyle name="Normal 2 15 3 5 4" xfId="22068"/>
    <cellStyle name="Normal 2 15 3 5 5" xfId="22069"/>
    <cellStyle name="Normal 2 15 3 6" xfId="22070"/>
    <cellStyle name="Normal 2 15 3 6 2" xfId="22071"/>
    <cellStyle name="Normal 2 15 3 6 3" xfId="22072"/>
    <cellStyle name="Normal 2 15 3 6 4" xfId="22073"/>
    <cellStyle name="Normal 2 15 3 7" xfId="22074"/>
    <cellStyle name="Normal 2 15 3 7 2" xfId="22075"/>
    <cellStyle name="Normal 2 15 3 8" xfId="22076"/>
    <cellStyle name="Normal 2 15 3 9" xfId="22077"/>
    <cellStyle name="Normal 2 15 4" xfId="22078"/>
    <cellStyle name="Normal 2 15 4 10" xfId="22079"/>
    <cellStyle name="Normal 2 15 4 11" xfId="22080"/>
    <cellStyle name="Normal 2 15 4 2" xfId="22081"/>
    <cellStyle name="Normal 2 15 4 2 2" xfId="22082"/>
    <cellStyle name="Normal 2 15 4 2 2 2" xfId="22083"/>
    <cellStyle name="Normal 2 15 4 2 2 2 2" xfId="22084"/>
    <cellStyle name="Normal 2 15 4 2 2 2 3" xfId="22085"/>
    <cellStyle name="Normal 2 15 4 2 2 3" xfId="22086"/>
    <cellStyle name="Normal 2 15 4 2 2 4" xfId="22087"/>
    <cellStyle name="Normal 2 15 4 2 2 5" xfId="22088"/>
    <cellStyle name="Normal 2 15 4 2 2 6" xfId="22089"/>
    <cellStyle name="Normal 2 15 4 2 3" xfId="22090"/>
    <cellStyle name="Normal 2 15 4 2 3 2" xfId="22091"/>
    <cellStyle name="Normal 2 15 4 2 3 2 2" xfId="22092"/>
    <cellStyle name="Normal 2 15 4 2 3 3" xfId="22093"/>
    <cellStyle name="Normal 2 15 4 2 3 4" xfId="22094"/>
    <cellStyle name="Normal 2 15 4 2 3 5" xfId="22095"/>
    <cellStyle name="Normal 2 15 4 2 4" xfId="22096"/>
    <cellStyle name="Normal 2 15 4 2 4 2" xfId="22097"/>
    <cellStyle name="Normal 2 15 4 2 4 3" xfId="22098"/>
    <cellStyle name="Normal 2 15 4 2 4 4" xfId="22099"/>
    <cellStyle name="Normal 2 15 4 2 5" xfId="22100"/>
    <cellStyle name="Normal 2 15 4 2 5 2" xfId="22101"/>
    <cellStyle name="Normal 2 15 4 2 6" xfId="22102"/>
    <cellStyle name="Normal 2 15 4 2 7" xfId="22103"/>
    <cellStyle name="Normal 2 15 4 2 8" xfId="22104"/>
    <cellStyle name="Normal 2 15 4 2 9" xfId="22105"/>
    <cellStyle name="Normal 2 15 4 3" xfId="22106"/>
    <cellStyle name="Normal 2 15 4 3 2" xfId="22107"/>
    <cellStyle name="Normal 2 15 4 3 2 2" xfId="22108"/>
    <cellStyle name="Normal 2 15 4 3 2 2 2" xfId="22109"/>
    <cellStyle name="Normal 2 15 4 3 2 2 3" xfId="22110"/>
    <cellStyle name="Normal 2 15 4 3 2 3" xfId="22111"/>
    <cellStyle name="Normal 2 15 4 3 2 4" xfId="22112"/>
    <cellStyle name="Normal 2 15 4 3 2 5" xfId="22113"/>
    <cellStyle name="Normal 2 15 4 3 2 6" xfId="22114"/>
    <cellStyle name="Normal 2 15 4 3 3" xfId="22115"/>
    <cellStyle name="Normal 2 15 4 3 3 2" xfId="22116"/>
    <cellStyle name="Normal 2 15 4 3 3 2 2" xfId="22117"/>
    <cellStyle name="Normal 2 15 4 3 3 3" xfId="22118"/>
    <cellStyle name="Normal 2 15 4 3 3 4" xfId="22119"/>
    <cellStyle name="Normal 2 15 4 3 3 5" xfId="22120"/>
    <cellStyle name="Normal 2 15 4 3 4" xfId="22121"/>
    <cellStyle name="Normal 2 15 4 3 4 2" xfId="22122"/>
    <cellStyle name="Normal 2 15 4 3 4 3" xfId="22123"/>
    <cellStyle name="Normal 2 15 4 3 4 4" xfId="22124"/>
    <cellStyle name="Normal 2 15 4 3 5" xfId="22125"/>
    <cellStyle name="Normal 2 15 4 3 5 2" xfId="22126"/>
    <cellStyle name="Normal 2 15 4 3 6" xfId="22127"/>
    <cellStyle name="Normal 2 15 4 3 7" xfId="22128"/>
    <cellStyle name="Normal 2 15 4 3 8" xfId="22129"/>
    <cellStyle name="Normal 2 15 4 3 9" xfId="22130"/>
    <cellStyle name="Normal 2 15 4 4" xfId="22131"/>
    <cellStyle name="Normal 2 15 4 4 2" xfId="22132"/>
    <cellStyle name="Normal 2 15 4 4 2 2" xfId="22133"/>
    <cellStyle name="Normal 2 15 4 4 2 3" xfId="22134"/>
    <cellStyle name="Normal 2 15 4 4 3" xfId="22135"/>
    <cellStyle name="Normal 2 15 4 4 4" xfId="22136"/>
    <cellStyle name="Normal 2 15 4 4 5" xfId="22137"/>
    <cellStyle name="Normal 2 15 4 4 6" xfId="22138"/>
    <cellStyle name="Normal 2 15 4 5" xfId="22139"/>
    <cellStyle name="Normal 2 15 4 5 2" xfId="22140"/>
    <cellStyle name="Normal 2 15 4 5 2 2" xfId="22141"/>
    <cellStyle name="Normal 2 15 4 5 3" xfId="22142"/>
    <cellStyle name="Normal 2 15 4 5 4" xfId="22143"/>
    <cellStyle name="Normal 2 15 4 5 5" xfId="22144"/>
    <cellStyle name="Normal 2 15 4 6" xfId="22145"/>
    <cellStyle name="Normal 2 15 4 6 2" xfId="22146"/>
    <cellStyle name="Normal 2 15 4 6 3" xfId="22147"/>
    <cellStyle name="Normal 2 15 4 6 4" xfId="22148"/>
    <cellStyle name="Normal 2 15 4 7" xfId="22149"/>
    <cellStyle name="Normal 2 15 4 7 2" xfId="22150"/>
    <cellStyle name="Normal 2 15 4 8" xfId="22151"/>
    <cellStyle name="Normal 2 15 4 9" xfId="22152"/>
    <cellStyle name="Normal 2 15 5" xfId="22153"/>
    <cellStyle name="Normal 2 15 5 10" xfId="22154"/>
    <cellStyle name="Normal 2 15 5 11" xfId="22155"/>
    <cellStyle name="Normal 2 15 5 2" xfId="22156"/>
    <cellStyle name="Normal 2 15 5 2 2" xfId="22157"/>
    <cellStyle name="Normal 2 15 5 2 2 2" xfId="22158"/>
    <cellStyle name="Normal 2 15 5 2 2 2 2" xfId="22159"/>
    <cellStyle name="Normal 2 15 5 2 2 2 3" xfId="22160"/>
    <cellStyle name="Normal 2 15 5 2 2 3" xfId="22161"/>
    <cellStyle name="Normal 2 15 5 2 2 4" xfId="22162"/>
    <cellStyle name="Normal 2 15 5 2 2 5" xfId="22163"/>
    <cellStyle name="Normal 2 15 5 2 2 6" xfId="22164"/>
    <cellStyle name="Normal 2 15 5 2 3" xfId="22165"/>
    <cellStyle name="Normal 2 15 5 2 3 2" xfId="22166"/>
    <cellStyle name="Normal 2 15 5 2 3 2 2" xfId="22167"/>
    <cellStyle name="Normal 2 15 5 2 3 3" xfId="22168"/>
    <cellStyle name="Normal 2 15 5 2 3 4" xfId="22169"/>
    <cellStyle name="Normal 2 15 5 2 3 5" xfId="22170"/>
    <cellStyle name="Normal 2 15 5 2 4" xfId="22171"/>
    <cellStyle name="Normal 2 15 5 2 4 2" xfId="22172"/>
    <cellStyle name="Normal 2 15 5 2 4 3" xfId="22173"/>
    <cellStyle name="Normal 2 15 5 2 4 4" xfId="22174"/>
    <cellStyle name="Normal 2 15 5 2 5" xfId="22175"/>
    <cellStyle name="Normal 2 15 5 2 5 2" xfId="22176"/>
    <cellStyle name="Normal 2 15 5 2 6" xfId="22177"/>
    <cellStyle name="Normal 2 15 5 2 7" xfId="22178"/>
    <cellStyle name="Normal 2 15 5 2 8" xfId="22179"/>
    <cellStyle name="Normal 2 15 5 2 9" xfId="22180"/>
    <cellStyle name="Normal 2 15 5 3" xfId="22181"/>
    <cellStyle name="Normal 2 15 5 3 2" xfId="22182"/>
    <cellStyle name="Normal 2 15 5 3 2 2" xfId="22183"/>
    <cellStyle name="Normal 2 15 5 3 2 2 2" xfId="22184"/>
    <cellStyle name="Normal 2 15 5 3 2 2 3" xfId="22185"/>
    <cellStyle name="Normal 2 15 5 3 2 3" xfId="22186"/>
    <cellStyle name="Normal 2 15 5 3 2 4" xfId="22187"/>
    <cellStyle name="Normal 2 15 5 3 2 5" xfId="22188"/>
    <cellStyle name="Normal 2 15 5 3 2 6" xfId="22189"/>
    <cellStyle name="Normal 2 15 5 3 3" xfId="22190"/>
    <cellStyle name="Normal 2 15 5 3 3 2" xfId="22191"/>
    <cellStyle name="Normal 2 15 5 3 3 2 2" xfId="22192"/>
    <cellStyle name="Normal 2 15 5 3 3 3" xfId="22193"/>
    <cellStyle name="Normal 2 15 5 3 3 4" xfId="22194"/>
    <cellStyle name="Normal 2 15 5 3 3 5" xfId="22195"/>
    <cellStyle name="Normal 2 15 5 3 4" xfId="22196"/>
    <cellStyle name="Normal 2 15 5 3 4 2" xfId="22197"/>
    <cellStyle name="Normal 2 15 5 3 4 3" xfId="22198"/>
    <cellStyle name="Normal 2 15 5 3 4 4" xfId="22199"/>
    <cellStyle name="Normal 2 15 5 3 5" xfId="22200"/>
    <cellStyle name="Normal 2 15 5 3 5 2" xfId="22201"/>
    <cellStyle name="Normal 2 15 5 3 6" xfId="22202"/>
    <cellStyle name="Normal 2 15 5 3 7" xfId="22203"/>
    <cellStyle name="Normal 2 15 5 3 8" xfId="22204"/>
    <cellStyle name="Normal 2 15 5 3 9" xfId="22205"/>
    <cellStyle name="Normal 2 15 5 4" xfId="22206"/>
    <cellStyle name="Normal 2 15 5 4 2" xfId="22207"/>
    <cellStyle name="Normal 2 15 5 4 2 2" xfId="22208"/>
    <cellStyle name="Normal 2 15 5 4 2 3" xfId="22209"/>
    <cellStyle name="Normal 2 15 5 4 3" xfId="22210"/>
    <cellStyle name="Normal 2 15 5 4 4" xfId="22211"/>
    <cellStyle name="Normal 2 15 5 4 5" xfId="22212"/>
    <cellStyle name="Normal 2 15 5 4 6" xfId="22213"/>
    <cellStyle name="Normal 2 15 5 5" xfId="22214"/>
    <cellStyle name="Normal 2 15 5 5 2" xfId="22215"/>
    <cellStyle name="Normal 2 15 5 5 2 2" xfId="22216"/>
    <cellStyle name="Normal 2 15 5 5 3" xfId="22217"/>
    <cellStyle name="Normal 2 15 5 5 4" xfId="22218"/>
    <cellStyle name="Normal 2 15 5 5 5" xfId="22219"/>
    <cellStyle name="Normal 2 15 5 6" xfId="22220"/>
    <cellStyle name="Normal 2 15 5 6 2" xfId="22221"/>
    <cellStyle name="Normal 2 15 5 6 3" xfId="22222"/>
    <cellStyle name="Normal 2 15 5 6 4" xfId="22223"/>
    <cellStyle name="Normal 2 15 5 7" xfId="22224"/>
    <cellStyle name="Normal 2 15 5 7 2" xfId="22225"/>
    <cellStyle name="Normal 2 15 5 8" xfId="22226"/>
    <cellStyle name="Normal 2 15 5 9" xfId="22227"/>
    <cellStyle name="Normal 2 15 6" xfId="22228"/>
    <cellStyle name="Normal 2 15 6 10" xfId="22229"/>
    <cellStyle name="Normal 2 15 6 11" xfId="22230"/>
    <cellStyle name="Normal 2 15 6 2" xfId="22231"/>
    <cellStyle name="Normal 2 15 6 2 2" xfId="22232"/>
    <cellStyle name="Normal 2 15 6 2 2 2" xfId="22233"/>
    <cellStyle name="Normal 2 15 6 2 2 2 2" xfId="22234"/>
    <cellStyle name="Normal 2 15 6 2 2 2 3" xfId="22235"/>
    <cellStyle name="Normal 2 15 6 2 2 3" xfId="22236"/>
    <cellStyle name="Normal 2 15 6 2 2 4" xfId="22237"/>
    <cellStyle name="Normal 2 15 6 2 2 5" xfId="22238"/>
    <cellStyle name="Normal 2 15 6 2 2 6" xfId="22239"/>
    <cellStyle name="Normal 2 15 6 2 3" xfId="22240"/>
    <cellStyle name="Normal 2 15 6 2 3 2" xfId="22241"/>
    <cellStyle name="Normal 2 15 6 2 3 2 2" xfId="22242"/>
    <cellStyle name="Normal 2 15 6 2 3 3" xfId="22243"/>
    <cellStyle name="Normal 2 15 6 2 3 4" xfId="22244"/>
    <cellStyle name="Normal 2 15 6 2 3 5" xfId="22245"/>
    <cellStyle name="Normal 2 15 6 2 4" xfId="22246"/>
    <cellStyle name="Normal 2 15 6 2 4 2" xfId="22247"/>
    <cellStyle name="Normal 2 15 6 2 4 3" xfId="22248"/>
    <cellStyle name="Normal 2 15 6 2 4 4" xfId="22249"/>
    <cellStyle name="Normal 2 15 6 2 5" xfId="22250"/>
    <cellStyle name="Normal 2 15 6 2 5 2" xfId="22251"/>
    <cellStyle name="Normal 2 15 6 2 6" xfId="22252"/>
    <cellStyle name="Normal 2 15 6 2 7" xfId="22253"/>
    <cellStyle name="Normal 2 15 6 2 8" xfId="22254"/>
    <cellStyle name="Normal 2 15 6 2 9" xfId="22255"/>
    <cellStyle name="Normal 2 15 6 3" xfId="22256"/>
    <cellStyle name="Normal 2 15 6 3 2" xfId="22257"/>
    <cellStyle name="Normal 2 15 6 3 2 2" xfId="22258"/>
    <cellStyle name="Normal 2 15 6 3 2 2 2" xfId="22259"/>
    <cellStyle name="Normal 2 15 6 3 2 2 3" xfId="22260"/>
    <cellStyle name="Normal 2 15 6 3 2 3" xfId="22261"/>
    <cellStyle name="Normal 2 15 6 3 2 4" xfId="22262"/>
    <cellStyle name="Normal 2 15 6 3 2 5" xfId="22263"/>
    <cellStyle name="Normal 2 15 6 3 2 6" xfId="22264"/>
    <cellStyle name="Normal 2 15 6 3 3" xfId="22265"/>
    <cellStyle name="Normal 2 15 6 3 3 2" xfId="22266"/>
    <cellStyle name="Normal 2 15 6 3 3 2 2" xfId="22267"/>
    <cellStyle name="Normal 2 15 6 3 3 3" xfId="22268"/>
    <cellStyle name="Normal 2 15 6 3 3 4" xfId="22269"/>
    <cellStyle name="Normal 2 15 6 3 3 5" xfId="22270"/>
    <cellStyle name="Normal 2 15 6 3 4" xfId="22271"/>
    <cellStyle name="Normal 2 15 6 3 4 2" xfId="22272"/>
    <cellStyle name="Normal 2 15 6 3 4 3" xfId="22273"/>
    <cellStyle name="Normal 2 15 6 3 4 4" xfId="22274"/>
    <cellStyle name="Normal 2 15 6 3 5" xfId="22275"/>
    <cellStyle name="Normal 2 15 6 3 5 2" xfId="22276"/>
    <cellStyle name="Normal 2 15 6 3 6" xfId="22277"/>
    <cellStyle name="Normal 2 15 6 3 7" xfId="22278"/>
    <cellStyle name="Normal 2 15 6 3 8" xfId="22279"/>
    <cellStyle name="Normal 2 15 6 3 9" xfId="22280"/>
    <cellStyle name="Normal 2 15 6 4" xfId="22281"/>
    <cellStyle name="Normal 2 15 6 4 2" xfId="22282"/>
    <cellStyle name="Normal 2 15 6 4 2 2" xfId="22283"/>
    <cellStyle name="Normal 2 15 6 4 2 3" xfId="22284"/>
    <cellStyle name="Normal 2 15 6 4 3" xfId="22285"/>
    <cellStyle name="Normal 2 15 6 4 4" xfId="22286"/>
    <cellStyle name="Normal 2 15 6 4 5" xfId="22287"/>
    <cellStyle name="Normal 2 15 6 4 6" xfId="22288"/>
    <cellStyle name="Normal 2 15 6 5" xfId="22289"/>
    <cellStyle name="Normal 2 15 6 5 2" xfId="22290"/>
    <cellStyle name="Normal 2 15 6 5 2 2" xfId="22291"/>
    <cellStyle name="Normal 2 15 6 5 3" xfId="22292"/>
    <cellStyle name="Normal 2 15 6 5 4" xfId="22293"/>
    <cellStyle name="Normal 2 15 6 5 5" xfId="22294"/>
    <cellStyle name="Normal 2 15 6 6" xfId="22295"/>
    <cellStyle name="Normal 2 15 6 6 2" xfId="22296"/>
    <cellStyle name="Normal 2 15 6 6 3" xfId="22297"/>
    <cellStyle name="Normal 2 15 6 6 4" xfId="22298"/>
    <cellStyle name="Normal 2 15 6 7" xfId="22299"/>
    <cellStyle name="Normal 2 15 6 7 2" xfId="22300"/>
    <cellStyle name="Normal 2 15 6 8" xfId="22301"/>
    <cellStyle name="Normal 2 15 6 9" xfId="22302"/>
    <cellStyle name="Normal 2 15 7" xfId="22303"/>
    <cellStyle name="Normal 2 15 7 10" xfId="22304"/>
    <cellStyle name="Normal 2 15 7 11" xfId="22305"/>
    <cellStyle name="Normal 2 15 7 2" xfId="22306"/>
    <cellStyle name="Normal 2 15 7 2 2" xfId="22307"/>
    <cellStyle name="Normal 2 15 7 2 2 2" xfId="22308"/>
    <cellStyle name="Normal 2 15 7 2 2 2 2" xfId="22309"/>
    <cellStyle name="Normal 2 15 7 2 2 2 3" xfId="22310"/>
    <cellStyle name="Normal 2 15 7 2 2 3" xfId="22311"/>
    <cellStyle name="Normal 2 15 7 2 2 4" xfId="22312"/>
    <cellStyle name="Normal 2 15 7 2 2 5" xfId="22313"/>
    <cellStyle name="Normal 2 15 7 2 2 6" xfId="22314"/>
    <cellStyle name="Normal 2 15 7 2 3" xfId="22315"/>
    <cellStyle name="Normal 2 15 7 2 3 2" xfId="22316"/>
    <cellStyle name="Normal 2 15 7 2 3 2 2" xfId="22317"/>
    <cellStyle name="Normal 2 15 7 2 3 3" xfId="22318"/>
    <cellStyle name="Normal 2 15 7 2 3 4" xfId="22319"/>
    <cellStyle name="Normal 2 15 7 2 3 5" xfId="22320"/>
    <cellStyle name="Normal 2 15 7 2 4" xfId="22321"/>
    <cellStyle name="Normal 2 15 7 2 4 2" xfId="22322"/>
    <cellStyle name="Normal 2 15 7 2 4 3" xfId="22323"/>
    <cellStyle name="Normal 2 15 7 2 4 4" xfId="22324"/>
    <cellStyle name="Normal 2 15 7 2 5" xfId="22325"/>
    <cellStyle name="Normal 2 15 7 2 5 2" xfId="22326"/>
    <cellStyle name="Normal 2 15 7 2 6" xfId="22327"/>
    <cellStyle name="Normal 2 15 7 2 7" xfId="22328"/>
    <cellStyle name="Normal 2 15 7 2 8" xfId="22329"/>
    <cellStyle name="Normal 2 15 7 2 9" xfId="22330"/>
    <cellStyle name="Normal 2 15 7 3" xfId="22331"/>
    <cellStyle name="Normal 2 15 7 3 2" xfId="22332"/>
    <cellStyle name="Normal 2 15 7 3 2 2" xfId="22333"/>
    <cellStyle name="Normal 2 15 7 3 2 2 2" xfId="22334"/>
    <cellStyle name="Normal 2 15 7 3 2 2 3" xfId="22335"/>
    <cellStyle name="Normal 2 15 7 3 2 3" xfId="22336"/>
    <cellStyle name="Normal 2 15 7 3 2 4" xfId="22337"/>
    <cellStyle name="Normal 2 15 7 3 2 5" xfId="22338"/>
    <cellStyle name="Normal 2 15 7 3 2 6" xfId="22339"/>
    <cellStyle name="Normal 2 15 7 3 3" xfId="22340"/>
    <cellStyle name="Normal 2 15 7 3 3 2" xfId="22341"/>
    <cellStyle name="Normal 2 15 7 3 3 2 2" xfId="22342"/>
    <cellStyle name="Normal 2 15 7 3 3 3" xfId="22343"/>
    <cellStyle name="Normal 2 15 7 3 3 4" xfId="22344"/>
    <cellStyle name="Normal 2 15 7 3 3 5" xfId="22345"/>
    <cellStyle name="Normal 2 15 7 3 4" xfId="22346"/>
    <cellStyle name="Normal 2 15 7 3 4 2" xfId="22347"/>
    <cellStyle name="Normal 2 15 7 3 4 3" xfId="22348"/>
    <cellStyle name="Normal 2 15 7 3 4 4" xfId="22349"/>
    <cellStyle name="Normal 2 15 7 3 5" xfId="22350"/>
    <cellStyle name="Normal 2 15 7 3 5 2" xfId="22351"/>
    <cellStyle name="Normal 2 15 7 3 6" xfId="22352"/>
    <cellStyle name="Normal 2 15 7 3 7" xfId="22353"/>
    <cellStyle name="Normal 2 15 7 3 8" xfId="22354"/>
    <cellStyle name="Normal 2 15 7 3 9" xfId="22355"/>
    <cellStyle name="Normal 2 15 7 4" xfId="22356"/>
    <cellStyle name="Normal 2 15 7 4 2" xfId="22357"/>
    <cellStyle name="Normal 2 15 7 4 2 2" xfId="22358"/>
    <cellStyle name="Normal 2 15 7 4 2 3" xfId="22359"/>
    <cellStyle name="Normal 2 15 7 4 3" xfId="22360"/>
    <cellStyle name="Normal 2 15 7 4 4" xfId="22361"/>
    <cellStyle name="Normal 2 15 7 4 5" xfId="22362"/>
    <cellStyle name="Normal 2 15 7 4 6" xfId="22363"/>
    <cellStyle name="Normal 2 15 7 5" xfId="22364"/>
    <cellStyle name="Normal 2 15 7 5 2" xfId="22365"/>
    <cellStyle name="Normal 2 15 7 5 2 2" xfId="22366"/>
    <cellStyle name="Normal 2 15 7 5 3" xfId="22367"/>
    <cellStyle name="Normal 2 15 7 5 4" xfId="22368"/>
    <cellStyle name="Normal 2 15 7 5 5" xfId="22369"/>
    <cellStyle name="Normal 2 15 7 6" xfId="22370"/>
    <cellStyle name="Normal 2 15 7 6 2" xfId="22371"/>
    <cellStyle name="Normal 2 15 7 6 3" xfId="22372"/>
    <cellStyle name="Normal 2 15 7 6 4" xfId="22373"/>
    <cellStyle name="Normal 2 15 7 7" xfId="22374"/>
    <cellStyle name="Normal 2 15 7 7 2" xfId="22375"/>
    <cellStyle name="Normal 2 15 7 8" xfId="22376"/>
    <cellStyle name="Normal 2 15 7 9" xfId="22377"/>
    <cellStyle name="Normal 2 15 8" xfId="22378"/>
    <cellStyle name="Normal 2 15 8 10" xfId="22379"/>
    <cellStyle name="Normal 2 15 8 2" xfId="22380"/>
    <cellStyle name="Normal 2 15 8 2 2" xfId="22381"/>
    <cellStyle name="Normal 2 15 8 2 2 2" xfId="22382"/>
    <cellStyle name="Normal 2 15 8 2 2 3" xfId="22383"/>
    <cellStyle name="Normal 2 15 8 2 3" xfId="22384"/>
    <cellStyle name="Normal 2 15 8 2 4" xfId="22385"/>
    <cellStyle name="Normal 2 15 8 2 5" xfId="22386"/>
    <cellStyle name="Normal 2 15 8 2 6" xfId="22387"/>
    <cellStyle name="Normal 2 15 8 3" xfId="22388"/>
    <cellStyle name="Normal 2 15 8 3 2" xfId="22389"/>
    <cellStyle name="Normal 2 15 8 3 2 2" xfId="22390"/>
    <cellStyle name="Normal 2 15 8 3 2 3" xfId="22391"/>
    <cellStyle name="Normal 2 15 8 3 3" xfId="22392"/>
    <cellStyle name="Normal 2 15 8 3 4" xfId="22393"/>
    <cellStyle name="Normal 2 15 8 3 5" xfId="22394"/>
    <cellStyle name="Normal 2 15 8 3 6" xfId="22395"/>
    <cellStyle name="Normal 2 15 8 4" xfId="22396"/>
    <cellStyle name="Normal 2 15 8 4 2" xfId="22397"/>
    <cellStyle name="Normal 2 15 8 4 2 2" xfId="22398"/>
    <cellStyle name="Normal 2 15 8 4 3" xfId="22399"/>
    <cellStyle name="Normal 2 15 8 4 4" xfId="22400"/>
    <cellStyle name="Normal 2 15 8 4 5" xfId="22401"/>
    <cellStyle name="Normal 2 15 8 5" xfId="22402"/>
    <cellStyle name="Normal 2 15 8 5 2" xfId="22403"/>
    <cellStyle name="Normal 2 15 8 5 3" xfId="22404"/>
    <cellStyle name="Normal 2 15 8 5 4" xfId="22405"/>
    <cellStyle name="Normal 2 15 8 6" xfId="22406"/>
    <cellStyle name="Normal 2 15 8 6 2" xfId="22407"/>
    <cellStyle name="Normal 2 15 8 7" xfId="22408"/>
    <cellStyle name="Normal 2 15 8 8" xfId="22409"/>
    <cellStyle name="Normal 2 15 8 9" xfId="22410"/>
    <cellStyle name="Normal 2 15 9" xfId="22411"/>
    <cellStyle name="Normal 2 15 9 10" xfId="22412"/>
    <cellStyle name="Normal 2 15 9 2" xfId="22413"/>
    <cellStyle name="Normal 2 15 9 2 2" xfId="22414"/>
    <cellStyle name="Normal 2 15 9 2 2 2" xfId="22415"/>
    <cellStyle name="Normal 2 15 9 2 2 3" xfId="22416"/>
    <cellStyle name="Normal 2 15 9 2 3" xfId="22417"/>
    <cellStyle name="Normal 2 15 9 2 4" xfId="22418"/>
    <cellStyle name="Normal 2 15 9 2 5" xfId="22419"/>
    <cellStyle name="Normal 2 15 9 2 6" xfId="22420"/>
    <cellStyle name="Normal 2 15 9 3" xfId="22421"/>
    <cellStyle name="Normal 2 15 9 3 2" xfId="22422"/>
    <cellStyle name="Normal 2 15 9 3 2 2" xfId="22423"/>
    <cellStyle name="Normal 2 15 9 3 2 3" xfId="22424"/>
    <cellStyle name="Normal 2 15 9 3 3" xfId="22425"/>
    <cellStyle name="Normal 2 15 9 3 4" xfId="22426"/>
    <cellStyle name="Normal 2 15 9 3 5" xfId="22427"/>
    <cellStyle name="Normal 2 15 9 3 6" xfId="22428"/>
    <cellStyle name="Normal 2 15 9 4" xfId="22429"/>
    <cellStyle name="Normal 2 15 9 4 2" xfId="22430"/>
    <cellStyle name="Normal 2 15 9 4 2 2" xfId="22431"/>
    <cellStyle name="Normal 2 15 9 4 3" xfId="22432"/>
    <cellStyle name="Normal 2 15 9 4 4" xfId="22433"/>
    <cellStyle name="Normal 2 15 9 4 5" xfId="22434"/>
    <cellStyle name="Normal 2 15 9 5" xfId="22435"/>
    <cellStyle name="Normal 2 15 9 5 2" xfId="22436"/>
    <cellStyle name="Normal 2 15 9 5 3" xfId="22437"/>
    <cellStyle name="Normal 2 15 9 5 4" xfId="22438"/>
    <cellStyle name="Normal 2 15 9 6" xfId="22439"/>
    <cellStyle name="Normal 2 15 9 6 2" xfId="22440"/>
    <cellStyle name="Normal 2 15 9 7" xfId="22441"/>
    <cellStyle name="Normal 2 15 9 8" xfId="22442"/>
    <cellStyle name="Normal 2 15 9 9" xfId="22443"/>
    <cellStyle name="Normal 2 16" xfId="22444"/>
    <cellStyle name="Normal 2 16 10" xfId="22445"/>
    <cellStyle name="Normal 2 16 11" xfId="22446"/>
    <cellStyle name="Normal 2 16 2" xfId="22447"/>
    <cellStyle name="Normal 2 16 2 2" xfId="22448"/>
    <cellStyle name="Normal 2 16 3" xfId="22449"/>
    <cellStyle name="Normal 2 16 3 2" xfId="22450"/>
    <cellStyle name="Normal 2 16 3 2 2" xfId="22451"/>
    <cellStyle name="Normal 2 16 3 2 2 2" xfId="22452"/>
    <cellStyle name="Normal 2 16 3 2 2 3" xfId="22453"/>
    <cellStyle name="Normal 2 16 3 2 3" xfId="22454"/>
    <cellStyle name="Normal 2 16 3 2 4" xfId="22455"/>
    <cellStyle name="Normal 2 16 3 2 5" xfId="22456"/>
    <cellStyle name="Normal 2 16 3 2 6" xfId="22457"/>
    <cellStyle name="Normal 2 16 3 3" xfId="22458"/>
    <cellStyle name="Normal 2 16 3 3 2" xfId="22459"/>
    <cellStyle name="Normal 2 16 3 3 2 2" xfId="22460"/>
    <cellStyle name="Normal 2 16 3 3 3" xfId="22461"/>
    <cellStyle name="Normal 2 16 3 3 4" xfId="22462"/>
    <cellStyle name="Normal 2 16 3 3 5" xfId="22463"/>
    <cellStyle name="Normal 2 16 3 4" xfId="22464"/>
    <cellStyle name="Normal 2 16 3 4 2" xfId="22465"/>
    <cellStyle name="Normal 2 16 3 4 3" xfId="22466"/>
    <cellStyle name="Normal 2 16 3 4 4" xfId="22467"/>
    <cellStyle name="Normal 2 16 3 5" xfId="22468"/>
    <cellStyle name="Normal 2 16 3 5 2" xfId="22469"/>
    <cellStyle name="Normal 2 16 3 6" xfId="22470"/>
    <cellStyle name="Normal 2 16 3 7" xfId="22471"/>
    <cellStyle name="Normal 2 16 3 8" xfId="22472"/>
    <cellStyle name="Normal 2 16 3 9" xfId="22473"/>
    <cellStyle name="Normal 2 16 4" xfId="22474"/>
    <cellStyle name="Normal 2 16 4 2" xfId="22475"/>
    <cellStyle name="Normal 2 16 4 2 2" xfId="22476"/>
    <cellStyle name="Normal 2 16 4 2 2 2" xfId="22477"/>
    <cellStyle name="Normal 2 16 4 2 2 3" xfId="22478"/>
    <cellStyle name="Normal 2 16 4 2 3" xfId="22479"/>
    <cellStyle name="Normal 2 16 4 2 4" xfId="22480"/>
    <cellStyle name="Normal 2 16 4 2 5" xfId="22481"/>
    <cellStyle name="Normal 2 16 4 2 6" xfId="22482"/>
    <cellStyle name="Normal 2 16 4 3" xfId="22483"/>
    <cellStyle name="Normal 2 16 4 3 2" xfId="22484"/>
    <cellStyle name="Normal 2 16 4 3 2 2" xfId="22485"/>
    <cellStyle name="Normal 2 16 4 3 3" xfId="22486"/>
    <cellStyle name="Normal 2 16 4 3 4" xfId="22487"/>
    <cellStyle name="Normal 2 16 4 3 5" xfId="22488"/>
    <cellStyle name="Normal 2 16 4 4" xfId="22489"/>
    <cellStyle name="Normal 2 16 4 4 2" xfId="22490"/>
    <cellStyle name="Normal 2 16 4 4 3" xfId="22491"/>
    <cellStyle name="Normal 2 16 4 4 4" xfId="22492"/>
    <cellStyle name="Normal 2 16 4 5" xfId="22493"/>
    <cellStyle name="Normal 2 16 4 5 2" xfId="22494"/>
    <cellStyle name="Normal 2 16 4 6" xfId="22495"/>
    <cellStyle name="Normal 2 16 4 7" xfId="22496"/>
    <cellStyle name="Normal 2 16 4 8" xfId="22497"/>
    <cellStyle name="Normal 2 16 4 9" xfId="22498"/>
    <cellStyle name="Normal 2 16 5" xfId="22499"/>
    <cellStyle name="Normal 2 16 5 2" xfId="22500"/>
    <cellStyle name="Normal 2 16 5 2 2" xfId="22501"/>
    <cellStyle name="Normal 2 16 5 2 3" xfId="22502"/>
    <cellStyle name="Normal 2 16 5 3" xfId="22503"/>
    <cellStyle name="Normal 2 16 5 4" xfId="22504"/>
    <cellStyle name="Normal 2 16 5 5" xfId="22505"/>
    <cellStyle name="Normal 2 16 5 6" xfId="22506"/>
    <cellStyle name="Normal 2 16 6" xfId="22507"/>
    <cellStyle name="Normal 2 16 6 2" xfId="22508"/>
    <cellStyle name="Normal 2 16 6 2 2" xfId="22509"/>
    <cellStyle name="Normal 2 16 6 3" xfId="22510"/>
    <cellStyle name="Normal 2 16 6 4" xfId="22511"/>
    <cellStyle name="Normal 2 16 6 5" xfId="22512"/>
    <cellStyle name="Normal 2 16 6 6" xfId="22513"/>
    <cellStyle name="Normal 2 16 7" xfId="22514"/>
    <cellStyle name="Normal 2 16 7 2" xfId="22515"/>
    <cellStyle name="Normal 2 16 7 3" xfId="22516"/>
    <cellStyle name="Normal 2 16 7 4" xfId="22517"/>
    <cellStyle name="Normal 2 16 7 5" xfId="22518"/>
    <cellStyle name="Normal 2 16 8" xfId="22519"/>
    <cellStyle name="Normal 2 16 8 2" xfId="22520"/>
    <cellStyle name="Normal 2 16 9" xfId="22521"/>
    <cellStyle name="Normal 2 17" xfId="22522"/>
    <cellStyle name="Normal 2 17 10" xfId="22523"/>
    <cellStyle name="Normal 2 17 11" xfId="22524"/>
    <cellStyle name="Normal 2 17 2" xfId="22525"/>
    <cellStyle name="Normal 2 17 2 2" xfId="22526"/>
    <cellStyle name="Normal 2 17 3" xfId="22527"/>
    <cellStyle name="Normal 2 17 3 2" xfId="22528"/>
    <cellStyle name="Normal 2 17 3 2 2" xfId="22529"/>
    <cellStyle name="Normal 2 17 3 2 2 2" xfId="22530"/>
    <cellStyle name="Normal 2 17 3 2 2 3" xfId="22531"/>
    <cellStyle name="Normal 2 17 3 2 3" xfId="22532"/>
    <cellStyle name="Normal 2 17 3 2 4" xfId="22533"/>
    <cellStyle name="Normal 2 17 3 2 5" xfId="22534"/>
    <cellStyle name="Normal 2 17 3 2 6" xfId="22535"/>
    <cellStyle name="Normal 2 17 3 3" xfId="22536"/>
    <cellStyle name="Normal 2 17 3 3 2" xfId="22537"/>
    <cellStyle name="Normal 2 17 3 3 2 2" xfId="22538"/>
    <cellStyle name="Normal 2 17 3 3 3" xfId="22539"/>
    <cellStyle name="Normal 2 17 3 3 4" xfId="22540"/>
    <cellStyle name="Normal 2 17 3 3 5" xfId="22541"/>
    <cellStyle name="Normal 2 17 3 4" xfId="22542"/>
    <cellStyle name="Normal 2 17 3 4 2" xfId="22543"/>
    <cellStyle name="Normal 2 17 3 4 3" xfId="22544"/>
    <cellStyle name="Normal 2 17 3 4 4" xfId="22545"/>
    <cellStyle name="Normal 2 17 3 5" xfId="22546"/>
    <cellStyle name="Normal 2 17 3 5 2" xfId="22547"/>
    <cellStyle name="Normal 2 17 3 6" xfId="22548"/>
    <cellStyle name="Normal 2 17 3 7" xfId="22549"/>
    <cellStyle name="Normal 2 17 3 8" xfId="22550"/>
    <cellStyle name="Normal 2 17 3 9" xfId="22551"/>
    <cellStyle name="Normal 2 17 4" xfId="22552"/>
    <cellStyle name="Normal 2 17 4 2" xfId="22553"/>
    <cellStyle name="Normal 2 17 4 2 2" xfId="22554"/>
    <cellStyle name="Normal 2 17 4 2 2 2" xfId="22555"/>
    <cellStyle name="Normal 2 17 4 2 2 3" xfId="22556"/>
    <cellStyle name="Normal 2 17 4 2 3" xfId="22557"/>
    <cellStyle name="Normal 2 17 4 2 4" xfId="22558"/>
    <cellStyle name="Normal 2 17 4 2 5" xfId="22559"/>
    <cellStyle name="Normal 2 17 4 2 6" xfId="22560"/>
    <cellStyle name="Normal 2 17 4 3" xfId="22561"/>
    <cellStyle name="Normal 2 17 4 3 2" xfId="22562"/>
    <cellStyle name="Normal 2 17 4 3 2 2" xfId="22563"/>
    <cellStyle name="Normal 2 17 4 3 3" xfId="22564"/>
    <cellStyle name="Normal 2 17 4 3 4" xfId="22565"/>
    <cellStyle name="Normal 2 17 4 3 5" xfId="22566"/>
    <cellStyle name="Normal 2 17 4 4" xfId="22567"/>
    <cellStyle name="Normal 2 17 4 4 2" xfId="22568"/>
    <cellStyle name="Normal 2 17 4 4 3" xfId="22569"/>
    <cellStyle name="Normal 2 17 4 4 4" xfId="22570"/>
    <cellStyle name="Normal 2 17 4 5" xfId="22571"/>
    <cellStyle name="Normal 2 17 4 5 2" xfId="22572"/>
    <cellStyle name="Normal 2 17 4 6" xfId="22573"/>
    <cellStyle name="Normal 2 17 4 7" xfId="22574"/>
    <cellStyle name="Normal 2 17 4 8" xfId="22575"/>
    <cellStyle name="Normal 2 17 4 9" xfId="22576"/>
    <cellStyle name="Normal 2 17 5" xfId="22577"/>
    <cellStyle name="Normal 2 17 5 2" xfId="22578"/>
    <cellStyle name="Normal 2 17 5 2 2" xfId="22579"/>
    <cellStyle name="Normal 2 17 5 2 3" xfId="22580"/>
    <cellStyle name="Normal 2 17 5 3" xfId="22581"/>
    <cellStyle name="Normal 2 17 5 4" xfId="22582"/>
    <cellStyle name="Normal 2 17 5 5" xfId="22583"/>
    <cellStyle name="Normal 2 17 5 6" xfId="22584"/>
    <cellStyle name="Normal 2 17 6" xfId="22585"/>
    <cellStyle name="Normal 2 17 6 2" xfId="22586"/>
    <cellStyle name="Normal 2 17 6 2 2" xfId="22587"/>
    <cellStyle name="Normal 2 17 6 3" xfId="22588"/>
    <cellStyle name="Normal 2 17 6 4" xfId="22589"/>
    <cellStyle name="Normal 2 17 6 5" xfId="22590"/>
    <cellStyle name="Normal 2 17 6 6" xfId="22591"/>
    <cellStyle name="Normal 2 17 7" xfId="22592"/>
    <cellStyle name="Normal 2 17 7 2" xfId="22593"/>
    <cellStyle name="Normal 2 17 7 3" xfId="22594"/>
    <cellStyle name="Normal 2 17 7 4" xfId="22595"/>
    <cellStyle name="Normal 2 17 7 5" xfId="22596"/>
    <cellStyle name="Normal 2 17 8" xfId="22597"/>
    <cellStyle name="Normal 2 17 8 2" xfId="22598"/>
    <cellStyle name="Normal 2 17 9" xfId="22599"/>
    <cellStyle name="Normal 2 18" xfId="22600"/>
    <cellStyle name="Normal 2 18 10" xfId="22601"/>
    <cellStyle name="Normal 2 18 11" xfId="22602"/>
    <cellStyle name="Normal 2 18 2" xfId="22603"/>
    <cellStyle name="Normal 2 18 2 2" xfId="22604"/>
    <cellStyle name="Normal 2 18 3" xfId="22605"/>
    <cellStyle name="Normal 2 18 3 2" xfId="22606"/>
    <cellStyle name="Normal 2 18 3 2 2" xfId="22607"/>
    <cellStyle name="Normal 2 18 3 2 2 2" xfId="22608"/>
    <cellStyle name="Normal 2 18 3 2 2 3" xfId="22609"/>
    <cellStyle name="Normal 2 18 3 2 3" xfId="22610"/>
    <cellStyle name="Normal 2 18 3 2 4" xfId="22611"/>
    <cellStyle name="Normal 2 18 3 2 5" xfId="22612"/>
    <cellStyle name="Normal 2 18 3 2 6" xfId="22613"/>
    <cellStyle name="Normal 2 18 3 3" xfId="22614"/>
    <cellStyle name="Normal 2 18 3 3 2" xfId="22615"/>
    <cellStyle name="Normal 2 18 3 3 2 2" xfId="22616"/>
    <cellStyle name="Normal 2 18 3 3 3" xfId="22617"/>
    <cellStyle name="Normal 2 18 3 3 4" xfId="22618"/>
    <cellStyle name="Normal 2 18 3 3 5" xfId="22619"/>
    <cellStyle name="Normal 2 18 3 4" xfId="22620"/>
    <cellStyle name="Normal 2 18 3 4 2" xfId="22621"/>
    <cellStyle name="Normal 2 18 3 4 3" xfId="22622"/>
    <cellStyle name="Normal 2 18 3 4 4" xfId="22623"/>
    <cellStyle name="Normal 2 18 3 5" xfId="22624"/>
    <cellStyle name="Normal 2 18 3 5 2" xfId="22625"/>
    <cellStyle name="Normal 2 18 3 6" xfId="22626"/>
    <cellStyle name="Normal 2 18 3 7" xfId="22627"/>
    <cellStyle name="Normal 2 18 3 8" xfId="22628"/>
    <cellStyle name="Normal 2 18 3 9" xfId="22629"/>
    <cellStyle name="Normal 2 18 4" xfId="22630"/>
    <cellStyle name="Normal 2 18 4 2" xfId="22631"/>
    <cellStyle name="Normal 2 18 4 2 2" xfId="22632"/>
    <cellStyle name="Normal 2 18 4 2 2 2" xfId="22633"/>
    <cellStyle name="Normal 2 18 4 2 2 3" xfId="22634"/>
    <cellStyle name="Normal 2 18 4 2 3" xfId="22635"/>
    <cellStyle name="Normal 2 18 4 2 4" xfId="22636"/>
    <cellStyle name="Normal 2 18 4 2 5" xfId="22637"/>
    <cellStyle name="Normal 2 18 4 2 6" xfId="22638"/>
    <cellStyle name="Normal 2 18 4 3" xfId="22639"/>
    <cellStyle name="Normal 2 18 4 3 2" xfId="22640"/>
    <cellStyle name="Normal 2 18 4 3 2 2" xfId="22641"/>
    <cellStyle name="Normal 2 18 4 3 3" xfId="22642"/>
    <cellStyle name="Normal 2 18 4 3 4" xfId="22643"/>
    <cellStyle name="Normal 2 18 4 3 5" xfId="22644"/>
    <cellStyle name="Normal 2 18 4 4" xfId="22645"/>
    <cellStyle name="Normal 2 18 4 4 2" xfId="22646"/>
    <cellStyle name="Normal 2 18 4 4 3" xfId="22647"/>
    <cellStyle name="Normal 2 18 4 4 4" xfId="22648"/>
    <cellStyle name="Normal 2 18 4 5" xfId="22649"/>
    <cellStyle name="Normal 2 18 4 5 2" xfId="22650"/>
    <cellStyle name="Normal 2 18 4 6" xfId="22651"/>
    <cellStyle name="Normal 2 18 4 7" xfId="22652"/>
    <cellStyle name="Normal 2 18 4 8" xfId="22653"/>
    <cellStyle name="Normal 2 18 4 9" xfId="22654"/>
    <cellStyle name="Normal 2 18 5" xfId="22655"/>
    <cellStyle name="Normal 2 18 5 2" xfId="22656"/>
    <cellStyle name="Normal 2 18 5 2 2" xfId="22657"/>
    <cellStyle name="Normal 2 18 5 2 3" xfId="22658"/>
    <cellStyle name="Normal 2 18 5 3" xfId="22659"/>
    <cellStyle name="Normal 2 18 5 4" xfId="22660"/>
    <cellStyle name="Normal 2 18 5 5" xfId="22661"/>
    <cellStyle name="Normal 2 18 5 6" xfId="22662"/>
    <cellStyle name="Normal 2 18 6" xfId="22663"/>
    <cellStyle name="Normal 2 18 6 2" xfId="22664"/>
    <cellStyle name="Normal 2 18 6 2 2" xfId="22665"/>
    <cellStyle name="Normal 2 18 6 3" xfId="22666"/>
    <cellStyle name="Normal 2 18 6 4" xfId="22667"/>
    <cellStyle name="Normal 2 18 6 5" xfId="22668"/>
    <cellStyle name="Normal 2 18 6 6" xfId="22669"/>
    <cellStyle name="Normal 2 18 7" xfId="22670"/>
    <cellStyle name="Normal 2 18 7 2" xfId="22671"/>
    <cellStyle name="Normal 2 18 7 3" xfId="22672"/>
    <cellStyle name="Normal 2 18 7 4" xfId="22673"/>
    <cellStyle name="Normal 2 18 7 5" xfId="22674"/>
    <cellStyle name="Normal 2 18 8" xfId="22675"/>
    <cellStyle name="Normal 2 18 8 2" xfId="22676"/>
    <cellStyle name="Normal 2 18 9" xfId="22677"/>
    <cellStyle name="Normal 2 19" xfId="22678"/>
    <cellStyle name="Normal 2 19 10" xfId="22679"/>
    <cellStyle name="Normal 2 19 11" xfId="22680"/>
    <cellStyle name="Normal 2 19 2" xfId="22681"/>
    <cellStyle name="Normal 2 19 2 2" xfId="22682"/>
    <cellStyle name="Normal 2 19 3" xfId="22683"/>
    <cellStyle name="Normal 2 19 3 2" xfId="22684"/>
    <cellStyle name="Normal 2 19 3 2 2" xfId="22685"/>
    <cellStyle name="Normal 2 19 3 2 2 2" xfId="22686"/>
    <cellStyle name="Normal 2 19 3 2 2 3" xfId="22687"/>
    <cellStyle name="Normal 2 19 3 2 3" xfId="22688"/>
    <cellStyle name="Normal 2 19 3 2 4" xfId="22689"/>
    <cellStyle name="Normal 2 19 3 2 5" xfId="22690"/>
    <cellStyle name="Normal 2 19 3 2 6" xfId="22691"/>
    <cellStyle name="Normal 2 19 3 3" xfId="22692"/>
    <cellStyle name="Normal 2 19 3 3 2" xfId="22693"/>
    <cellStyle name="Normal 2 19 3 3 2 2" xfId="22694"/>
    <cellStyle name="Normal 2 19 3 3 3" xfId="22695"/>
    <cellStyle name="Normal 2 19 3 3 4" xfId="22696"/>
    <cellStyle name="Normal 2 19 3 3 5" xfId="22697"/>
    <cellStyle name="Normal 2 19 3 4" xfId="22698"/>
    <cellStyle name="Normal 2 19 3 4 2" xfId="22699"/>
    <cellStyle name="Normal 2 19 3 4 3" xfId="22700"/>
    <cellStyle name="Normal 2 19 3 4 4" xfId="22701"/>
    <cellStyle name="Normal 2 19 3 5" xfId="22702"/>
    <cellStyle name="Normal 2 19 3 5 2" xfId="22703"/>
    <cellStyle name="Normal 2 19 3 6" xfId="22704"/>
    <cellStyle name="Normal 2 19 3 7" xfId="22705"/>
    <cellStyle name="Normal 2 19 3 8" xfId="22706"/>
    <cellStyle name="Normal 2 19 3 9" xfId="22707"/>
    <cellStyle name="Normal 2 19 4" xfId="22708"/>
    <cellStyle name="Normal 2 19 4 2" xfId="22709"/>
    <cellStyle name="Normal 2 19 4 2 2" xfId="22710"/>
    <cellStyle name="Normal 2 19 4 2 2 2" xfId="22711"/>
    <cellStyle name="Normal 2 19 4 2 2 3" xfId="22712"/>
    <cellStyle name="Normal 2 19 4 2 3" xfId="22713"/>
    <cellStyle name="Normal 2 19 4 2 4" xfId="22714"/>
    <cellStyle name="Normal 2 19 4 2 5" xfId="22715"/>
    <cellStyle name="Normal 2 19 4 2 6" xfId="22716"/>
    <cellStyle name="Normal 2 19 4 3" xfId="22717"/>
    <cellStyle name="Normal 2 19 4 3 2" xfId="22718"/>
    <cellStyle name="Normal 2 19 4 3 2 2" xfId="22719"/>
    <cellStyle name="Normal 2 19 4 3 3" xfId="22720"/>
    <cellStyle name="Normal 2 19 4 3 4" xfId="22721"/>
    <cellStyle name="Normal 2 19 4 3 5" xfId="22722"/>
    <cellStyle name="Normal 2 19 4 4" xfId="22723"/>
    <cellStyle name="Normal 2 19 4 4 2" xfId="22724"/>
    <cellStyle name="Normal 2 19 4 4 3" xfId="22725"/>
    <cellStyle name="Normal 2 19 4 4 4" xfId="22726"/>
    <cellStyle name="Normal 2 19 4 5" xfId="22727"/>
    <cellStyle name="Normal 2 19 4 5 2" xfId="22728"/>
    <cellStyle name="Normal 2 19 4 6" xfId="22729"/>
    <cellStyle name="Normal 2 19 4 7" xfId="22730"/>
    <cellStyle name="Normal 2 19 4 8" xfId="22731"/>
    <cellStyle name="Normal 2 19 4 9" xfId="22732"/>
    <cellStyle name="Normal 2 19 5" xfId="22733"/>
    <cellStyle name="Normal 2 19 5 2" xfId="22734"/>
    <cellStyle name="Normal 2 19 5 2 2" xfId="22735"/>
    <cellStyle name="Normal 2 19 5 2 3" xfId="22736"/>
    <cellStyle name="Normal 2 19 5 3" xfId="22737"/>
    <cellStyle name="Normal 2 19 5 4" xfId="22738"/>
    <cellStyle name="Normal 2 19 5 5" xfId="22739"/>
    <cellStyle name="Normal 2 19 5 6" xfId="22740"/>
    <cellStyle name="Normal 2 19 6" xfId="22741"/>
    <cellStyle name="Normal 2 19 6 2" xfId="22742"/>
    <cellStyle name="Normal 2 19 6 2 2" xfId="22743"/>
    <cellStyle name="Normal 2 19 6 3" xfId="22744"/>
    <cellStyle name="Normal 2 19 6 4" xfId="22745"/>
    <cellStyle name="Normal 2 19 6 5" xfId="22746"/>
    <cellStyle name="Normal 2 19 6 6" xfId="22747"/>
    <cellStyle name="Normal 2 19 7" xfId="22748"/>
    <cellStyle name="Normal 2 19 7 2" xfId="22749"/>
    <cellStyle name="Normal 2 19 7 3" xfId="22750"/>
    <cellStyle name="Normal 2 19 7 4" xfId="22751"/>
    <cellStyle name="Normal 2 19 7 5" xfId="22752"/>
    <cellStyle name="Normal 2 19 8" xfId="22753"/>
    <cellStyle name="Normal 2 19 8 2" xfId="22754"/>
    <cellStyle name="Normal 2 19 9" xfId="22755"/>
    <cellStyle name="Normal 2 2" xfId="22756"/>
    <cellStyle name="Normal 2 2 10" xfId="22757"/>
    <cellStyle name="Normal 2 2 10 2" xfId="22758"/>
    <cellStyle name="Normal 2 2 10 3" xfId="22759"/>
    <cellStyle name="Normal 2 2 10 4" xfId="22760"/>
    <cellStyle name="Normal 2 2 11" xfId="22761"/>
    <cellStyle name="Normal 2 2 11 2" xfId="22762"/>
    <cellStyle name="Normal 2 2 11 3" xfId="22763"/>
    <cellStyle name="Normal 2 2 11 4" xfId="22764"/>
    <cellStyle name="Normal 2 2 12" xfId="22765"/>
    <cellStyle name="Normal 2 2 12 2" xfId="22766"/>
    <cellStyle name="Normal 2 2 12 3" xfId="22767"/>
    <cellStyle name="Normal 2 2 12 4" xfId="22768"/>
    <cellStyle name="Normal 2 2 13" xfId="22769"/>
    <cellStyle name="Normal 2 2 13 2" xfId="22770"/>
    <cellStyle name="Normal 2 2 13 3" xfId="22771"/>
    <cellStyle name="Normal 2 2 13 4" xfId="22772"/>
    <cellStyle name="Normal 2 2 14" xfId="22773"/>
    <cellStyle name="Normal 2 2 14 2" xfId="22774"/>
    <cellStyle name="Normal 2 2 14 3" xfId="22775"/>
    <cellStyle name="Normal 2 2 14 4" xfId="22776"/>
    <cellStyle name="Normal 2 2 15" xfId="22777"/>
    <cellStyle name="Normal 2 2 15 2" xfId="22778"/>
    <cellStyle name="Normal 2 2 15 3" xfId="22779"/>
    <cellStyle name="Normal 2 2 15 4" xfId="22780"/>
    <cellStyle name="Normal 2 2 16" xfId="22781"/>
    <cellStyle name="Normal 2 2 16 2" xfId="22782"/>
    <cellStyle name="Normal 2 2 16 3" xfId="22783"/>
    <cellStyle name="Normal 2 2 16 4" xfId="22784"/>
    <cellStyle name="Normal 2 2 17" xfId="22785"/>
    <cellStyle name="Normal 2 2 17 2" xfId="22786"/>
    <cellStyle name="Normal 2 2 17 2 2" xfId="22787"/>
    <cellStyle name="Normal 2 2 18" xfId="22788"/>
    <cellStyle name="Normal 2 2 19" xfId="22789"/>
    <cellStyle name="Normal 2 2 2" xfId="22790"/>
    <cellStyle name="Normal 2 2 2 10" xfId="22791"/>
    <cellStyle name="Normal 2 2 2 10 10" xfId="22792"/>
    <cellStyle name="Normal 2 2 2 10 2" xfId="22793"/>
    <cellStyle name="Normal 2 2 2 10 2 2" xfId="22794"/>
    <cellStyle name="Normal 2 2 2 10 2 2 2" xfId="22795"/>
    <cellStyle name="Normal 2 2 2 10 2 2 3" xfId="22796"/>
    <cellStyle name="Normal 2 2 2 10 2 3" xfId="22797"/>
    <cellStyle name="Normal 2 2 2 10 2 4" xfId="22798"/>
    <cellStyle name="Normal 2 2 2 10 2 5" xfId="22799"/>
    <cellStyle name="Normal 2 2 2 10 2 6" xfId="22800"/>
    <cellStyle name="Normal 2 2 2 10 3" xfId="22801"/>
    <cellStyle name="Normal 2 2 2 10 3 2" xfId="22802"/>
    <cellStyle name="Normal 2 2 2 10 3 2 2" xfId="22803"/>
    <cellStyle name="Normal 2 2 2 10 3 2 3" xfId="22804"/>
    <cellStyle name="Normal 2 2 2 10 3 3" xfId="22805"/>
    <cellStyle name="Normal 2 2 2 10 3 4" xfId="22806"/>
    <cellStyle name="Normal 2 2 2 10 3 5" xfId="22807"/>
    <cellStyle name="Normal 2 2 2 10 3 6" xfId="22808"/>
    <cellStyle name="Normal 2 2 2 10 4" xfId="22809"/>
    <cellStyle name="Normal 2 2 2 10 4 2" xfId="22810"/>
    <cellStyle name="Normal 2 2 2 10 4 2 2" xfId="22811"/>
    <cellStyle name="Normal 2 2 2 10 4 3" xfId="22812"/>
    <cellStyle name="Normal 2 2 2 10 4 4" xfId="22813"/>
    <cellStyle name="Normal 2 2 2 10 4 5" xfId="22814"/>
    <cellStyle name="Normal 2 2 2 10 5" xfId="22815"/>
    <cellStyle name="Normal 2 2 2 10 5 2" xfId="22816"/>
    <cellStyle name="Normal 2 2 2 10 5 3" xfId="22817"/>
    <cellStyle name="Normal 2 2 2 10 5 4" xfId="22818"/>
    <cellStyle name="Normal 2 2 2 10 6" xfId="22819"/>
    <cellStyle name="Normal 2 2 2 10 6 2" xfId="22820"/>
    <cellStyle name="Normal 2 2 2 10 7" xfId="22821"/>
    <cellStyle name="Normal 2 2 2 10 8" xfId="22822"/>
    <cellStyle name="Normal 2 2 2 10 9" xfId="22823"/>
    <cellStyle name="Normal 2 2 2 11" xfId="22824"/>
    <cellStyle name="Normal 2 2 2 11 10" xfId="22825"/>
    <cellStyle name="Normal 2 2 2 11 2" xfId="22826"/>
    <cellStyle name="Normal 2 2 2 11 2 2" xfId="22827"/>
    <cellStyle name="Normal 2 2 2 11 2 2 2" xfId="22828"/>
    <cellStyle name="Normal 2 2 2 11 2 2 3" xfId="22829"/>
    <cellStyle name="Normal 2 2 2 11 2 3" xfId="22830"/>
    <cellStyle name="Normal 2 2 2 11 2 4" xfId="22831"/>
    <cellStyle name="Normal 2 2 2 11 2 5" xfId="22832"/>
    <cellStyle name="Normal 2 2 2 11 2 6" xfId="22833"/>
    <cellStyle name="Normal 2 2 2 11 3" xfId="22834"/>
    <cellStyle name="Normal 2 2 2 11 3 2" xfId="22835"/>
    <cellStyle name="Normal 2 2 2 11 3 2 2" xfId="22836"/>
    <cellStyle name="Normal 2 2 2 11 3 2 3" xfId="22837"/>
    <cellStyle name="Normal 2 2 2 11 3 3" xfId="22838"/>
    <cellStyle name="Normal 2 2 2 11 3 4" xfId="22839"/>
    <cellStyle name="Normal 2 2 2 11 3 5" xfId="22840"/>
    <cellStyle name="Normal 2 2 2 11 3 6" xfId="22841"/>
    <cellStyle name="Normal 2 2 2 11 4" xfId="22842"/>
    <cellStyle name="Normal 2 2 2 11 4 2" xfId="22843"/>
    <cellStyle name="Normal 2 2 2 11 4 2 2" xfId="22844"/>
    <cellStyle name="Normal 2 2 2 11 4 3" xfId="22845"/>
    <cellStyle name="Normal 2 2 2 11 4 4" xfId="22846"/>
    <cellStyle name="Normal 2 2 2 11 4 5" xfId="22847"/>
    <cellStyle name="Normal 2 2 2 11 5" xfId="22848"/>
    <cellStyle name="Normal 2 2 2 11 5 2" xfId="22849"/>
    <cellStyle name="Normal 2 2 2 11 5 3" xfId="22850"/>
    <cellStyle name="Normal 2 2 2 11 5 4" xfId="22851"/>
    <cellStyle name="Normal 2 2 2 11 6" xfId="22852"/>
    <cellStyle name="Normal 2 2 2 11 6 2" xfId="22853"/>
    <cellStyle name="Normal 2 2 2 11 7" xfId="22854"/>
    <cellStyle name="Normal 2 2 2 11 8" xfId="22855"/>
    <cellStyle name="Normal 2 2 2 11 9" xfId="22856"/>
    <cellStyle name="Normal 2 2 2 12" xfId="22857"/>
    <cellStyle name="Normal 2 2 2 12 10" xfId="22858"/>
    <cellStyle name="Normal 2 2 2 12 2" xfId="22859"/>
    <cellStyle name="Normal 2 2 2 12 2 2" xfId="22860"/>
    <cellStyle name="Normal 2 2 2 12 2 2 2" xfId="22861"/>
    <cellStyle name="Normal 2 2 2 12 2 2 3" xfId="22862"/>
    <cellStyle name="Normal 2 2 2 12 2 3" xfId="22863"/>
    <cellStyle name="Normal 2 2 2 12 2 4" xfId="22864"/>
    <cellStyle name="Normal 2 2 2 12 2 5" xfId="22865"/>
    <cellStyle name="Normal 2 2 2 12 2 6" xfId="22866"/>
    <cellStyle name="Normal 2 2 2 12 3" xfId="22867"/>
    <cellStyle name="Normal 2 2 2 12 3 2" xfId="22868"/>
    <cellStyle name="Normal 2 2 2 12 3 2 2" xfId="22869"/>
    <cellStyle name="Normal 2 2 2 12 3 2 3" xfId="22870"/>
    <cellStyle name="Normal 2 2 2 12 3 3" xfId="22871"/>
    <cellStyle name="Normal 2 2 2 12 3 4" xfId="22872"/>
    <cellStyle name="Normal 2 2 2 12 3 5" xfId="22873"/>
    <cellStyle name="Normal 2 2 2 12 3 6" xfId="22874"/>
    <cellStyle name="Normal 2 2 2 12 4" xfId="22875"/>
    <cellStyle name="Normal 2 2 2 12 4 2" xfId="22876"/>
    <cellStyle name="Normal 2 2 2 12 4 2 2" xfId="22877"/>
    <cellStyle name="Normal 2 2 2 12 4 3" xfId="22878"/>
    <cellStyle name="Normal 2 2 2 12 4 4" xfId="22879"/>
    <cellStyle name="Normal 2 2 2 12 4 5" xfId="22880"/>
    <cellStyle name="Normal 2 2 2 12 5" xfId="22881"/>
    <cellStyle name="Normal 2 2 2 12 5 2" xfId="22882"/>
    <cellStyle name="Normal 2 2 2 12 5 3" xfId="22883"/>
    <cellStyle name="Normal 2 2 2 12 5 4" xfId="22884"/>
    <cellStyle name="Normal 2 2 2 12 6" xfId="22885"/>
    <cellStyle name="Normal 2 2 2 12 6 2" xfId="22886"/>
    <cellStyle name="Normal 2 2 2 12 7" xfId="22887"/>
    <cellStyle name="Normal 2 2 2 12 8" xfId="22888"/>
    <cellStyle name="Normal 2 2 2 12 9" xfId="22889"/>
    <cellStyle name="Normal 2 2 2 13" xfId="22890"/>
    <cellStyle name="Normal 2 2 2 13 10" xfId="22891"/>
    <cellStyle name="Normal 2 2 2 13 2" xfId="22892"/>
    <cellStyle name="Normal 2 2 2 13 2 2" xfId="22893"/>
    <cellStyle name="Normal 2 2 2 13 2 2 2" xfId="22894"/>
    <cellStyle name="Normal 2 2 2 13 2 2 3" xfId="22895"/>
    <cellStyle name="Normal 2 2 2 13 2 3" xfId="22896"/>
    <cellStyle name="Normal 2 2 2 13 2 4" xfId="22897"/>
    <cellStyle name="Normal 2 2 2 13 2 5" xfId="22898"/>
    <cellStyle name="Normal 2 2 2 13 2 6" xfId="22899"/>
    <cellStyle name="Normal 2 2 2 13 3" xfId="22900"/>
    <cellStyle name="Normal 2 2 2 13 3 2" xfId="22901"/>
    <cellStyle name="Normal 2 2 2 13 3 2 2" xfId="22902"/>
    <cellStyle name="Normal 2 2 2 13 3 2 3" xfId="22903"/>
    <cellStyle name="Normal 2 2 2 13 3 3" xfId="22904"/>
    <cellStyle name="Normal 2 2 2 13 3 4" xfId="22905"/>
    <cellStyle name="Normal 2 2 2 13 3 5" xfId="22906"/>
    <cellStyle name="Normal 2 2 2 13 3 6" xfId="22907"/>
    <cellStyle name="Normal 2 2 2 13 4" xfId="22908"/>
    <cellStyle name="Normal 2 2 2 13 4 2" xfId="22909"/>
    <cellStyle name="Normal 2 2 2 13 4 2 2" xfId="22910"/>
    <cellStyle name="Normal 2 2 2 13 4 3" xfId="22911"/>
    <cellStyle name="Normal 2 2 2 13 4 4" xfId="22912"/>
    <cellStyle name="Normal 2 2 2 13 4 5" xfId="22913"/>
    <cellStyle name="Normal 2 2 2 13 5" xfId="22914"/>
    <cellStyle name="Normal 2 2 2 13 5 2" xfId="22915"/>
    <cellStyle name="Normal 2 2 2 13 5 3" xfId="22916"/>
    <cellStyle name="Normal 2 2 2 13 5 4" xfId="22917"/>
    <cellStyle name="Normal 2 2 2 13 6" xfId="22918"/>
    <cellStyle name="Normal 2 2 2 13 6 2" xfId="22919"/>
    <cellStyle name="Normal 2 2 2 13 7" xfId="22920"/>
    <cellStyle name="Normal 2 2 2 13 8" xfId="22921"/>
    <cellStyle name="Normal 2 2 2 13 9" xfId="22922"/>
    <cellStyle name="Normal 2 2 2 14" xfId="22923"/>
    <cellStyle name="Normal 2 2 2 14 10" xfId="22924"/>
    <cellStyle name="Normal 2 2 2 14 2" xfId="22925"/>
    <cellStyle name="Normal 2 2 2 14 2 2" xfId="22926"/>
    <cellStyle name="Normal 2 2 2 14 2 2 2" xfId="22927"/>
    <cellStyle name="Normal 2 2 2 14 2 2 3" xfId="22928"/>
    <cellStyle name="Normal 2 2 2 14 2 3" xfId="22929"/>
    <cellStyle name="Normal 2 2 2 14 2 4" xfId="22930"/>
    <cellStyle name="Normal 2 2 2 14 2 5" xfId="22931"/>
    <cellStyle name="Normal 2 2 2 14 2 6" xfId="22932"/>
    <cellStyle name="Normal 2 2 2 14 3" xfId="22933"/>
    <cellStyle name="Normal 2 2 2 14 3 2" xfId="22934"/>
    <cellStyle name="Normal 2 2 2 14 3 2 2" xfId="22935"/>
    <cellStyle name="Normal 2 2 2 14 3 2 3" xfId="22936"/>
    <cellStyle name="Normal 2 2 2 14 3 3" xfId="22937"/>
    <cellStyle name="Normal 2 2 2 14 3 4" xfId="22938"/>
    <cellStyle name="Normal 2 2 2 14 3 5" xfId="22939"/>
    <cellStyle name="Normal 2 2 2 14 3 6" xfId="22940"/>
    <cellStyle name="Normal 2 2 2 14 4" xfId="22941"/>
    <cellStyle name="Normal 2 2 2 14 4 2" xfId="22942"/>
    <cellStyle name="Normal 2 2 2 14 4 2 2" xfId="22943"/>
    <cellStyle name="Normal 2 2 2 14 4 3" xfId="22944"/>
    <cellStyle name="Normal 2 2 2 14 4 4" xfId="22945"/>
    <cellStyle name="Normal 2 2 2 14 4 5" xfId="22946"/>
    <cellStyle name="Normal 2 2 2 14 5" xfId="22947"/>
    <cellStyle name="Normal 2 2 2 14 5 2" xfId="22948"/>
    <cellStyle name="Normal 2 2 2 14 5 3" xfId="22949"/>
    <cellStyle name="Normal 2 2 2 14 5 4" xfId="22950"/>
    <cellStyle name="Normal 2 2 2 14 6" xfId="22951"/>
    <cellStyle name="Normal 2 2 2 14 6 2" xfId="22952"/>
    <cellStyle name="Normal 2 2 2 14 7" xfId="22953"/>
    <cellStyle name="Normal 2 2 2 14 8" xfId="22954"/>
    <cellStyle name="Normal 2 2 2 14 9" xfId="22955"/>
    <cellStyle name="Normal 2 2 2 15" xfId="22956"/>
    <cellStyle name="Normal 2 2 2 15 10" xfId="22957"/>
    <cellStyle name="Normal 2 2 2 15 2" xfId="22958"/>
    <cellStyle name="Normal 2 2 2 15 2 2" xfId="22959"/>
    <cellStyle name="Normal 2 2 2 15 2 2 2" xfId="22960"/>
    <cellStyle name="Normal 2 2 2 15 2 2 3" xfId="22961"/>
    <cellStyle name="Normal 2 2 2 15 2 3" xfId="22962"/>
    <cellStyle name="Normal 2 2 2 15 2 4" xfId="22963"/>
    <cellStyle name="Normal 2 2 2 15 2 5" xfId="22964"/>
    <cellStyle name="Normal 2 2 2 15 2 6" xfId="22965"/>
    <cellStyle name="Normal 2 2 2 15 3" xfId="22966"/>
    <cellStyle name="Normal 2 2 2 15 3 2" xfId="22967"/>
    <cellStyle name="Normal 2 2 2 15 3 2 2" xfId="22968"/>
    <cellStyle name="Normal 2 2 2 15 3 2 3" xfId="22969"/>
    <cellStyle name="Normal 2 2 2 15 3 3" xfId="22970"/>
    <cellStyle name="Normal 2 2 2 15 3 4" xfId="22971"/>
    <cellStyle name="Normal 2 2 2 15 3 5" xfId="22972"/>
    <cellStyle name="Normal 2 2 2 15 3 6" xfId="22973"/>
    <cellStyle name="Normal 2 2 2 15 4" xfId="22974"/>
    <cellStyle name="Normal 2 2 2 15 4 2" xfId="22975"/>
    <cellStyle name="Normal 2 2 2 15 4 2 2" xfId="22976"/>
    <cellStyle name="Normal 2 2 2 15 4 3" xfId="22977"/>
    <cellStyle name="Normal 2 2 2 15 4 4" xfId="22978"/>
    <cellStyle name="Normal 2 2 2 15 4 5" xfId="22979"/>
    <cellStyle name="Normal 2 2 2 15 5" xfId="22980"/>
    <cellStyle name="Normal 2 2 2 15 5 2" xfId="22981"/>
    <cellStyle name="Normal 2 2 2 15 5 3" xfId="22982"/>
    <cellStyle name="Normal 2 2 2 15 5 4" xfId="22983"/>
    <cellStyle name="Normal 2 2 2 15 6" xfId="22984"/>
    <cellStyle name="Normal 2 2 2 15 6 2" xfId="22985"/>
    <cellStyle name="Normal 2 2 2 15 7" xfId="22986"/>
    <cellStyle name="Normal 2 2 2 15 8" xfId="22987"/>
    <cellStyle name="Normal 2 2 2 15 9" xfId="22988"/>
    <cellStyle name="Normal 2 2 2 16" xfId="22989"/>
    <cellStyle name="Normal 2 2 2 16 10" xfId="22990"/>
    <cellStyle name="Normal 2 2 2 16 2" xfId="22991"/>
    <cellStyle name="Normal 2 2 2 16 2 2" xfId="22992"/>
    <cellStyle name="Normal 2 2 2 16 2 2 2" xfId="22993"/>
    <cellStyle name="Normal 2 2 2 16 2 2 3" xfId="22994"/>
    <cellStyle name="Normal 2 2 2 16 2 3" xfId="22995"/>
    <cellStyle name="Normal 2 2 2 16 2 4" xfId="22996"/>
    <cellStyle name="Normal 2 2 2 16 2 5" xfId="22997"/>
    <cellStyle name="Normal 2 2 2 16 2 6" xfId="22998"/>
    <cellStyle name="Normal 2 2 2 16 3" xfId="22999"/>
    <cellStyle name="Normal 2 2 2 16 3 2" xfId="23000"/>
    <cellStyle name="Normal 2 2 2 16 3 2 2" xfId="23001"/>
    <cellStyle name="Normal 2 2 2 16 3 2 3" xfId="23002"/>
    <cellStyle name="Normal 2 2 2 16 3 3" xfId="23003"/>
    <cellStyle name="Normal 2 2 2 16 3 4" xfId="23004"/>
    <cellStyle name="Normal 2 2 2 16 3 5" xfId="23005"/>
    <cellStyle name="Normal 2 2 2 16 3 6" xfId="23006"/>
    <cellStyle name="Normal 2 2 2 16 4" xfId="23007"/>
    <cellStyle name="Normal 2 2 2 16 4 2" xfId="23008"/>
    <cellStyle name="Normal 2 2 2 16 4 2 2" xfId="23009"/>
    <cellStyle name="Normal 2 2 2 16 4 3" xfId="23010"/>
    <cellStyle name="Normal 2 2 2 16 4 4" xfId="23011"/>
    <cellStyle name="Normal 2 2 2 16 4 5" xfId="23012"/>
    <cellStyle name="Normal 2 2 2 16 5" xfId="23013"/>
    <cellStyle name="Normal 2 2 2 16 5 2" xfId="23014"/>
    <cellStyle name="Normal 2 2 2 16 5 3" xfId="23015"/>
    <cellStyle name="Normal 2 2 2 16 5 4" xfId="23016"/>
    <cellStyle name="Normal 2 2 2 16 6" xfId="23017"/>
    <cellStyle name="Normal 2 2 2 16 6 2" xfId="23018"/>
    <cellStyle name="Normal 2 2 2 16 7" xfId="23019"/>
    <cellStyle name="Normal 2 2 2 16 8" xfId="23020"/>
    <cellStyle name="Normal 2 2 2 16 9" xfId="23021"/>
    <cellStyle name="Normal 2 2 2 17" xfId="23022"/>
    <cellStyle name="Normal 2 2 2 17 10" xfId="23023"/>
    <cellStyle name="Normal 2 2 2 17 2" xfId="23024"/>
    <cellStyle name="Normal 2 2 2 17 2 2" xfId="23025"/>
    <cellStyle name="Normal 2 2 2 17 2 2 2" xfId="23026"/>
    <cellStyle name="Normal 2 2 2 17 2 2 3" xfId="23027"/>
    <cellStyle name="Normal 2 2 2 17 2 3" xfId="23028"/>
    <cellStyle name="Normal 2 2 2 17 2 4" xfId="23029"/>
    <cellStyle name="Normal 2 2 2 17 2 5" xfId="23030"/>
    <cellStyle name="Normal 2 2 2 17 2 6" xfId="23031"/>
    <cellStyle name="Normal 2 2 2 17 3" xfId="23032"/>
    <cellStyle name="Normal 2 2 2 17 3 2" xfId="23033"/>
    <cellStyle name="Normal 2 2 2 17 3 2 2" xfId="23034"/>
    <cellStyle name="Normal 2 2 2 17 3 2 3" xfId="23035"/>
    <cellStyle name="Normal 2 2 2 17 3 3" xfId="23036"/>
    <cellStyle name="Normal 2 2 2 17 3 4" xfId="23037"/>
    <cellStyle name="Normal 2 2 2 17 3 5" xfId="23038"/>
    <cellStyle name="Normal 2 2 2 17 3 6" xfId="23039"/>
    <cellStyle name="Normal 2 2 2 17 4" xfId="23040"/>
    <cellStyle name="Normal 2 2 2 17 4 2" xfId="23041"/>
    <cellStyle name="Normal 2 2 2 17 4 2 2" xfId="23042"/>
    <cellStyle name="Normal 2 2 2 17 4 3" xfId="23043"/>
    <cellStyle name="Normal 2 2 2 17 4 4" xfId="23044"/>
    <cellStyle name="Normal 2 2 2 17 4 5" xfId="23045"/>
    <cellStyle name="Normal 2 2 2 17 5" xfId="23046"/>
    <cellStyle name="Normal 2 2 2 17 5 2" xfId="23047"/>
    <cellStyle name="Normal 2 2 2 17 5 3" xfId="23048"/>
    <cellStyle name="Normal 2 2 2 17 5 4" xfId="23049"/>
    <cellStyle name="Normal 2 2 2 17 6" xfId="23050"/>
    <cellStyle name="Normal 2 2 2 17 6 2" xfId="23051"/>
    <cellStyle name="Normal 2 2 2 17 7" xfId="23052"/>
    <cellStyle name="Normal 2 2 2 17 8" xfId="23053"/>
    <cellStyle name="Normal 2 2 2 17 9" xfId="23054"/>
    <cellStyle name="Normal 2 2 2 18" xfId="23055"/>
    <cellStyle name="Normal 2 2 2 18 10" xfId="23056"/>
    <cellStyle name="Normal 2 2 2 18 2" xfId="23057"/>
    <cellStyle name="Normal 2 2 2 18 2 2" xfId="23058"/>
    <cellStyle name="Normal 2 2 2 18 2 2 2" xfId="23059"/>
    <cellStyle name="Normal 2 2 2 18 2 2 3" xfId="23060"/>
    <cellStyle name="Normal 2 2 2 18 2 3" xfId="23061"/>
    <cellStyle name="Normal 2 2 2 18 2 4" xfId="23062"/>
    <cellStyle name="Normal 2 2 2 18 2 5" xfId="23063"/>
    <cellStyle name="Normal 2 2 2 18 2 6" xfId="23064"/>
    <cellStyle name="Normal 2 2 2 18 3" xfId="23065"/>
    <cellStyle name="Normal 2 2 2 18 3 2" xfId="23066"/>
    <cellStyle name="Normal 2 2 2 18 3 2 2" xfId="23067"/>
    <cellStyle name="Normal 2 2 2 18 3 2 3" xfId="23068"/>
    <cellStyle name="Normal 2 2 2 18 3 3" xfId="23069"/>
    <cellStyle name="Normal 2 2 2 18 3 4" xfId="23070"/>
    <cellStyle name="Normal 2 2 2 18 3 5" xfId="23071"/>
    <cellStyle name="Normal 2 2 2 18 3 6" xfId="23072"/>
    <cellStyle name="Normal 2 2 2 18 4" xfId="23073"/>
    <cellStyle name="Normal 2 2 2 18 4 2" xfId="23074"/>
    <cellStyle name="Normal 2 2 2 18 4 2 2" xfId="23075"/>
    <cellStyle name="Normal 2 2 2 18 4 3" xfId="23076"/>
    <cellStyle name="Normal 2 2 2 18 4 4" xfId="23077"/>
    <cellStyle name="Normal 2 2 2 18 4 5" xfId="23078"/>
    <cellStyle name="Normal 2 2 2 18 5" xfId="23079"/>
    <cellStyle name="Normal 2 2 2 18 5 2" xfId="23080"/>
    <cellStyle name="Normal 2 2 2 18 5 3" xfId="23081"/>
    <cellStyle name="Normal 2 2 2 18 5 4" xfId="23082"/>
    <cellStyle name="Normal 2 2 2 18 6" xfId="23083"/>
    <cellStyle name="Normal 2 2 2 18 6 2" xfId="23084"/>
    <cellStyle name="Normal 2 2 2 18 7" xfId="23085"/>
    <cellStyle name="Normal 2 2 2 18 8" xfId="23086"/>
    <cellStyle name="Normal 2 2 2 18 9" xfId="23087"/>
    <cellStyle name="Normal 2 2 2 19" xfId="23088"/>
    <cellStyle name="Normal 2 2 2 19 10" xfId="23089"/>
    <cellStyle name="Normal 2 2 2 19 2" xfId="23090"/>
    <cellStyle name="Normal 2 2 2 19 2 2" xfId="23091"/>
    <cellStyle name="Normal 2 2 2 19 2 2 2" xfId="23092"/>
    <cellStyle name="Normal 2 2 2 19 2 2 3" xfId="23093"/>
    <cellStyle name="Normal 2 2 2 19 2 3" xfId="23094"/>
    <cellStyle name="Normal 2 2 2 19 2 4" xfId="23095"/>
    <cellStyle name="Normal 2 2 2 19 2 5" xfId="23096"/>
    <cellStyle name="Normal 2 2 2 19 2 6" xfId="23097"/>
    <cellStyle name="Normal 2 2 2 19 3" xfId="23098"/>
    <cellStyle name="Normal 2 2 2 19 3 2" xfId="23099"/>
    <cellStyle name="Normal 2 2 2 19 3 2 2" xfId="23100"/>
    <cellStyle name="Normal 2 2 2 19 3 2 3" xfId="23101"/>
    <cellStyle name="Normal 2 2 2 19 3 3" xfId="23102"/>
    <cellStyle name="Normal 2 2 2 19 3 4" xfId="23103"/>
    <cellStyle name="Normal 2 2 2 19 3 5" xfId="23104"/>
    <cellStyle name="Normal 2 2 2 19 3 6" xfId="23105"/>
    <cellStyle name="Normal 2 2 2 19 4" xfId="23106"/>
    <cellStyle name="Normal 2 2 2 19 4 2" xfId="23107"/>
    <cellStyle name="Normal 2 2 2 19 4 2 2" xfId="23108"/>
    <cellStyle name="Normal 2 2 2 19 4 3" xfId="23109"/>
    <cellStyle name="Normal 2 2 2 19 4 4" xfId="23110"/>
    <cellStyle name="Normal 2 2 2 19 4 5" xfId="23111"/>
    <cellStyle name="Normal 2 2 2 19 5" xfId="23112"/>
    <cellStyle name="Normal 2 2 2 19 5 2" xfId="23113"/>
    <cellStyle name="Normal 2 2 2 19 5 3" xfId="23114"/>
    <cellStyle name="Normal 2 2 2 19 5 4" xfId="23115"/>
    <cellStyle name="Normal 2 2 2 19 6" xfId="23116"/>
    <cellStyle name="Normal 2 2 2 19 6 2" xfId="23117"/>
    <cellStyle name="Normal 2 2 2 19 7" xfId="23118"/>
    <cellStyle name="Normal 2 2 2 19 8" xfId="23119"/>
    <cellStyle name="Normal 2 2 2 19 9" xfId="23120"/>
    <cellStyle name="Normal 2 2 2 2" xfId="23121"/>
    <cellStyle name="Normal 2 2 2 2 10" xfId="23122"/>
    <cellStyle name="Normal 2 2 2 2 11" xfId="23123"/>
    <cellStyle name="Normal 2 2 2 2 2" xfId="23124"/>
    <cellStyle name="Normal 2 2 2 2 2 2" xfId="23125"/>
    <cellStyle name="Normal 2 2 2 2 2 2 2" xfId="23126"/>
    <cellStyle name="Normal 2 2 2 2 2 2 2 2" xfId="23127"/>
    <cellStyle name="Normal 2 2 2 2 2 2 2 3" xfId="23128"/>
    <cellStyle name="Normal 2 2 2 2 2 2 3" xfId="23129"/>
    <cellStyle name="Normal 2 2 2 2 2 2 4" xfId="23130"/>
    <cellStyle name="Normal 2 2 2 2 2 2 5" xfId="23131"/>
    <cellStyle name="Normal 2 2 2 2 2 2 6" xfId="23132"/>
    <cellStyle name="Normal 2 2 2 2 2 3" xfId="23133"/>
    <cellStyle name="Normal 2 2 2 2 2 3 2" xfId="23134"/>
    <cellStyle name="Normal 2 2 2 2 2 3 2 2" xfId="23135"/>
    <cellStyle name="Normal 2 2 2 2 2 3 3" xfId="23136"/>
    <cellStyle name="Normal 2 2 2 2 2 3 4" xfId="23137"/>
    <cellStyle name="Normal 2 2 2 2 2 3 5" xfId="23138"/>
    <cellStyle name="Normal 2 2 2 2 2 4" xfId="23139"/>
    <cellStyle name="Normal 2 2 2 2 2 4 2" xfId="23140"/>
    <cellStyle name="Normal 2 2 2 2 2 4 3" xfId="23141"/>
    <cellStyle name="Normal 2 2 2 2 2 4 4" xfId="23142"/>
    <cellStyle name="Normal 2 2 2 2 2 5" xfId="23143"/>
    <cellStyle name="Normal 2 2 2 2 2 5 2" xfId="23144"/>
    <cellStyle name="Normal 2 2 2 2 2 6" xfId="23145"/>
    <cellStyle name="Normal 2 2 2 2 2 7" xfId="23146"/>
    <cellStyle name="Normal 2 2 2 2 2 8" xfId="23147"/>
    <cellStyle name="Normal 2 2 2 2 2 9" xfId="23148"/>
    <cellStyle name="Normal 2 2 2 2 3" xfId="23149"/>
    <cellStyle name="Normal 2 2 2 2 3 2" xfId="23150"/>
    <cellStyle name="Normal 2 2 2 2 3 2 2" xfId="23151"/>
    <cellStyle name="Normal 2 2 2 2 3 2 2 2" xfId="23152"/>
    <cellStyle name="Normal 2 2 2 2 3 2 2 3" xfId="23153"/>
    <cellStyle name="Normal 2 2 2 2 3 2 3" xfId="23154"/>
    <cellStyle name="Normal 2 2 2 2 3 2 4" xfId="23155"/>
    <cellStyle name="Normal 2 2 2 2 3 2 5" xfId="23156"/>
    <cellStyle name="Normal 2 2 2 2 3 2 6" xfId="23157"/>
    <cellStyle name="Normal 2 2 2 2 3 3" xfId="23158"/>
    <cellStyle name="Normal 2 2 2 2 3 3 2" xfId="23159"/>
    <cellStyle name="Normal 2 2 2 2 3 3 2 2" xfId="23160"/>
    <cellStyle name="Normal 2 2 2 2 3 3 3" xfId="23161"/>
    <cellStyle name="Normal 2 2 2 2 3 3 4" xfId="23162"/>
    <cellStyle name="Normal 2 2 2 2 3 3 5" xfId="23163"/>
    <cellStyle name="Normal 2 2 2 2 3 4" xfId="23164"/>
    <cellStyle name="Normal 2 2 2 2 3 4 2" xfId="23165"/>
    <cellStyle name="Normal 2 2 2 2 3 4 3" xfId="23166"/>
    <cellStyle name="Normal 2 2 2 2 3 4 4" xfId="23167"/>
    <cellStyle name="Normal 2 2 2 2 3 5" xfId="23168"/>
    <cellStyle name="Normal 2 2 2 2 3 5 2" xfId="23169"/>
    <cellStyle name="Normal 2 2 2 2 3 6" xfId="23170"/>
    <cellStyle name="Normal 2 2 2 2 3 7" xfId="23171"/>
    <cellStyle name="Normal 2 2 2 2 3 8" xfId="23172"/>
    <cellStyle name="Normal 2 2 2 2 3 9" xfId="23173"/>
    <cellStyle name="Normal 2 2 2 2 4" xfId="23174"/>
    <cellStyle name="Normal 2 2 2 2 4 2" xfId="23175"/>
    <cellStyle name="Normal 2 2 2 2 4 2 2" xfId="23176"/>
    <cellStyle name="Normal 2 2 2 2 4 2 3" xfId="23177"/>
    <cellStyle name="Normal 2 2 2 2 4 3" xfId="23178"/>
    <cellStyle name="Normal 2 2 2 2 4 4" xfId="23179"/>
    <cellStyle name="Normal 2 2 2 2 4 5" xfId="23180"/>
    <cellStyle name="Normal 2 2 2 2 4 6" xfId="23181"/>
    <cellStyle name="Normal 2 2 2 2 5" xfId="23182"/>
    <cellStyle name="Normal 2 2 2 2 5 2" xfId="23183"/>
    <cellStyle name="Normal 2 2 2 2 5 2 2" xfId="23184"/>
    <cellStyle name="Normal 2 2 2 2 5 3" xfId="23185"/>
    <cellStyle name="Normal 2 2 2 2 5 4" xfId="23186"/>
    <cellStyle name="Normal 2 2 2 2 5 5" xfId="23187"/>
    <cellStyle name="Normal 2 2 2 2 6" xfId="23188"/>
    <cellStyle name="Normal 2 2 2 2 6 2" xfId="23189"/>
    <cellStyle name="Normal 2 2 2 2 6 3" xfId="23190"/>
    <cellStyle name="Normal 2 2 2 2 6 4" xfId="23191"/>
    <cellStyle name="Normal 2 2 2 2 7" xfId="23192"/>
    <cellStyle name="Normal 2 2 2 2 7 2" xfId="23193"/>
    <cellStyle name="Normal 2 2 2 2 8" xfId="23194"/>
    <cellStyle name="Normal 2 2 2 2 9" xfId="23195"/>
    <cellStyle name="Normal 2 2 2 20" xfId="23196"/>
    <cellStyle name="Normal 2 2 2 20 10" xfId="23197"/>
    <cellStyle name="Normal 2 2 2 20 2" xfId="23198"/>
    <cellStyle name="Normal 2 2 2 20 2 2" xfId="23199"/>
    <cellStyle name="Normal 2 2 2 20 2 2 2" xfId="23200"/>
    <cellStyle name="Normal 2 2 2 20 2 2 3" xfId="23201"/>
    <cellStyle name="Normal 2 2 2 20 2 3" xfId="23202"/>
    <cellStyle name="Normal 2 2 2 20 2 4" xfId="23203"/>
    <cellStyle name="Normal 2 2 2 20 2 5" xfId="23204"/>
    <cellStyle name="Normal 2 2 2 20 2 6" xfId="23205"/>
    <cellStyle name="Normal 2 2 2 20 3" xfId="23206"/>
    <cellStyle name="Normal 2 2 2 20 3 2" xfId="23207"/>
    <cellStyle name="Normal 2 2 2 20 3 2 2" xfId="23208"/>
    <cellStyle name="Normal 2 2 2 20 3 2 3" xfId="23209"/>
    <cellStyle name="Normal 2 2 2 20 3 3" xfId="23210"/>
    <cellStyle name="Normal 2 2 2 20 3 4" xfId="23211"/>
    <cellStyle name="Normal 2 2 2 20 3 5" xfId="23212"/>
    <cellStyle name="Normal 2 2 2 20 3 6" xfId="23213"/>
    <cellStyle name="Normal 2 2 2 20 4" xfId="23214"/>
    <cellStyle name="Normal 2 2 2 20 4 2" xfId="23215"/>
    <cellStyle name="Normal 2 2 2 20 4 2 2" xfId="23216"/>
    <cellStyle name="Normal 2 2 2 20 4 3" xfId="23217"/>
    <cellStyle name="Normal 2 2 2 20 4 4" xfId="23218"/>
    <cellStyle name="Normal 2 2 2 20 4 5" xfId="23219"/>
    <cellStyle name="Normal 2 2 2 20 5" xfId="23220"/>
    <cellStyle name="Normal 2 2 2 20 5 2" xfId="23221"/>
    <cellStyle name="Normal 2 2 2 20 5 3" xfId="23222"/>
    <cellStyle name="Normal 2 2 2 20 5 4" xfId="23223"/>
    <cellStyle name="Normal 2 2 2 20 6" xfId="23224"/>
    <cellStyle name="Normal 2 2 2 20 6 2" xfId="23225"/>
    <cellStyle name="Normal 2 2 2 20 7" xfId="23226"/>
    <cellStyle name="Normal 2 2 2 20 8" xfId="23227"/>
    <cellStyle name="Normal 2 2 2 20 9" xfId="23228"/>
    <cellStyle name="Normal 2 2 2 21" xfId="23229"/>
    <cellStyle name="Normal 2 2 2 21 10" xfId="23230"/>
    <cellStyle name="Normal 2 2 2 21 2" xfId="23231"/>
    <cellStyle name="Normal 2 2 2 21 2 2" xfId="23232"/>
    <cellStyle name="Normal 2 2 2 21 2 2 2" xfId="23233"/>
    <cellStyle name="Normal 2 2 2 21 2 2 3" xfId="23234"/>
    <cellStyle name="Normal 2 2 2 21 2 3" xfId="23235"/>
    <cellStyle name="Normal 2 2 2 21 2 4" xfId="23236"/>
    <cellStyle name="Normal 2 2 2 21 2 5" xfId="23237"/>
    <cellStyle name="Normal 2 2 2 21 2 6" xfId="23238"/>
    <cellStyle name="Normal 2 2 2 21 3" xfId="23239"/>
    <cellStyle name="Normal 2 2 2 21 3 2" xfId="23240"/>
    <cellStyle name="Normal 2 2 2 21 3 2 2" xfId="23241"/>
    <cellStyle name="Normal 2 2 2 21 3 2 3" xfId="23242"/>
    <cellStyle name="Normal 2 2 2 21 3 3" xfId="23243"/>
    <cellStyle name="Normal 2 2 2 21 3 4" xfId="23244"/>
    <cellStyle name="Normal 2 2 2 21 3 5" xfId="23245"/>
    <cellStyle name="Normal 2 2 2 21 3 6" xfId="23246"/>
    <cellStyle name="Normal 2 2 2 21 4" xfId="23247"/>
    <cellStyle name="Normal 2 2 2 21 4 2" xfId="23248"/>
    <cellStyle name="Normal 2 2 2 21 4 2 2" xfId="23249"/>
    <cellStyle name="Normal 2 2 2 21 4 3" xfId="23250"/>
    <cellStyle name="Normal 2 2 2 21 4 4" xfId="23251"/>
    <cellStyle name="Normal 2 2 2 21 4 5" xfId="23252"/>
    <cellStyle name="Normal 2 2 2 21 5" xfId="23253"/>
    <cellStyle name="Normal 2 2 2 21 5 2" xfId="23254"/>
    <cellStyle name="Normal 2 2 2 21 5 3" xfId="23255"/>
    <cellStyle name="Normal 2 2 2 21 5 4" xfId="23256"/>
    <cellStyle name="Normal 2 2 2 21 6" xfId="23257"/>
    <cellStyle name="Normal 2 2 2 21 6 2" xfId="23258"/>
    <cellStyle name="Normal 2 2 2 21 7" xfId="23259"/>
    <cellStyle name="Normal 2 2 2 21 8" xfId="23260"/>
    <cellStyle name="Normal 2 2 2 21 9" xfId="23261"/>
    <cellStyle name="Normal 2 2 2 22" xfId="23262"/>
    <cellStyle name="Normal 2 2 2 22 10" xfId="23263"/>
    <cellStyle name="Normal 2 2 2 22 2" xfId="23264"/>
    <cellStyle name="Normal 2 2 2 22 2 2" xfId="23265"/>
    <cellStyle name="Normal 2 2 2 22 2 2 2" xfId="23266"/>
    <cellStyle name="Normal 2 2 2 22 2 2 3" xfId="23267"/>
    <cellStyle name="Normal 2 2 2 22 2 3" xfId="23268"/>
    <cellStyle name="Normal 2 2 2 22 2 4" xfId="23269"/>
    <cellStyle name="Normal 2 2 2 22 2 5" xfId="23270"/>
    <cellStyle name="Normal 2 2 2 22 2 6" xfId="23271"/>
    <cellStyle name="Normal 2 2 2 22 3" xfId="23272"/>
    <cellStyle name="Normal 2 2 2 22 3 2" xfId="23273"/>
    <cellStyle name="Normal 2 2 2 22 3 2 2" xfId="23274"/>
    <cellStyle name="Normal 2 2 2 22 3 2 3" xfId="23275"/>
    <cellStyle name="Normal 2 2 2 22 3 3" xfId="23276"/>
    <cellStyle name="Normal 2 2 2 22 3 4" xfId="23277"/>
    <cellStyle name="Normal 2 2 2 22 3 5" xfId="23278"/>
    <cellStyle name="Normal 2 2 2 22 3 6" xfId="23279"/>
    <cellStyle name="Normal 2 2 2 22 4" xfId="23280"/>
    <cellStyle name="Normal 2 2 2 22 4 2" xfId="23281"/>
    <cellStyle name="Normal 2 2 2 22 4 2 2" xfId="23282"/>
    <cellStyle name="Normal 2 2 2 22 4 3" xfId="23283"/>
    <cellStyle name="Normal 2 2 2 22 4 4" xfId="23284"/>
    <cellStyle name="Normal 2 2 2 22 4 5" xfId="23285"/>
    <cellStyle name="Normal 2 2 2 22 5" xfId="23286"/>
    <cellStyle name="Normal 2 2 2 22 5 2" xfId="23287"/>
    <cellStyle name="Normal 2 2 2 22 5 3" xfId="23288"/>
    <cellStyle name="Normal 2 2 2 22 5 4" xfId="23289"/>
    <cellStyle name="Normal 2 2 2 22 6" xfId="23290"/>
    <cellStyle name="Normal 2 2 2 22 6 2" xfId="23291"/>
    <cellStyle name="Normal 2 2 2 22 7" xfId="23292"/>
    <cellStyle name="Normal 2 2 2 22 8" xfId="23293"/>
    <cellStyle name="Normal 2 2 2 22 9" xfId="23294"/>
    <cellStyle name="Normal 2 2 2 23" xfId="23295"/>
    <cellStyle name="Normal 2 2 2 23 10" xfId="23296"/>
    <cellStyle name="Normal 2 2 2 23 2" xfId="23297"/>
    <cellStyle name="Normal 2 2 2 23 2 2" xfId="23298"/>
    <cellStyle name="Normal 2 2 2 23 2 2 2" xfId="23299"/>
    <cellStyle name="Normal 2 2 2 23 2 2 3" xfId="23300"/>
    <cellStyle name="Normal 2 2 2 23 2 3" xfId="23301"/>
    <cellStyle name="Normal 2 2 2 23 2 4" xfId="23302"/>
    <cellStyle name="Normal 2 2 2 23 2 5" xfId="23303"/>
    <cellStyle name="Normal 2 2 2 23 2 6" xfId="23304"/>
    <cellStyle name="Normal 2 2 2 23 3" xfId="23305"/>
    <cellStyle name="Normal 2 2 2 23 3 2" xfId="23306"/>
    <cellStyle name="Normal 2 2 2 23 3 2 2" xfId="23307"/>
    <cellStyle name="Normal 2 2 2 23 3 2 3" xfId="23308"/>
    <cellStyle name="Normal 2 2 2 23 3 3" xfId="23309"/>
    <cellStyle name="Normal 2 2 2 23 3 4" xfId="23310"/>
    <cellStyle name="Normal 2 2 2 23 3 5" xfId="23311"/>
    <cellStyle name="Normal 2 2 2 23 3 6" xfId="23312"/>
    <cellStyle name="Normal 2 2 2 23 4" xfId="23313"/>
    <cellStyle name="Normal 2 2 2 23 4 2" xfId="23314"/>
    <cellStyle name="Normal 2 2 2 23 4 2 2" xfId="23315"/>
    <cellStyle name="Normal 2 2 2 23 4 3" xfId="23316"/>
    <cellStyle name="Normal 2 2 2 23 4 4" xfId="23317"/>
    <cellStyle name="Normal 2 2 2 23 4 5" xfId="23318"/>
    <cellStyle name="Normal 2 2 2 23 5" xfId="23319"/>
    <cellStyle name="Normal 2 2 2 23 5 2" xfId="23320"/>
    <cellStyle name="Normal 2 2 2 23 5 3" xfId="23321"/>
    <cellStyle name="Normal 2 2 2 23 5 4" xfId="23322"/>
    <cellStyle name="Normal 2 2 2 23 6" xfId="23323"/>
    <cellStyle name="Normal 2 2 2 23 6 2" xfId="23324"/>
    <cellStyle name="Normal 2 2 2 23 7" xfId="23325"/>
    <cellStyle name="Normal 2 2 2 23 8" xfId="23326"/>
    <cellStyle name="Normal 2 2 2 23 9" xfId="23327"/>
    <cellStyle name="Normal 2 2 2 24" xfId="23328"/>
    <cellStyle name="Normal 2 2 2 24 10" xfId="23329"/>
    <cellStyle name="Normal 2 2 2 24 2" xfId="23330"/>
    <cellStyle name="Normal 2 2 2 24 2 2" xfId="23331"/>
    <cellStyle name="Normal 2 2 2 24 2 2 2" xfId="23332"/>
    <cellStyle name="Normal 2 2 2 24 2 2 3" xfId="23333"/>
    <cellStyle name="Normal 2 2 2 24 2 3" xfId="23334"/>
    <cellStyle name="Normal 2 2 2 24 2 4" xfId="23335"/>
    <cellStyle name="Normal 2 2 2 24 2 5" xfId="23336"/>
    <cellStyle name="Normal 2 2 2 24 2 6" xfId="23337"/>
    <cellStyle name="Normal 2 2 2 24 3" xfId="23338"/>
    <cellStyle name="Normal 2 2 2 24 3 2" xfId="23339"/>
    <cellStyle name="Normal 2 2 2 24 3 2 2" xfId="23340"/>
    <cellStyle name="Normal 2 2 2 24 3 2 3" xfId="23341"/>
    <cellStyle name="Normal 2 2 2 24 3 3" xfId="23342"/>
    <cellStyle name="Normal 2 2 2 24 3 4" xfId="23343"/>
    <cellStyle name="Normal 2 2 2 24 3 5" xfId="23344"/>
    <cellStyle name="Normal 2 2 2 24 3 6" xfId="23345"/>
    <cellStyle name="Normal 2 2 2 24 4" xfId="23346"/>
    <cellStyle name="Normal 2 2 2 24 4 2" xfId="23347"/>
    <cellStyle name="Normal 2 2 2 24 4 2 2" xfId="23348"/>
    <cellStyle name="Normal 2 2 2 24 4 3" xfId="23349"/>
    <cellStyle name="Normal 2 2 2 24 4 4" xfId="23350"/>
    <cellStyle name="Normal 2 2 2 24 4 5" xfId="23351"/>
    <cellStyle name="Normal 2 2 2 24 5" xfId="23352"/>
    <cellStyle name="Normal 2 2 2 24 5 2" xfId="23353"/>
    <cellStyle name="Normal 2 2 2 24 5 3" xfId="23354"/>
    <cellStyle name="Normal 2 2 2 24 5 4" xfId="23355"/>
    <cellStyle name="Normal 2 2 2 24 6" xfId="23356"/>
    <cellStyle name="Normal 2 2 2 24 6 2" xfId="23357"/>
    <cellStyle name="Normal 2 2 2 24 7" xfId="23358"/>
    <cellStyle name="Normal 2 2 2 24 8" xfId="23359"/>
    <cellStyle name="Normal 2 2 2 24 9" xfId="23360"/>
    <cellStyle name="Normal 2 2 2 25" xfId="23361"/>
    <cellStyle name="Normal 2 2 2 25 10" xfId="23362"/>
    <cellStyle name="Normal 2 2 2 25 2" xfId="23363"/>
    <cellStyle name="Normal 2 2 2 25 2 2" xfId="23364"/>
    <cellStyle name="Normal 2 2 2 25 2 2 2" xfId="23365"/>
    <cellStyle name="Normal 2 2 2 25 2 2 3" xfId="23366"/>
    <cellStyle name="Normal 2 2 2 25 2 3" xfId="23367"/>
    <cellStyle name="Normal 2 2 2 25 2 4" xfId="23368"/>
    <cellStyle name="Normal 2 2 2 25 2 5" xfId="23369"/>
    <cellStyle name="Normal 2 2 2 25 2 6" xfId="23370"/>
    <cellStyle name="Normal 2 2 2 25 3" xfId="23371"/>
    <cellStyle name="Normal 2 2 2 25 3 2" xfId="23372"/>
    <cellStyle name="Normal 2 2 2 25 3 2 2" xfId="23373"/>
    <cellStyle name="Normal 2 2 2 25 3 2 3" xfId="23374"/>
    <cellStyle name="Normal 2 2 2 25 3 3" xfId="23375"/>
    <cellStyle name="Normal 2 2 2 25 3 4" xfId="23376"/>
    <cellStyle name="Normal 2 2 2 25 3 5" xfId="23377"/>
    <cellStyle name="Normal 2 2 2 25 3 6" xfId="23378"/>
    <cellStyle name="Normal 2 2 2 25 4" xfId="23379"/>
    <cellStyle name="Normal 2 2 2 25 4 2" xfId="23380"/>
    <cellStyle name="Normal 2 2 2 25 4 2 2" xfId="23381"/>
    <cellStyle name="Normal 2 2 2 25 4 3" xfId="23382"/>
    <cellStyle name="Normal 2 2 2 25 4 4" xfId="23383"/>
    <cellStyle name="Normal 2 2 2 25 4 5" xfId="23384"/>
    <cellStyle name="Normal 2 2 2 25 5" xfId="23385"/>
    <cellStyle name="Normal 2 2 2 25 5 2" xfId="23386"/>
    <cellStyle name="Normal 2 2 2 25 5 3" xfId="23387"/>
    <cellStyle name="Normal 2 2 2 25 5 4" xfId="23388"/>
    <cellStyle name="Normal 2 2 2 25 6" xfId="23389"/>
    <cellStyle name="Normal 2 2 2 25 6 2" xfId="23390"/>
    <cellStyle name="Normal 2 2 2 25 7" xfId="23391"/>
    <cellStyle name="Normal 2 2 2 25 8" xfId="23392"/>
    <cellStyle name="Normal 2 2 2 25 9" xfId="23393"/>
    <cellStyle name="Normal 2 2 2 26" xfId="23394"/>
    <cellStyle name="Normal 2 2 2 26 10" xfId="23395"/>
    <cellStyle name="Normal 2 2 2 26 2" xfId="23396"/>
    <cellStyle name="Normal 2 2 2 26 2 2" xfId="23397"/>
    <cellStyle name="Normal 2 2 2 26 2 2 2" xfId="23398"/>
    <cellStyle name="Normal 2 2 2 26 2 2 3" xfId="23399"/>
    <cellStyle name="Normal 2 2 2 26 2 3" xfId="23400"/>
    <cellStyle name="Normal 2 2 2 26 2 4" xfId="23401"/>
    <cellStyle name="Normal 2 2 2 26 2 5" xfId="23402"/>
    <cellStyle name="Normal 2 2 2 26 2 6" xfId="23403"/>
    <cellStyle name="Normal 2 2 2 26 3" xfId="23404"/>
    <cellStyle name="Normal 2 2 2 26 3 2" xfId="23405"/>
    <cellStyle name="Normal 2 2 2 26 3 2 2" xfId="23406"/>
    <cellStyle name="Normal 2 2 2 26 3 2 3" xfId="23407"/>
    <cellStyle name="Normal 2 2 2 26 3 3" xfId="23408"/>
    <cellStyle name="Normal 2 2 2 26 3 4" xfId="23409"/>
    <cellStyle name="Normal 2 2 2 26 3 5" xfId="23410"/>
    <cellStyle name="Normal 2 2 2 26 3 6" xfId="23411"/>
    <cellStyle name="Normal 2 2 2 26 4" xfId="23412"/>
    <cellStyle name="Normal 2 2 2 26 4 2" xfId="23413"/>
    <cellStyle name="Normal 2 2 2 26 4 2 2" xfId="23414"/>
    <cellStyle name="Normal 2 2 2 26 4 3" xfId="23415"/>
    <cellStyle name="Normal 2 2 2 26 4 4" xfId="23416"/>
    <cellStyle name="Normal 2 2 2 26 4 5" xfId="23417"/>
    <cellStyle name="Normal 2 2 2 26 5" xfId="23418"/>
    <cellStyle name="Normal 2 2 2 26 5 2" xfId="23419"/>
    <cellStyle name="Normal 2 2 2 26 5 3" xfId="23420"/>
    <cellStyle name="Normal 2 2 2 26 5 4" xfId="23421"/>
    <cellStyle name="Normal 2 2 2 26 6" xfId="23422"/>
    <cellStyle name="Normal 2 2 2 26 6 2" xfId="23423"/>
    <cellStyle name="Normal 2 2 2 26 7" xfId="23424"/>
    <cellStyle name="Normal 2 2 2 26 8" xfId="23425"/>
    <cellStyle name="Normal 2 2 2 26 9" xfId="23426"/>
    <cellStyle name="Normal 2 2 2 27" xfId="23427"/>
    <cellStyle name="Normal 2 2 2 27 10" xfId="23428"/>
    <cellStyle name="Normal 2 2 2 27 2" xfId="23429"/>
    <cellStyle name="Normal 2 2 2 27 2 2" xfId="23430"/>
    <cellStyle name="Normal 2 2 2 27 2 2 2" xfId="23431"/>
    <cellStyle name="Normal 2 2 2 27 2 2 3" xfId="23432"/>
    <cellStyle name="Normal 2 2 2 27 2 3" xfId="23433"/>
    <cellStyle name="Normal 2 2 2 27 2 4" xfId="23434"/>
    <cellStyle name="Normal 2 2 2 27 2 5" xfId="23435"/>
    <cellStyle name="Normal 2 2 2 27 2 6" xfId="23436"/>
    <cellStyle name="Normal 2 2 2 27 3" xfId="23437"/>
    <cellStyle name="Normal 2 2 2 27 3 2" xfId="23438"/>
    <cellStyle name="Normal 2 2 2 27 3 2 2" xfId="23439"/>
    <cellStyle name="Normal 2 2 2 27 3 2 3" xfId="23440"/>
    <cellStyle name="Normal 2 2 2 27 3 3" xfId="23441"/>
    <cellStyle name="Normal 2 2 2 27 3 4" xfId="23442"/>
    <cellStyle name="Normal 2 2 2 27 3 5" xfId="23443"/>
    <cellStyle name="Normal 2 2 2 27 3 6" xfId="23444"/>
    <cellStyle name="Normal 2 2 2 27 4" xfId="23445"/>
    <cellStyle name="Normal 2 2 2 27 4 2" xfId="23446"/>
    <cellStyle name="Normal 2 2 2 27 4 2 2" xfId="23447"/>
    <cellStyle name="Normal 2 2 2 27 4 3" xfId="23448"/>
    <cellStyle name="Normal 2 2 2 27 4 4" xfId="23449"/>
    <cellStyle name="Normal 2 2 2 27 4 5" xfId="23450"/>
    <cellStyle name="Normal 2 2 2 27 5" xfId="23451"/>
    <cellStyle name="Normal 2 2 2 27 5 2" xfId="23452"/>
    <cellStyle name="Normal 2 2 2 27 5 3" xfId="23453"/>
    <cellStyle name="Normal 2 2 2 27 5 4" xfId="23454"/>
    <cellStyle name="Normal 2 2 2 27 6" xfId="23455"/>
    <cellStyle name="Normal 2 2 2 27 6 2" xfId="23456"/>
    <cellStyle name="Normal 2 2 2 27 7" xfId="23457"/>
    <cellStyle name="Normal 2 2 2 27 8" xfId="23458"/>
    <cellStyle name="Normal 2 2 2 27 9" xfId="23459"/>
    <cellStyle name="Normal 2 2 2 28" xfId="23460"/>
    <cellStyle name="Normal 2 2 2 28 10" xfId="23461"/>
    <cellStyle name="Normal 2 2 2 28 2" xfId="23462"/>
    <cellStyle name="Normal 2 2 2 28 2 2" xfId="23463"/>
    <cellStyle name="Normal 2 2 2 28 2 2 2" xfId="23464"/>
    <cellStyle name="Normal 2 2 2 28 2 2 3" xfId="23465"/>
    <cellStyle name="Normal 2 2 2 28 2 3" xfId="23466"/>
    <cellStyle name="Normal 2 2 2 28 2 4" xfId="23467"/>
    <cellStyle name="Normal 2 2 2 28 2 5" xfId="23468"/>
    <cellStyle name="Normal 2 2 2 28 2 6" xfId="23469"/>
    <cellStyle name="Normal 2 2 2 28 3" xfId="23470"/>
    <cellStyle name="Normal 2 2 2 28 3 2" xfId="23471"/>
    <cellStyle name="Normal 2 2 2 28 3 2 2" xfId="23472"/>
    <cellStyle name="Normal 2 2 2 28 3 2 3" xfId="23473"/>
    <cellStyle name="Normal 2 2 2 28 3 3" xfId="23474"/>
    <cellStyle name="Normal 2 2 2 28 3 4" xfId="23475"/>
    <cellStyle name="Normal 2 2 2 28 3 5" xfId="23476"/>
    <cellStyle name="Normal 2 2 2 28 3 6" xfId="23477"/>
    <cellStyle name="Normal 2 2 2 28 4" xfId="23478"/>
    <cellStyle name="Normal 2 2 2 28 4 2" xfId="23479"/>
    <cellStyle name="Normal 2 2 2 28 4 2 2" xfId="23480"/>
    <cellStyle name="Normal 2 2 2 28 4 3" xfId="23481"/>
    <cellStyle name="Normal 2 2 2 28 4 4" xfId="23482"/>
    <cellStyle name="Normal 2 2 2 28 4 5" xfId="23483"/>
    <cellStyle name="Normal 2 2 2 28 5" xfId="23484"/>
    <cellStyle name="Normal 2 2 2 28 5 2" xfId="23485"/>
    <cellStyle name="Normal 2 2 2 28 5 3" xfId="23486"/>
    <cellStyle name="Normal 2 2 2 28 5 4" xfId="23487"/>
    <cellStyle name="Normal 2 2 2 28 6" xfId="23488"/>
    <cellStyle name="Normal 2 2 2 28 6 2" xfId="23489"/>
    <cellStyle name="Normal 2 2 2 28 7" xfId="23490"/>
    <cellStyle name="Normal 2 2 2 28 8" xfId="23491"/>
    <cellStyle name="Normal 2 2 2 28 9" xfId="23492"/>
    <cellStyle name="Normal 2 2 2 29" xfId="23493"/>
    <cellStyle name="Normal 2 2 2 29 10" xfId="23494"/>
    <cellStyle name="Normal 2 2 2 29 2" xfId="23495"/>
    <cellStyle name="Normal 2 2 2 29 2 2" xfId="23496"/>
    <cellStyle name="Normal 2 2 2 29 2 2 2" xfId="23497"/>
    <cellStyle name="Normal 2 2 2 29 2 2 3" xfId="23498"/>
    <cellStyle name="Normal 2 2 2 29 2 3" xfId="23499"/>
    <cellStyle name="Normal 2 2 2 29 2 4" xfId="23500"/>
    <cellStyle name="Normal 2 2 2 29 2 5" xfId="23501"/>
    <cellStyle name="Normal 2 2 2 29 2 6" xfId="23502"/>
    <cellStyle name="Normal 2 2 2 29 3" xfId="23503"/>
    <cellStyle name="Normal 2 2 2 29 3 2" xfId="23504"/>
    <cellStyle name="Normal 2 2 2 29 3 2 2" xfId="23505"/>
    <cellStyle name="Normal 2 2 2 29 3 2 3" xfId="23506"/>
    <cellStyle name="Normal 2 2 2 29 3 3" xfId="23507"/>
    <cellStyle name="Normal 2 2 2 29 3 4" xfId="23508"/>
    <cellStyle name="Normal 2 2 2 29 3 5" xfId="23509"/>
    <cellStyle name="Normal 2 2 2 29 3 6" xfId="23510"/>
    <cellStyle name="Normal 2 2 2 29 4" xfId="23511"/>
    <cellStyle name="Normal 2 2 2 29 4 2" xfId="23512"/>
    <cellStyle name="Normal 2 2 2 29 4 2 2" xfId="23513"/>
    <cellStyle name="Normal 2 2 2 29 4 3" xfId="23514"/>
    <cellStyle name="Normal 2 2 2 29 4 4" xfId="23515"/>
    <cellStyle name="Normal 2 2 2 29 4 5" xfId="23516"/>
    <cellStyle name="Normal 2 2 2 29 5" xfId="23517"/>
    <cellStyle name="Normal 2 2 2 29 5 2" xfId="23518"/>
    <cellStyle name="Normal 2 2 2 29 5 3" xfId="23519"/>
    <cellStyle name="Normal 2 2 2 29 5 4" xfId="23520"/>
    <cellStyle name="Normal 2 2 2 29 6" xfId="23521"/>
    <cellStyle name="Normal 2 2 2 29 6 2" xfId="23522"/>
    <cellStyle name="Normal 2 2 2 29 7" xfId="23523"/>
    <cellStyle name="Normal 2 2 2 29 8" xfId="23524"/>
    <cellStyle name="Normal 2 2 2 29 9" xfId="23525"/>
    <cellStyle name="Normal 2 2 2 3" xfId="23526"/>
    <cellStyle name="Normal 2 2 2 3 10" xfId="23527"/>
    <cellStyle name="Normal 2 2 2 3 11" xfId="23528"/>
    <cellStyle name="Normal 2 2 2 3 2" xfId="23529"/>
    <cellStyle name="Normal 2 2 2 3 2 2" xfId="23530"/>
    <cellStyle name="Normal 2 2 2 3 2 2 2" xfId="23531"/>
    <cellStyle name="Normal 2 2 2 3 2 2 2 2" xfId="23532"/>
    <cellStyle name="Normal 2 2 2 3 2 2 2 3" xfId="23533"/>
    <cellStyle name="Normal 2 2 2 3 2 2 3" xfId="23534"/>
    <cellStyle name="Normal 2 2 2 3 2 2 4" xfId="23535"/>
    <cellStyle name="Normal 2 2 2 3 2 2 5" xfId="23536"/>
    <cellStyle name="Normal 2 2 2 3 2 2 6" xfId="23537"/>
    <cellStyle name="Normal 2 2 2 3 2 3" xfId="23538"/>
    <cellStyle name="Normal 2 2 2 3 2 3 2" xfId="23539"/>
    <cellStyle name="Normal 2 2 2 3 2 3 2 2" xfId="23540"/>
    <cellStyle name="Normal 2 2 2 3 2 3 3" xfId="23541"/>
    <cellStyle name="Normal 2 2 2 3 2 3 4" xfId="23542"/>
    <cellStyle name="Normal 2 2 2 3 2 3 5" xfId="23543"/>
    <cellStyle name="Normal 2 2 2 3 2 4" xfId="23544"/>
    <cellStyle name="Normal 2 2 2 3 2 4 2" xfId="23545"/>
    <cellStyle name="Normal 2 2 2 3 2 4 3" xfId="23546"/>
    <cellStyle name="Normal 2 2 2 3 2 4 4" xfId="23547"/>
    <cellStyle name="Normal 2 2 2 3 2 5" xfId="23548"/>
    <cellStyle name="Normal 2 2 2 3 2 5 2" xfId="23549"/>
    <cellStyle name="Normal 2 2 2 3 2 6" xfId="23550"/>
    <cellStyle name="Normal 2 2 2 3 2 7" xfId="23551"/>
    <cellStyle name="Normal 2 2 2 3 2 8" xfId="23552"/>
    <cellStyle name="Normal 2 2 2 3 2 9" xfId="23553"/>
    <cellStyle name="Normal 2 2 2 3 3" xfId="23554"/>
    <cellStyle name="Normal 2 2 2 3 3 2" xfId="23555"/>
    <cellStyle name="Normal 2 2 2 3 3 2 2" xfId="23556"/>
    <cellStyle name="Normal 2 2 2 3 3 2 2 2" xfId="23557"/>
    <cellStyle name="Normal 2 2 2 3 3 2 2 3" xfId="23558"/>
    <cellStyle name="Normal 2 2 2 3 3 2 3" xfId="23559"/>
    <cellStyle name="Normal 2 2 2 3 3 2 4" xfId="23560"/>
    <cellStyle name="Normal 2 2 2 3 3 2 5" xfId="23561"/>
    <cellStyle name="Normal 2 2 2 3 3 2 6" xfId="23562"/>
    <cellStyle name="Normal 2 2 2 3 3 3" xfId="23563"/>
    <cellStyle name="Normal 2 2 2 3 3 3 2" xfId="23564"/>
    <cellStyle name="Normal 2 2 2 3 3 3 2 2" xfId="23565"/>
    <cellStyle name="Normal 2 2 2 3 3 3 3" xfId="23566"/>
    <cellStyle name="Normal 2 2 2 3 3 3 4" xfId="23567"/>
    <cellStyle name="Normal 2 2 2 3 3 3 5" xfId="23568"/>
    <cellStyle name="Normal 2 2 2 3 3 4" xfId="23569"/>
    <cellStyle name="Normal 2 2 2 3 3 4 2" xfId="23570"/>
    <cellStyle name="Normal 2 2 2 3 3 4 3" xfId="23571"/>
    <cellStyle name="Normal 2 2 2 3 3 4 4" xfId="23572"/>
    <cellStyle name="Normal 2 2 2 3 3 5" xfId="23573"/>
    <cellStyle name="Normal 2 2 2 3 3 5 2" xfId="23574"/>
    <cellStyle name="Normal 2 2 2 3 3 6" xfId="23575"/>
    <cellStyle name="Normal 2 2 2 3 3 7" xfId="23576"/>
    <cellStyle name="Normal 2 2 2 3 3 8" xfId="23577"/>
    <cellStyle name="Normal 2 2 2 3 3 9" xfId="23578"/>
    <cellStyle name="Normal 2 2 2 3 4" xfId="23579"/>
    <cellStyle name="Normal 2 2 2 3 4 2" xfId="23580"/>
    <cellStyle name="Normal 2 2 2 3 4 2 2" xfId="23581"/>
    <cellStyle name="Normal 2 2 2 3 4 2 3" xfId="23582"/>
    <cellStyle name="Normal 2 2 2 3 4 3" xfId="23583"/>
    <cellStyle name="Normal 2 2 2 3 4 4" xfId="23584"/>
    <cellStyle name="Normal 2 2 2 3 4 5" xfId="23585"/>
    <cellStyle name="Normal 2 2 2 3 4 6" xfId="23586"/>
    <cellStyle name="Normal 2 2 2 3 5" xfId="23587"/>
    <cellStyle name="Normal 2 2 2 3 5 2" xfId="23588"/>
    <cellStyle name="Normal 2 2 2 3 5 2 2" xfId="23589"/>
    <cellStyle name="Normal 2 2 2 3 5 3" xfId="23590"/>
    <cellStyle name="Normal 2 2 2 3 5 4" xfId="23591"/>
    <cellStyle name="Normal 2 2 2 3 5 5" xfId="23592"/>
    <cellStyle name="Normal 2 2 2 3 6" xfId="23593"/>
    <cellStyle name="Normal 2 2 2 3 6 2" xfId="23594"/>
    <cellStyle name="Normal 2 2 2 3 6 3" xfId="23595"/>
    <cellStyle name="Normal 2 2 2 3 6 4" xfId="23596"/>
    <cellStyle name="Normal 2 2 2 3 7" xfId="23597"/>
    <cellStyle name="Normal 2 2 2 3 7 2" xfId="23598"/>
    <cellStyle name="Normal 2 2 2 3 8" xfId="23599"/>
    <cellStyle name="Normal 2 2 2 3 9" xfId="23600"/>
    <cellStyle name="Normal 2 2 2 30" xfId="23601"/>
    <cellStyle name="Normal 2 2 2 30 10" xfId="23602"/>
    <cellStyle name="Normal 2 2 2 30 2" xfId="23603"/>
    <cellStyle name="Normal 2 2 2 30 2 2" xfId="23604"/>
    <cellStyle name="Normal 2 2 2 30 2 2 2" xfId="23605"/>
    <cellStyle name="Normal 2 2 2 30 2 2 3" xfId="23606"/>
    <cellStyle name="Normal 2 2 2 30 2 3" xfId="23607"/>
    <cellStyle name="Normal 2 2 2 30 2 4" xfId="23608"/>
    <cellStyle name="Normal 2 2 2 30 2 5" xfId="23609"/>
    <cellStyle name="Normal 2 2 2 30 2 6" xfId="23610"/>
    <cellStyle name="Normal 2 2 2 30 3" xfId="23611"/>
    <cellStyle name="Normal 2 2 2 30 3 2" xfId="23612"/>
    <cellStyle name="Normal 2 2 2 30 3 2 2" xfId="23613"/>
    <cellStyle name="Normal 2 2 2 30 3 2 3" xfId="23614"/>
    <cellStyle name="Normal 2 2 2 30 3 3" xfId="23615"/>
    <cellStyle name="Normal 2 2 2 30 3 4" xfId="23616"/>
    <cellStyle name="Normal 2 2 2 30 3 5" xfId="23617"/>
    <cellStyle name="Normal 2 2 2 30 3 6" xfId="23618"/>
    <cellStyle name="Normal 2 2 2 30 4" xfId="23619"/>
    <cellStyle name="Normal 2 2 2 30 4 2" xfId="23620"/>
    <cellStyle name="Normal 2 2 2 30 4 2 2" xfId="23621"/>
    <cellStyle name="Normal 2 2 2 30 4 3" xfId="23622"/>
    <cellStyle name="Normal 2 2 2 30 4 4" xfId="23623"/>
    <cellStyle name="Normal 2 2 2 30 4 5" xfId="23624"/>
    <cellStyle name="Normal 2 2 2 30 5" xfId="23625"/>
    <cellStyle name="Normal 2 2 2 30 5 2" xfId="23626"/>
    <cellStyle name="Normal 2 2 2 30 5 3" xfId="23627"/>
    <cellStyle name="Normal 2 2 2 30 5 4" xfId="23628"/>
    <cellStyle name="Normal 2 2 2 30 6" xfId="23629"/>
    <cellStyle name="Normal 2 2 2 30 6 2" xfId="23630"/>
    <cellStyle name="Normal 2 2 2 30 7" xfId="23631"/>
    <cellStyle name="Normal 2 2 2 30 8" xfId="23632"/>
    <cellStyle name="Normal 2 2 2 30 9" xfId="23633"/>
    <cellStyle name="Normal 2 2 2 31" xfId="23634"/>
    <cellStyle name="Normal 2 2 2 31 10" xfId="23635"/>
    <cellStyle name="Normal 2 2 2 31 2" xfId="23636"/>
    <cellStyle name="Normal 2 2 2 31 2 2" xfId="23637"/>
    <cellStyle name="Normal 2 2 2 31 2 2 2" xfId="23638"/>
    <cellStyle name="Normal 2 2 2 31 2 2 3" xfId="23639"/>
    <cellStyle name="Normal 2 2 2 31 2 3" xfId="23640"/>
    <cellStyle name="Normal 2 2 2 31 2 4" xfId="23641"/>
    <cellStyle name="Normal 2 2 2 31 2 5" xfId="23642"/>
    <cellStyle name="Normal 2 2 2 31 2 6" xfId="23643"/>
    <cellStyle name="Normal 2 2 2 31 3" xfId="23644"/>
    <cellStyle name="Normal 2 2 2 31 3 2" xfId="23645"/>
    <cellStyle name="Normal 2 2 2 31 3 2 2" xfId="23646"/>
    <cellStyle name="Normal 2 2 2 31 3 2 3" xfId="23647"/>
    <cellStyle name="Normal 2 2 2 31 3 3" xfId="23648"/>
    <cellStyle name="Normal 2 2 2 31 3 4" xfId="23649"/>
    <cellStyle name="Normal 2 2 2 31 3 5" xfId="23650"/>
    <cellStyle name="Normal 2 2 2 31 3 6" xfId="23651"/>
    <cellStyle name="Normal 2 2 2 31 4" xfId="23652"/>
    <cellStyle name="Normal 2 2 2 31 4 2" xfId="23653"/>
    <cellStyle name="Normal 2 2 2 31 4 2 2" xfId="23654"/>
    <cellStyle name="Normal 2 2 2 31 4 3" xfId="23655"/>
    <cellStyle name="Normal 2 2 2 31 4 4" xfId="23656"/>
    <cellStyle name="Normal 2 2 2 31 4 5" xfId="23657"/>
    <cellStyle name="Normal 2 2 2 31 5" xfId="23658"/>
    <cellStyle name="Normal 2 2 2 31 5 2" xfId="23659"/>
    <cellStyle name="Normal 2 2 2 31 5 3" xfId="23660"/>
    <cellStyle name="Normal 2 2 2 31 5 4" xfId="23661"/>
    <cellStyle name="Normal 2 2 2 31 6" xfId="23662"/>
    <cellStyle name="Normal 2 2 2 31 6 2" xfId="23663"/>
    <cellStyle name="Normal 2 2 2 31 7" xfId="23664"/>
    <cellStyle name="Normal 2 2 2 31 8" xfId="23665"/>
    <cellStyle name="Normal 2 2 2 31 9" xfId="23666"/>
    <cellStyle name="Normal 2 2 2 32" xfId="23667"/>
    <cellStyle name="Normal 2 2 2 32 10" xfId="23668"/>
    <cellStyle name="Normal 2 2 2 32 2" xfId="23669"/>
    <cellStyle name="Normal 2 2 2 32 2 2" xfId="23670"/>
    <cellStyle name="Normal 2 2 2 32 2 2 2" xfId="23671"/>
    <cellStyle name="Normal 2 2 2 32 2 2 3" xfId="23672"/>
    <cellStyle name="Normal 2 2 2 32 2 3" xfId="23673"/>
    <cellStyle name="Normal 2 2 2 32 2 4" xfId="23674"/>
    <cellStyle name="Normal 2 2 2 32 2 5" xfId="23675"/>
    <cellStyle name="Normal 2 2 2 32 2 6" xfId="23676"/>
    <cellStyle name="Normal 2 2 2 32 3" xfId="23677"/>
    <cellStyle name="Normal 2 2 2 32 3 2" xfId="23678"/>
    <cellStyle name="Normal 2 2 2 32 3 2 2" xfId="23679"/>
    <cellStyle name="Normal 2 2 2 32 3 2 3" xfId="23680"/>
    <cellStyle name="Normal 2 2 2 32 3 3" xfId="23681"/>
    <cellStyle name="Normal 2 2 2 32 3 4" xfId="23682"/>
    <cellStyle name="Normal 2 2 2 32 3 5" xfId="23683"/>
    <cellStyle name="Normal 2 2 2 32 3 6" xfId="23684"/>
    <cellStyle name="Normal 2 2 2 32 4" xfId="23685"/>
    <cellStyle name="Normal 2 2 2 32 4 2" xfId="23686"/>
    <cellStyle name="Normal 2 2 2 32 4 2 2" xfId="23687"/>
    <cellStyle name="Normal 2 2 2 32 4 3" xfId="23688"/>
    <cellStyle name="Normal 2 2 2 32 4 4" xfId="23689"/>
    <cellStyle name="Normal 2 2 2 32 4 5" xfId="23690"/>
    <cellStyle name="Normal 2 2 2 32 5" xfId="23691"/>
    <cellStyle name="Normal 2 2 2 32 5 2" xfId="23692"/>
    <cellStyle name="Normal 2 2 2 32 5 3" xfId="23693"/>
    <cellStyle name="Normal 2 2 2 32 5 4" xfId="23694"/>
    <cellStyle name="Normal 2 2 2 32 6" xfId="23695"/>
    <cellStyle name="Normal 2 2 2 32 6 2" xfId="23696"/>
    <cellStyle name="Normal 2 2 2 32 7" xfId="23697"/>
    <cellStyle name="Normal 2 2 2 32 8" xfId="23698"/>
    <cellStyle name="Normal 2 2 2 32 9" xfId="23699"/>
    <cellStyle name="Normal 2 2 2 33" xfId="23700"/>
    <cellStyle name="Normal 2 2 2 33 2" xfId="23701"/>
    <cellStyle name="Normal 2 2 2 33 2 2" xfId="23702"/>
    <cellStyle name="Normal 2 2 2 33 2 2 2" xfId="23703"/>
    <cellStyle name="Normal 2 2 2 33 2 2 3" xfId="23704"/>
    <cellStyle name="Normal 2 2 2 33 2 3" xfId="23705"/>
    <cellStyle name="Normal 2 2 2 33 2 4" xfId="23706"/>
    <cellStyle name="Normal 2 2 2 33 2 5" xfId="23707"/>
    <cellStyle name="Normal 2 2 2 33 2 6" xfId="23708"/>
    <cellStyle name="Normal 2 2 2 33 3" xfId="23709"/>
    <cellStyle name="Normal 2 2 2 33 3 2" xfId="23710"/>
    <cellStyle name="Normal 2 2 2 33 3 2 2" xfId="23711"/>
    <cellStyle name="Normal 2 2 2 33 3 3" xfId="23712"/>
    <cellStyle name="Normal 2 2 2 33 3 4" xfId="23713"/>
    <cellStyle name="Normal 2 2 2 33 3 5" xfId="23714"/>
    <cellStyle name="Normal 2 2 2 33 4" xfId="23715"/>
    <cellStyle name="Normal 2 2 2 33 4 2" xfId="23716"/>
    <cellStyle name="Normal 2 2 2 33 4 3" xfId="23717"/>
    <cellStyle name="Normal 2 2 2 33 4 4" xfId="23718"/>
    <cellStyle name="Normal 2 2 2 33 5" xfId="23719"/>
    <cellStyle name="Normal 2 2 2 33 5 2" xfId="23720"/>
    <cellStyle name="Normal 2 2 2 33 6" xfId="23721"/>
    <cellStyle name="Normal 2 2 2 33 7" xfId="23722"/>
    <cellStyle name="Normal 2 2 2 33 8" xfId="23723"/>
    <cellStyle name="Normal 2 2 2 33 9" xfId="23724"/>
    <cellStyle name="Normal 2 2 2 34" xfId="23725"/>
    <cellStyle name="Normal 2 2 2 34 2" xfId="23726"/>
    <cellStyle name="Normal 2 2 2 34 3" xfId="23727"/>
    <cellStyle name="Normal 2 2 2 34 4" xfId="23728"/>
    <cellStyle name="Normal 2 2 2 35" xfId="23729"/>
    <cellStyle name="Normal 2 2 2 35 2" xfId="23730"/>
    <cellStyle name="Normal 2 2 2 35 2 2" xfId="23731"/>
    <cellStyle name="Normal 2 2 2 35 2 3" xfId="23732"/>
    <cellStyle name="Normal 2 2 2 35 3" xfId="23733"/>
    <cellStyle name="Normal 2 2 2 35 4" xfId="23734"/>
    <cellStyle name="Normal 2 2 2 35 5" xfId="23735"/>
    <cellStyle name="Normal 2 2 2 35 6" xfId="23736"/>
    <cellStyle name="Normal 2 2 2 36" xfId="23737"/>
    <cellStyle name="Normal 2 2 2 36 2" xfId="23738"/>
    <cellStyle name="Normal 2 2 2 36 2 2" xfId="23739"/>
    <cellStyle name="Normal 2 2 2 36 3" xfId="23740"/>
    <cellStyle name="Normal 2 2 2 36 4" xfId="23741"/>
    <cellStyle name="Normal 2 2 2 36 5" xfId="23742"/>
    <cellStyle name="Normal 2 2 2 36 6" xfId="23743"/>
    <cellStyle name="Normal 2 2 2 37" xfId="23744"/>
    <cellStyle name="Normal 2 2 2 37 2" xfId="23745"/>
    <cellStyle name="Normal 2 2 2 37 3" xfId="23746"/>
    <cellStyle name="Normal 2 2 2 38" xfId="23747"/>
    <cellStyle name="Normal 2 2 2 39" xfId="23748"/>
    <cellStyle name="Normal 2 2 2 4" xfId="23749"/>
    <cellStyle name="Normal 2 2 2 4 10" xfId="23750"/>
    <cellStyle name="Normal 2 2 2 4 11" xfId="23751"/>
    <cellStyle name="Normal 2 2 2 4 2" xfId="23752"/>
    <cellStyle name="Normal 2 2 2 4 2 2" xfId="23753"/>
    <cellStyle name="Normal 2 2 2 4 2 2 2" xfId="23754"/>
    <cellStyle name="Normal 2 2 2 4 2 2 2 2" xfId="23755"/>
    <cellStyle name="Normal 2 2 2 4 2 2 2 3" xfId="23756"/>
    <cellStyle name="Normal 2 2 2 4 2 2 3" xfId="23757"/>
    <cellStyle name="Normal 2 2 2 4 2 2 4" xfId="23758"/>
    <cellStyle name="Normal 2 2 2 4 2 2 5" xfId="23759"/>
    <cellStyle name="Normal 2 2 2 4 2 2 6" xfId="23760"/>
    <cellStyle name="Normal 2 2 2 4 2 3" xfId="23761"/>
    <cellStyle name="Normal 2 2 2 4 2 3 2" xfId="23762"/>
    <cellStyle name="Normal 2 2 2 4 2 3 2 2" xfId="23763"/>
    <cellStyle name="Normal 2 2 2 4 2 3 3" xfId="23764"/>
    <cellStyle name="Normal 2 2 2 4 2 3 4" xfId="23765"/>
    <cellStyle name="Normal 2 2 2 4 2 3 5" xfId="23766"/>
    <cellStyle name="Normal 2 2 2 4 2 4" xfId="23767"/>
    <cellStyle name="Normal 2 2 2 4 2 4 2" xfId="23768"/>
    <cellStyle name="Normal 2 2 2 4 2 4 3" xfId="23769"/>
    <cellStyle name="Normal 2 2 2 4 2 4 4" xfId="23770"/>
    <cellStyle name="Normal 2 2 2 4 2 5" xfId="23771"/>
    <cellStyle name="Normal 2 2 2 4 2 5 2" xfId="23772"/>
    <cellStyle name="Normal 2 2 2 4 2 6" xfId="23773"/>
    <cellStyle name="Normal 2 2 2 4 2 7" xfId="23774"/>
    <cellStyle name="Normal 2 2 2 4 2 8" xfId="23775"/>
    <cellStyle name="Normal 2 2 2 4 2 9" xfId="23776"/>
    <cellStyle name="Normal 2 2 2 4 3" xfId="23777"/>
    <cellStyle name="Normal 2 2 2 4 3 2" xfId="23778"/>
    <cellStyle name="Normal 2 2 2 4 3 2 2" xfId="23779"/>
    <cellStyle name="Normal 2 2 2 4 3 2 2 2" xfId="23780"/>
    <cellStyle name="Normal 2 2 2 4 3 2 2 3" xfId="23781"/>
    <cellStyle name="Normal 2 2 2 4 3 2 3" xfId="23782"/>
    <cellStyle name="Normal 2 2 2 4 3 2 4" xfId="23783"/>
    <cellStyle name="Normal 2 2 2 4 3 2 5" xfId="23784"/>
    <cellStyle name="Normal 2 2 2 4 3 2 6" xfId="23785"/>
    <cellStyle name="Normal 2 2 2 4 3 3" xfId="23786"/>
    <cellStyle name="Normal 2 2 2 4 3 3 2" xfId="23787"/>
    <cellStyle name="Normal 2 2 2 4 3 3 2 2" xfId="23788"/>
    <cellStyle name="Normal 2 2 2 4 3 3 3" xfId="23789"/>
    <cellStyle name="Normal 2 2 2 4 3 3 4" xfId="23790"/>
    <cellStyle name="Normal 2 2 2 4 3 3 5" xfId="23791"/>
    <cellStyle name="Normal 2 2 2 4 3 4" xfId="23792"/>
    <cellStyle name="Normal 2 2 2 4 3 4 2" xfId="23793"/>
    <cellStyle name="Normal 2 2 2 4 3 4 3" xfId="23794"/>
    <cellStyle name="Normal 2 2 2 4 3 4 4" xfId="23795"/>
    <cellStyle name="Normal 2 2 2 4 3 5" xfId="23796"/>
    <cellStyle name="Normal 2 2 2 4 3 5 2" xfId="23797"/>
    <cellStyle name="Normal 2 2 2 4 3 6" xfId="23798"/>
    <cellStyle name="Normal 2 2 2 4 3 7" xfId="23799"/>
    <cellStyle name="Normal 2 2 2 4 3 8" xfId="23800"/>
    <cellStyle name="Normal 2 2 2 4 3 9" xfId="23801"/>
    <cellStyle name="Normal 2 2 2 4 4" xfId="23802"/>
    <cellStyle name="Normal 2 2 2 4 4 2" xfId="23803"/>
    <cellStyle name="Normal 2 2 2 4 4 2 2" xfId="23804"/>
    <cellStyle name="Normal 2 2 2 4 4 2 3" xfId="23805"/>
    <cellStyle name="Normal 2 2 2 4 4 3" xfId="23806"/>
    <cellStyle name="Normal 2 2 2 4 4 4" xfId="23807"/>
    <cellStyle name="Normal 2 2 2 4 4 5" xfId="23808"/>
    <cellStyle name="Normal 2 2 2 4 4 6" xfId="23809"/>
    <cellStyle name="Normal 2 2 2 4 5" xfId="23810"/>
    <cellStyle name="Normal 2 2 2 4 5 2" xfId="23811"/>
    <cellStyle name="Normal 2 2 2 4 5 2 2" xfId="23812"/>
    <cellStyle name="Normal 2 2 2 4 5 3" xfId="23813"/>
    <cellStyle name="Normal 2 2 2 4 5 4" xfId="23814"/>
    <cellStyle name="Normal 2 2 2 4 5 5" xfId="23815"/>
    <cellStyle name="Normal 2 2 2 4 6" xfId="23816"/>
    <cellStyle name="Normal 2 2 2 4 6 2" xfId="23817"/>
    <cellStyle name="Normal 2 2 2 4 6 3" xfId="23818"/>
    <cellStyle name="Normal 2 2 2 4 6 4" xfId="23819"/>
    <cellStyle name="Normal 2 2 2 4 7" xfId="23820"/>
    <cellStyle name="Normal 2 2 2 4 7 2" xfId="23821"/>
    <cellStyle name="Normal 2 2 2 4 8" xfId="23822"/>
    <cellStyle name="Normal 2 2 2 4 9" xfId="23823"/>
    <cellStyle name="Normal 2 2 2 40" xfId="23824"/>
    <cellStyle name="Normal 2 2 2 41" xfId="23825"/>
    <cellStyle name="Normal 2 2 2 5" xfId="23826"/>
    <cellStyle name="Normal 2 2 2 5 10" xfId="23827"/>
    <cellStyle name="Normal 2 2 2 5 11" xfId="23828"/>
    <cellStyle name="Normal 2 2 2 5 2" xfId="23829"/>
    <cellStyle name="Normal 2 2 2 5 2 2" xfId="23830"/>
    <cellStyle name="Normal 2 2 2 5 2 2 2" xfId="23831"/>
    <cellStyle name="Normal 2 2 2 5 2 2 2 2" xfId="23832"/>
    <cellStyle name="Normal 2 2 2 5 2 2 2 3" xfId="23833"/>
    <cellStyle name="Normal 2 2 2 5 2 2 3" xfId="23834"/>
    <cellStyle name="Normal 2 2 2 5 2 2 4" xfId="23835"/>
    <cellStyle name="Normal 2 2 2 5 2 2 5" xfId="23836"/>
    <cellStyle name="Normal 2 2 2 5 2 2 6" xfId="23837"/>
    <cellStyle name="Normal 2 2 2 5 2 3" xfId="23838"/>
    <cellStyle name="Normal 2 2 2 5 2 3 2" xfId="23839"/>
    <cellStyle name="Normal 2 2 2 5 2 3 2 2" xfId="23840"/>
    <cellStyle name="Normal 2 2 2 5 2 3 3" xfId="23841"/>
    <cellStyle name="Normal 2 2 2 5 2 3 4" xfId="23842"/>
    <cellStyle name="Normal 2 2 2 5 2 3 5" xfId="23843"/>
    <cellStyle name="Normal 2 2 2 5 2 4" xfId="23844"/>
    <cellStyle name="Normal 2 2 2 5 2 4 2" xfId="23845"/>
    <cellStyle name="Normal 2 2 2 5 2 4 3" xfId="23846"/>
    <cellStyle name="Normal 2 2 2 5 2 4 4" xfId="23847"/>
    <cellStyle name="Normal 2 2 2 5 2 5" xfId="23848"/>
    <cellStyle name="Normal 2 2 2 5 2 5 2" xfId="23849"/>
    <cellStyle name="Normal 2 2 2 5 2 6" xfId="23850"/>
    <cellStyle name="Normal 2 2 2 5 2 7" xfId="23851"/>
    <cellStyle name="Normal 2 2 2 5 2 8" xfId="23852"/>
    <cellStyle name="Normal 2 2 2 5 2 9" xfId="23853"/>
    <cellStyle name="Normal 2 2 2 5 3" xfId="23854"/>
    <cellStyle name="Normal 2 2 2 5 3 2" xfId="23855"/>
    <cellStyle name="Normal 2 2 2 5 3 2 2" xfId="23856"/>
    <cellStyle name="Normal 2 2 2 5 3 2 2 2" xfId="23857"/>
    <cellStyle name="Normal 2 2 2 5 3 2 2 3" xfId="23858"/>
    <cellStyle name="Normal 2 2 2 5 3 2 3" xfId="23859"/>
    <cellStyle name="Normal 2 2 2 5 3 2 4" xfId="23860"/>
    <cellStyle name="Normal 2 2 2 5 3 2 5" xfId="23861"/>
    <cellStyle name="Normal 2 2 2 5 3 2 6" xfId="23862"/>
    <cellStyle name="Normal 2 2 2 5 3 3" xfId="23863"/>
    <cellStyle name="Normal 2 2 2 5 3 3 2" xfId="23864"/>
    <cellStyle name="Normal 2 2 2 5 3 3 2 2" xfId="23865"/>
    <cellStyle name="Normal 2 2 2 5 3 3 3" xfId="23866"/>
    <cellStyle name="Normal 2 2 2 5 3 3 4" xfId="23867"/>
    <cellStyle name="Normal 2 2 2 5 3 3 5" xfId="23868"/>
    <cellStyle name="Normal 2 2 2 5 3 4" xfId="23869"/>
    <cellStyle name="Normal 2 2 2 5 3 4 2" xfId="23870"/>
    <cellStyle name="Normal 2 2 2 5 3 4 3" xfId="23871"/>
    <cellStyle name="Normal 2 2 2 5 3 4 4" xfId="23872"/>
    <cellStyle name="Normal 2 2 2 5 3 5" xfId="23873"/>
    <cellStyle name="Normal 2 2 2 5 3 5 2" xfId="23874"/>
    <cellStyle name="Normal 2 2 2 5 3 6" xfId="23875"/>
    <cellStyle name="Normal 2 2 2 5 3 7" xfId="23876"/>
    <cellStyle name="Normal 2 2 2 5 3 8" xfId="23877"/>
    <cellStyle name="Normal 2 2 2 5 3 9" xfId="23878"/>
    <cellStyle name="Normal 2 2 2 5 4" xfId="23879"/>
    <cellStyle name="Normal 2 2 2 5 4 2" xfId="23880"/>
    <cellStyle name="Normal 2 2 2 5 4 2 2" xfId="23881"/>
    <cellStyle name="Normal 2 2 2 5 4 2 3" xfId="23882"/>
    <cellStyle name="Normal 2 2 2 5 4 3" xfId="23883"/>
    <cellStyle name="Normal 2 2 2 5 4 4" xfId="23884"/>
    <cellStyle name="Normal 2 2 2 5 4 5" xfId="23885"/>
    <cellStyle name="Normal 2 2 2 5 4 6" xfId="23886"/>
    <cellStyle name="Normal 2 2 2 5 5" xfId="23887"/>
    <cellStyle name="Normal 2 2 2 5 5 2" xfId="23888"/>
    <cellStyle name="Normal 2 2 2 5 5 2 2" xfId="23889"/>
    <cellStyle name="Normal 2 2 2 5 5 3" xfId="23890"/>
    <cellStyle name="Normal 2 2 2 5 5 4" xfId="23891"/>
    <cellStyle name="Normal 2 2 2 5 5 5" xfId="23892"/>
    <cellStyle name="Normal 2 2 2 5 6" xfId="23893"/>
    <cellStyle name="Normal 2 2 2 5 6 2" xfId="23894"/>
    <cellStyle name="Normal 2 2 2 5 6 3" xfId="23895"/>
    <cellStyle name="Normal 2 2 2 5 6 4" xfId="23896"/>
    <cellStyle name="Normal 2 2 2 5 7" xfId="23897"/>
    <cellStyle name="Normal 2 2 2 5 7 2" xfId="23898"/>
    <cellStyle name="Normal 2 2 2 5 8" xfId="23899"/>
    <cellStyle name="Normal 2 2 2 5 9" xfId="23900"/>
    <cellStyle name="Normal 2 2 2 6" xfId="23901"/>
    <cellStyle name="Normal 2 2 2 6 10" xfId="23902"/>
    <cellStyle name="Normal 2 2 2 6 11" xfId="23903"/>
    <cellStyle name="Normal 2 2 2 6 2" xfId="23904"/>
    <cellStyle name="Normal 2 2 2 6 2 2" xfId="23905"/>
    <cellStyle name="Normal 2 2 2 6 2 2 2" xfId="23906"/>
    <cellStyle name="Normal 2 2 2 6 2 2 2 2" xfId="23907"/>
    <cellStyle name="Normal 2 2 2 6 2 2 2 3" xfId="23908"/>
    <cellStyle name="Normal 2 2 2 6 2 2 3" xfId="23909"/>
    <cellStyle name="Normal 2 2 2 6 2 2 4" xfId="23910"/>
    <cellStyle name="Normal 2 2 2 6 2 2 5" xfId="23911"/>
    <cellStyle name="Normal 2 2 2 6 2 2 6" xfId="23912"/>
    <cellStyle name="Normal 2 2 2 6 2 3" xfId="23913"/>
    <cellStyle name="Normal 2 2 2 6 2 3 2" xfId="23914"/>
    <cellStyle name="Normal 2 2 2 6 2 3 2 2" xfId="23915"/>
    <cellStyle name="Normal 2 2 2 6 2 3 3" xfId="23916"/>
    <cellStyle name="Normal 2 2 2 6 2 3 4" xfId="23917"/>
    <cellStyle name="Normal 2 2 2 6 2 3 5" xfId="23918"/>
    <cellStyle name="Normal 2 2 2 6 2 4" xfId="23919"/>
    <cellStyle name="Normal 2 2 2 6 2 4 2" xfId="23920"/>
    <cellStyle name="Normal 2 2 2 6 2 4 3" xfId="23921"/>
    <cellStyle name="Normal 2 2 2 6 2 4 4" xfId="23922"/>
    <cellStyle name="Normal 2 2 2 6 2 5" xfId="23923"/>
    <cellStyle name="Normal 2 2 2 6 2 5 2" xfId="23924"/>
    <cellStyle name="Normal 2 2 2 6 2 6" xfId="23925"/>
    <cellStyle name="Normal 2 2 2 6 2 7" xfId="23926"/>
    <cellStyle name="Normal 2 2 2 6 2 8" xfId="23927"/>
    <cellStyle name="Normal 2 2 2 6 2 9" xfId="23928"/>
    <cellStyle name="Normal 2 2 2 6 3" xfId="23929"/>
    <cellStyle name="Normal 2 2 2 6 3 2" xfId="23930"/>
    <cellStyle name="Normal 2 2 2 6 3 2 2" xfId="23931"/>
    <cellStyle name="Normal 2 2 2 6 3 2 2 2" xfId="23932"/>
    <cellStyle name="Normal 2 2 2 6 3 2 2 3" xfId="23933"/>
    <cellStyle name="Normal 2 2 2 6 3 2 3" xfId="23934"/>
    <cellStyle name="Normal 2 2 2 6 3 2 4" xfId="23935"/>
    <cellStyle name="Normal 2 2 2 6 3 2 5" xfId="23936"/>
    <cellStyle name="Normal 2 2 2 6 3 2 6" xfId="23937"/>
    <cellStyle name="Normal 2 2 2 6 3 3" xfId="23938"/>
    <cellStyle name="Normal 2 2 2 6 3 3 2" xfId="23939"/>
    <cellStyle name="Normal 2 2 2 6 3 3 2 2" xfId="23940"/>
    <cellStyle name="Normal 2 2 2 6 3 3 3" xfId="23941"/>
    <cellStyle name="Normal 2 2 2 6 3 3 4" xfId="23942"/>
    <cellStyle name="Normal 2 2 2 6 3 3 5" xfId="23943"/>
    <cellStyle name="Normal 2 2 2 6 3 4" xfId="23944"/>
    <cellStyle name="Normal 2 2 2 6 3 4 2" xfId="23945"/>
    <cellStyle name="Normal 2 2 2 6 3 4 3" xfId="23946"/>
    <cellStyle name="Normal 2 2 2 6 3 4 4" xfId="23947"/>
    <cellStyle name="Normal 2 2 2 6 3 5" xfId="23948"/>
    <cellStyle name="Normal 2 2 2 6 3 5 2" xfId="23949"/>
    <cellStyle name="Normal 2 2 2 6 3 6" xfId="23950"/>
    <cellStyle name="Normal 2 2 2 6 3 7" xfId="23951"/>
    <cellStyle name="Normal 2 2 2 6 3 8" xfId="23952"/>
    <cellStyle name="Normal 2 2 2 6 3 9" xfId="23953"/>
    <cellStyle name="Normal 2 2 2 6 4" xfId="23954"/>
    <cellStyle name="Normal 2 2 2 6 4 2" xfId="23955"/>
    <cellStyle name="Normal 2 2 2 6 4 2 2" xfId="23956"/>
    <cellStyle name="Normal 2 2 2 6 4 2 3" xfId="23957"/>
    <cellStyle name="Normal 2 2 2 6 4 3" xfId="23958"/>
    <cellStyle name="Normal 2 2 2 6 4 4" xfId="23959"/>
    <cellStyle name="Normal 2 2 2 6 4 5" xfId="23960"/>
    <cellStyle name="Normal 2 2 2 6 4 6" xfId="23961"/>
    <cellStyle name="Normal 2 2 2 6 5" xfId="23962"/>
    <cellStyle name="Normal 2 2 2 6 5 2" xfId="23963"/>
    <cellStyle name="Normal 2 2 2 6 5 2 2" xfId="23964"/>
    <cellStyle name="Normal 2 2 2 6 5 3" xfId="23965"/>
    <cellStyle name="Normal 2 2 2 6 5 4" xfId="23966"/>
    <cellStyle name="Normal 2 2 2 6 5 5" xfId="23967"/>
    <cellStyle name="Normal 2 2 2 6 6" xfId="23968"/>
    <cellStyle name="Normal 2 2 2 6 6 2" xfId="23969"/>
    <cellStyle name="Normal 2 2 2 6 6 3" xfId="23970"/>
    <cellStyle name="Normal 2 2 2 6 6 4" xfId="23971"/>
    <cellStyle name="Normal 2 2 2 6 7" xfId="23972"/>
    <cellStyle name="Normal 2 2 2 6 7 2" xfId="23973"/>
    <cellStyle name="Normal 2 2 2 6 8" xfId="23974"/>
    <cellStyle name="Normal 2 2 2 6 9" xfId="23975"/>
    <cellStyle name="Normal 2 2 2 7" xfId="23976"/>
    <cellStyle name="Normal 2 2 2 7 10" xfId="23977"/>
    <cellStyle name="Normal 2 2 2 7 11" xfId="23978"/>
    <cellStyle name="Normal 2 2 2 7 2" xfId="23979"/>
    <cellStyle name="Normal 2 2 2 7 2 2" xfId="23980"/>
    <cellStyle name="Normal 2 2 2 7 2 2 2" xfId="23981"/>
    <cellStyle name="Normal 2 2 2 7 2 2 2 2" xfId="23982"/>
    <cellStyle name="Normal 2 2 2 7 2 2 2 3" xfId="23983"/>
    <cellStyle name="Normal 2 2 2 7 2 2 3" xfId="23984"/>
    <cellStyle name="Normal 2 2 2 7 2 2 4" xfId="23985"/>
    <cellStyle name="Normal 2 2 2 7 2 2 5" xfId="23986"/>
    <cellStyle name="Normal 2 2 2 7 2 2 6" xfId="23987"/>
    <cellStyle name="Normal 2 2 2 7 2 3" xfId="23988"/>
    <cellStyle name="Normal 2 2 2 7 2 3 2" xfId="23989"/>
    <cellStyle name="Normal 2 2 2 7 2 3 2 2" xfId="23990"/>
    <cellStyle name="Normal 2 2 2 7 2 3 3" xfId="23991"/>
    <cellStyle name="Normal 2 2 2 7 2 3 4" xfId="23992"/>
    <cellStyle name="Normal 2 2 2 7 2 3 5" xfId="23993"/>
    <cellStyle name="Normal 2 2 2 7 2 4" xfId="23994"/>
    <cellStyle name="Normal 2 2 2 7 2 4 2" xfId="23995"/>
    <cellStyle name="Normal 2 2 2 7 2 4 3" xfId="23996"/>
    <cellStyle name="Normal 2 2 2 7 2 4 4" xfId="23997"/>
    <cellStyle name="Normal 2 2 2 7 2 5" xfId="23998"/>
    <cellStyle name="Normal 2 2 2 7 2 5 2" xfId="23999"/>
    <cellStyle name="Normal 2 2 2 7 2 6" xfId="24000"/>
    <cellStyle name="Normal 2 2 2 7 2 7" xfId="24001"/>
    <cellStyle name="Normal 2 2 2 7 2 8" xfId="24002"/>
    <cellStyle name="Normal 2 2 2 7 2 9" xfId="24003"/>
    <cellStyle name="Normal 2 2 2 7 3" xfId="24004"/>
    <cellStyle name="Normal 2 2 2 7 3 2" xfId="24005"/>
    <cellStyle name="Normal 2 2 2 7 3 2 2" xfId="24006"/>
    <cellStyle name="Normal 2 2 2 7 3 2 2 2" xfId="24007"/>
    <cellStyle name="Normal 2 2 2 7 3 2 2 3" xfId="24008"/>
    <cellStyle name="Normal 2 2 2 7 3 2 3" xfId="24009"/>
    <cellStyle name="Normal 2 2 2 7 3 2 4" xfId="24010"/>
    <cellStyle name="Normal 2 2 2 7 3 2 5" xfId="24011"/>
    <cellStyle name="Normal 2 2 2 7 3 2 6" xfId="24012"/>
    <cellStyle name="Normal 2 2 2 7 3 3" xfId="24013"/>
    <cellStyle name="Normal 2 2 2 7 3 3 2" xfId="24014"/>
    <cellStyle name="Normal 2 2 2 7 3 3 2 2" xfId="24015"/>
    <cellStyle name="Normal 2 2 2 7 3 3 3" xfId="24016"/>
    <cellStyle name="Normal 2 2 2 7 3 3 4" xfId="24017"/>
    <cellStyle name="Normal 2 2 2 7 3 3 5" xfId="24018"/>
    <cellStyle name="Normal 2 2 2 7 3 4" xfId="24019"/>
    <cellStyle name="Normal 2 2 2 7 3 4 2" xfId="24020"/>
    <cellStyle name="Normal 2 2 2 7 3 4 3" xfId="24021"/>
    <cellStyle name="Normal 2 2 2 7 3 4 4" xfId="24022"/>
    <cellStyle name="Normal 2 2 2 7 3 5" xfId="24023"/>
    <cellStyle name="Normal 2 2 2 7 3 5 2" xfId="24024"/>
    <cellStyle name="Normal 2 2 2 7 3 6" xfId="24025"/>
    <cellStyle name="Normal 2 2 2 7 3 7" xfId="24026"/>
    <cellStyle name="Normal 2 2 2 7 3 8" xfId="24027"/>
    <cellStyle name="Normal 2 2 2 7 3 9" xfId="24028"/>
    <cellStyle name="Normal 2 2 2 7 4" xfId="24029"/>
    <cellStyle name="Normal 2 2 2 7 4 2" xfId="24030"/>
    <cellStyle name="Normal 2 2 2 7 4 2 2" xfId="24031"/>
    <cellStyle name="Normal 2 2 2 7 4 2 3" xfId="24032"/>
    <cellStyle name="Normal 2 2 2 7 4 3" xfId="24033"/>
    <cellStyle name="Normal 2 2 2 7 4 4" xfId="24034"/>
    <cellStyle name="Normal 2 2 2 7 4 5" xfId="24035"/>
    <cellStyle name="Normal 2 2 2 7 4 6" xfId="24036"/>
    <cellStyle name="Normal 2 2 2 7 5" xfId="24037"/>
    <cellStyle name="Normal 2 2 2 7 5 2" xfId="24038"/>
    <cellStyle name="Normal 2 2 2 7 5 2 2" xfId="24039"/>
    <cellStyle name="Normal 2 2 2 7 5 3" xfId="24040"/>
    <cellStyle name="Normal 2 2 2 7 5 4" xfId="24041"/>
    <cellStyle name="Normal 2 2 2 7 5 5" xfId="24042"/>
    <cellStyle name="Normal 2 2 2 7 6" xfId="24043"/>
    <cellStyle name="Normal 2 2 2 7 6 2" xfId="24044"/>
    <cellStyle name="Normal 2 2 2 7 6 3" xfId="24045"/>
    <cellStyle name="Normal 2 2 2 7 6 4" xfId="24046"/>
    <cellStyle name="Normal 2 2 2 7 7" xfId="24047"/>
    <cellStyle name="Normal 2 2 2 7 7 2" xfId="24048"/>
    <cellStyle name="Normal 2 2 2 7 8" xfId="24049"/>
    <cellStyle name="Normal 2 2 2 7 9" xfId="24050"/>
    <cellStyle name="Normal 2 2 2 8" xfId="24051"/>
    <cellStyle name="Normal 2 2 2 8 10" xfId="24052"/>
    <cellStyle name="Normal 2 2 2 8 2" xfId="24053"/>
    <cellStyle name="Normal 2 2 2 8 2 2" xfId="24054"/>
    <cellStyle name="Normal 2 2 2 8 2 2 2" xfId="24055"/>
    <cellStyle name="Normal 2 2 2 8 2 2 3" xfId="24056"/>
    <cellStyle name="Normal 2 2 2 8 2 3" xfId="24057"/>
    <cellStyle name="Normal 2 2 2 8 2 4" xfId="24058"/>
    <cellStyle name="Normal 2 2 2 8 2 5" xfId="24059"/>
    <cellStyle name="Normal 2 2 2 8 2 6" xfId="24060"/>
    <cellStyle name="Normal 2 2 2 8 3" xfId="24061"/>
    <cellStyle name="Normal 2 2 2 8 3 2" xfId="24062"/>
    <cellStyle name="Normal 2 2 2 8 3 2 2" xfId="24063"/>
    <cellStyle name="Normal 2 2 2 8 3 2 3" xfId="24064"/>
    <cellStyle name="Normal 2 2 2 8 3 3" xfId="24065"/>
    <cellStyle name="Normal 2 2 2 8 3 4" xfId="24066"/>
    <cellStyle name="Normal 2 2 2 8 3 5" xfId="24067"/>
    <cellStyle name="Normal 2 2 2 8 3 6" xfId="24068"/>
    <cellStyle name="Normal 2 2 2 8 4" xfId="24069"/>
    <cellStyle name="Normal 2 2 2 8 4 2" xfId="24070"/>
    <cellStyle name="Normal 2 2 2 8 4 2 2" xfId="24071"/>
    <cellStyle name="Normal 2 2 2 8 4 3" xfId="24072"/>
    <cellStyle name="Normal 2 2 2 8 4 4" xfId="24073"/>
    <cellStyle name="Normal 2 2 2 8 4 5" xfId="24074"/>
    <cellStyle name="Normal 2 2 2 8 5" xfId="24075"/>
    <cellStyle name="Normal 2 2 2 8 5 2" xfId="24076"/>
    <cellStyle name="Normal 2 2 2 8 5 3" xfId="24077"/>
    <cellStyle name="Normal 2 2 2 8 5 4" xfId="24078"/>
    <cellStyle name="Normal 2 2 2 8 6" xfId="24079"/>
    <cellStyle name="Normal 2 2 2 8 6 2" xfId="24080"/>
    <cellStyle name="Normal 2 2 2 8 7" xfId="24081"/>
    <cellStyle name="Normal 2 2 2 8 8" xfId="24082"/>
    <cellStyle name="Normal 2 2 2 8 9" xfId="24083"/>
    <cellStyle name="Normal 2 2 2 9" xfId="24084"/>
    <cellStyle name="Normal 2 2 2 9 10" xfId="24085"/>
    <cellStyle name="Normal 2 2 2 9 2" xfId="24086"/>
    <cellStyle name="Normal 2 2 2 9 2 2" xfId="24087"/>
    <cellStyle name="Normal 2 2 2 9 2 2 2" xfId="24088"/>
    <cellStyle name="Normal 2 2 2 9 2 2 3" xfId="24089"/>
    <cellStyle name="Normal 2 2 2 9 2 3" xfId="24090"/>
    <cellStyle name="Normal 2 2 2 9 2 4" xfId="24091"/>
    <cellStyle name="Normal 2 2 2 9 2 5" xfId="24092"/>
    <cellStyle name="Normal 2 2 2 9 2 6" xfId="24093"/>
    <cellStyle name="Normal 2 2 2 9 3" xfId="24094"/>
    <cellStyle name="Normal 2 2 2 9 3 2" xfId="24095"/>
    <cellStyle name="Normal 2 2 2 9 3 2 2" xfId="24096"/>
    <cellStyle name="Normal 2 2 2 9 3 2 3" xfId="24097"/>
    <cellStyle name="Normal 2 2 2 9 3 3" xfId="24098"/>
    <cellStyle name="Normal 2 2 2 9 3 4" xfId="24099"/>
    <cellStyle name="Normal 2 2 2 9 3 5" xfId="24100"/>
    <cellStyle name="Normal 2 2 2 9 3 6" xfId="24101"/>
    <cellStyle name="Normal 2 2 2 9 4" xfId="24102"/>
    <cellStyle name="Normal 2 2 2 9 4 2" xfId="24103"/>
    <cellStyle name="Normal 2 2 2 9 4 2 2" xfId="24104"/>
    <cellStyle name="Normal 2 2 2 9 4 3" xfId="24105"/>
    <cellStyle name="Normal 2 2 2 9 4 4" xfId="24106"/>
    <cellStyle name="Normal 2 2 2 9 4 5" xfId="24107"/>
    <cellStyle name="Normal 2 2 2 9 5" xfId="24108"/>
    <cellStyle name="Normal 2 2 2 9 5 2" xfId="24109"/>
    <cellStyle name="Normal 2 2 2 9 5 3" xfId="24110"/>
    <cellStyle name="Normal 2 2 2 9 5 4" xfId="24111"/>
    <cellStyle name="Normal 2 2 2 9 6" xfId="24112"/>
    <cellStyle name="Normal 2 2 2 9 6 2" xfId="24113"/>
    <cellStyle name="Normal 2 2 2 9 7" xfId="24114"/>
    <cellStyle name="Normal 2 2 2 9 8" xfId="24115"/>
    <cellStyle name="Normal 2 2 2 9 9" xfId="24116"/>
    <cellStyle name="Normal 2 2 20" xfId="24117"/>
    <cellStyle name="Normal 2 2 21" xfId="24118"/>
    <cellStyle name="Normal 2 2 22" xfId="24119"/>
    <cellStyle name="Normal 2 2 23" xfId="24120"/>
    <cellStyle name="Normal 2 2 24" xfId="24121"/>
    <cellStyle name="Normal 2 2 25" xfId="24122"/>
    <cellStyle name="Normal 2 2 25 2" xfId="24123"/>
    <cellStyle name="Normal 2 2 25 2 2" xfId="24124"/>
    <cellStyle name="Normal 2 2 25 2 2 2" xfId="24125"/>
    <cellStyle name="Normal 2 2 25 2 2 3" xfId="24126"/>
    <cellStyle name="Normal 2 2 25 2 3" xfId="24127"/>
    <cellStyle name="Normal 2 2 25 2 4" xfId="24128"/>
    <cellStyle name="Normal 2 2 25 2 5" xfId="24129"/>
    <cellStyle name="Normal 2 2 25 2 6" xfId="24130"/>
    <cellStyle name="Normal 2 2 25 3" xfId="24131"/>
    <cellStyle name="Normal 2 2 25 3 2" xfId="24132"/>
    <cellStyle name="Normal 2 2 25 3 2 2" xfId="24133"/>
    <cellStyle name="Normal 2 2 25 3 3" xfId="24134"/>
    <cellStyle name="Normal 2 2 25 3 4" xfId="24135"/>
    <cellStyle name="Normal 2 2 25 3 5" xfId="24136"/>
    <cellStyle name="Normal 2 2 25 4" xfId="24137"/>
    <cellStyle name="Normal 2 2 25 4 2" xfId="24138"/>
    <cellStyle name="Normal 2 2 25 4 3" xfId="24139"/>
    <cellStyle name="Normal 2 2 25 4 4" xfId="24140"/>
    <cellStyle name="Normal 2 2 25 5" xfId="24141"/>
    <cellStyle name="Normal 2 2 25 5 2" xfId="24142"/>
    <cellStyle name="Normal 2 2 25 6" xfId="24143"/>
    <cellStyle name="Normal 2 2 25 7" xfId="24144"/>
    <cellStyle name="Normal 2 2 25 8" xfId="24145"/>
    <cellStyle name="Normal 2 2 25 9" xfId="24146"/>
    <cellStyle name="Normal 2 2 26" xfId="24147"/>
    <cellStyle name="Normal 2 2 26 2" xfId="24148"/>
    <cellStyle name="Normal 2 2 26 2 2" xfId="24149"/>
    <cellStyle name="Normal 2 2 26 3" xfId="24150"/>
    <cellStyle name="Normal 2 2 26 4" xfId="24151"/>
    <cellStyle name="Normal 2 2 26 5" xfId="24152"/>
    <cellStyle name="Normal 2 2 26 6" xfId="24153"/>
    <cellStyle name="Normal 2 2 27" xfId="24154"/>
    <cellStyle name="Normal 2 2 27 2" xfId="24155"/>
    <cellStyle name="Normal 2 2 28" xfId="24156"/>
    <cellStyle name="Normal 2 2 28 2" xfId="24157"/>
    <cellStyle name="Normal 2 2 28 3" xfId="24158"/>
    <cellStyle name="Normal 2 2 29" xfId="24159"/>
    <cellStyle name="Normal 2 2 29 2" xfId="24160"/>
    <cellStyle name="Normal 2 2 29 3" xfId="24161"/>
    <cellStyle name="Normal 2 2 3" xfId="24162"/>
    <cellStyle name="Normal 2 2 3 2" xfId="24163"/>
    <cellStyle name="Normal 2 2 3 3" xfId="24164"/>
    <cellStyle name="Normal 2 2 3 4" xfId="24165"/>
    <cellStyle name="Normal 2 2 30" xfId="24166"/>
    <cellStyle name="Normal 2 2 31" xfId="24167"/>
    <cellStyle name="Normal 2 2 32" xfId="24168"/>
    <cellStyle name="Normal 2 2 33" xfId="24169"/>
    <cellStyle name="Normal 2 2 34" xfId="24170"/>
    <cellStyle name="Normal 2 2 35" xfId="24171"/>
    <cellStyle name="Normal 2 2 36" xfId="24172"/>
    <cellStyle name="Normal 2 2 37" xfId="24173"/>
    <cellStyle name="Normal 2 2 38" xfId="24174"/>
    <cellStyle name="Normal 2 2 39" xfId="24175"/>
    <cellStyle name="Normal 2 2 4" xfId="24176"/>
    <cellStyle name="Normal 2 2 4 2" xfId="24177"/>
    <cellStyle name="Normal 2 2 4 3" xfId="24178"/>
    <cellStyle name="Normal 2 2 4 3 2" xfId="24179"/>
    <cellStyle name="Normal 2 2 4 4" xfId="24180"/>
    <cellStyle name="Normal 2 2 40" xfId="24181"/>
    <cellStyle name="Normal 2 2 41" xfId="24182"/>
    <cellStyle name="Normal 2 2 42" xfId="24183"/>
    <cellStyle name="Normal 2 2 43" xfId="24184"/>
    <cellStyle name="Normal 2 2 44" xfId="24185"/>
    <cellStyle name="Normal 2 2 45" xfId="24186"/>
    <cellStyle name="Normal 2 2 46" xfId="24187"/>
    <cellStyle name="Normal 2 2 47" xfId="24188"/>
    <cellStyle name="Normal 2 2 48" xfId="24189"/>
    <cellStyle name="Normal 2 2 49" xfId="24190"/>
    <cellStyle name="Normal 2 2 5" xfId="24191"/>
    <cellStyle name="Normal 2 2 5 2" xfId="24192"/>
    <cellStyle name="Normal 2 2 5 3" xfId="24193"/>
    <cellStyle name="Normal 2 2 5 3 2" xfId="24194"/>
    <cellStyle name="Normal 2 2 5 4" xfId="24195"/>
    <cellStyle name="Normal 2 2 50" xfId="24196"/>
    <cellStyle name="Normal 2 2 51" xfId="24197"/>
    <cellStyle name="Normal 2 2 52" xfId="24198"/>
    <cellStyle name="Normal 2 2 53" xfId="24199"/>
    <cellStyle name="Normal 2 2 6" xfId="24200"/>
    <cellStyle name="Normal 2 2 6 2" xfId="24201"/>
    <cellStyle name="Normal 2 2 6 3" xfId="24202"/>
    <cellStyle name="Normal 2 2 6 3 2" xfId="24203"/>
    <cellStyle name="Normal 2 2 6 4" xfId="24204"/>
    <cellStyle name="Normal 2 2 7" xfId="24205"/>
    <cellStyle name="Normal 2 2 7 2" xfId="24206"/>
    <cellStyle name="Normal 2 2 7 3" xfId="24207"/>
    <cellStyle name="Normal 2 2 7 3 2" xfId="24208"/>
    <cellStyle name="Normal 2 2 7 4" xfId="24209"/>
    <cellStyle name="Normal 2 2 8" xfId="24210"/>
    <cellStyle name="Normal 2 2 8 2" xfId="24211"/>
    <cellStyle name="Normal 2 2 8 3" xfId="24212"/>
    <cellStyle name="Normal 2 2 8 3 2" xfId="24213"/>
    <cellStyle name="Normal 2 2 8 4" xfId="24214"/>
    <cellStyle name="Normal 2 2 9" xfId="24215"/>
    <cellStyle name="Normal 2 2 9 2" xfId="24216"/>
    <cellStyle name="Normal 2 2 9 3" xfId="24217"/>
    <cellStyle name="Normal 2 2 9 3 2" xfId="24218"/>
    <cellStyle name="Normal 2 2 9 4" xfId="24219"/>
    <cellStyle name="Normal 2 20" xfId="24220"/>
    <cellStyle name="Normal 2 20 10" xfId="24221"/>
    <cellStyle name="Normal 2 20 11" xfId="24222"/>
    <cellStyle name="Normal 2 20 2" xfId="24223"/>
    <cellStyle name="Normal 2 20 2 2" xfId="24224"/>
    <cellStyle name="Normal 2 20 3" xfId="24225"/>
    <cellStyle name="Normal 2 20 3 2" xfId="24226"/>
    <cellStyle name="Normal 2 20 3 2 2" xfId="24227"/>
    <cellStyle name="Normal 2 20 3 2 2 2" xfId="24228"/>
    <cellStyle name="Normal 2 20 3 2 2 3" xfId="24229"/>
    <cellStyle name="Normal 2 20 3 2 3" xfId="24230"/>
    <cellStyle name="Normal 2 20 3 2 4" xfId="24231"/>
    <cellStyle name="Normal 2 20 3 2 5" xfId="24232"/>
    <cellStyle name="Normal 2 20 3 2 6" xfId="24233"/>
    <cellStyle name="Normal 2 20 3 3" xfId="24234"/>
    <cellStyle name="Normal 2 20 3 3 2" xfId="24235"/>
    <cellStyle name="Normal 2 20 3 3 2 2" xfId="24236"/>
    <cellStyle name="Normal 2 20 3 3 3" xfId="24237"/>
    <cellStyle name="Normal 2 20 3 3 4" xfId="24238"/>
    <cellStyle name="Normal 2 20 3 3 5" xfId="24239"/>
    <cellStyle name="Normal 2 20 3 4" xfId="24240"/>
    <cellStyle name="Normal 2 20 3 4 2" xfId="24241"/>
    <cellStyle name="Normal 2 20 3 4 3" xfId="24242"/>
    <cellStyle name="Normal 2 20 3 4 4" xfId="24243"/>
    <cellStyle name="Normal 2 20 3 5" xfId="24244"/>
    <cellStyle name="Normal 2 20 3 5 2" xfId="24245"/>
    <cellStyle name="Normal 2 20 3 6" xfId="24246"/>
    <cellStyle name="Normal 2 20 3 7" xfId="24247"/>
    <cellStyle name="Normal 2 20 3 8" xfId="24248"/>
    <cellStyle name="Normal 2 20 3 9" xfId="24249"/>
    <cellStyle name="Normal 2 20 4" xfId="24250"/>
    <cellStyle name="Normal 2 20 4 2" xfId="24251"/>
    <cellStyle name="Normal 2 20 4 2 2" xfId="24252"/>
    <cellStyle name="Normal 2 20 4 2 2 2" xfId="24253"/>
    <cellStyle name="Normal 2 20 4 2 2 3" xfId="24254"/>
    <cellStyle name="Normal 2 20 4 2 3" xfId="24255"/>
    <cellStyle name="Normal 2 20 4 2 4" xfId="24256"/>
    <cellStyle name="Normal 2 20 4 2 5" xfId="24257"/>
    <cellStyle name="Normal 2 20 4 2 6" xfId="24258"/>
    <cellStyle name="Normal 2 20 4 3" xfId="24259"/>
    <cellStyle name="Normal 2 20 4 3 2" xfId="24260"/>
    <cellStyle name="Normal 2 20 4 3 2 2" xfId="24261"/>
    <cellStyle name="Normal 2 20 4 3 3" xfId="24262"/>
    <cellStyle name="Normal 2 20 4 3 4" xfId="24263"/>
    <cellStyle name="Normal 2 20 4 3 5" xfId="24264"/>
    <cellStyle name="Normal 2 20 4 4" xfId="24265"/>
    <cellStyle name="Normal 2 20 4 4 2" xfId="24266"/>
    <cellStyle name="Normal 2 20 4 4 3" xfId="24267"/>
    <cellStyle name="Normal 2 20 4 4 4" xfId="24268"/>
    <cellStyle name="Normal 2 20 4 5" xfId="24269"/>
    <cellStyle name="Normal 2 20 4 5 2" xfId="24270"/>
    <cellStyle name="Normal 2 20 4 6" xfId="24271"/>
    <cellStyle name="Normal 2 20 4 7" xfId="24272"/>
    <cellStyle name="Normal 2 20 4 8" xfId="24273"/>
    <cellStyle name="Normal 2 20 4 9" xfId="24274"/>
    <cellStyle name="Normal 2 20 5" xfId="24275"/>
    <cellStyle name="Normal 2 20 5 2" xfId="24276"/>
    <cellStyle name="Normal 2 20 5 2 2" xfId="24277"/>
    <cellStyle name="Normal 2 20 5 2 3" xfId="24278"/>
    <cellStyle name="Normal 2 20 5 3" xfId="24279"/>
    <cellStyle name="Normal 2 20 5 4" xfId="24280"/>
    <cellStyle name="Normal 2 20 5 5" xfId="24281"/>
    <cellStyle name="Normal 2 20 5 6" xfId="24282"/>
    <cellStyle name="Normal 2 20 6" xfId="24283"/>
    <cellStyle name="Normal 2 20 6 2" xfId="24284"/>
    <cellStyle name="Normal 2 20 6 2 2" xfId="24285"/>
    <cellStyle name="Normal 2 20 6 3" xfId="24286"/>
    <cellStyle name="Normal 2 20 6 4" xfId="24287"/>
    <cellStyle name="Normal 2 20 6 5" xfId="24288"/>
    <cellStyle name="Normal 2 20 6 6" xfId="24289"/>
    <cellStyle name="Normal 2 20 7" xfId="24290"/>
    <cellStyle name="Normal 2 20 7 2" xfId="24291"/>
    <cellStyle name="Normal 2 20 7 3" xfId="24292"/>
    <cellStyle name="Normal 2 20 7 4" xfId="24293"/>
    <cellStyle name="Normal 2 20 7 5" xfId="24294"/>
    <cellStyle name="Normal 2 20 8" xfId="24295"/>
    <cellStyle name="Normal 2 20 8 2" xfId="24296"/>
    <cellStyle name="Normal 2 20 9" xfId="24297"/>
    <cellStyle name="Normal 2 21" xfId="24298"/>
    <cellStyle name="Normal 2 21 2" xfId="24299"/>
    <cellStyle name="Normal 2 21 2 2" xfId="24300"/>
    <cellStyle name="Normal 2 21 3" xfId="24301"/>
    <cellStyle name="Normal 2 21 3 2" xfId="24302"/>
    <cellStyle name="Normal 2 21 3 2 2" xfId="24303"/>
    <cellStyle name="Normal 2 21 3 2 2 2" xfId="24304"/>
    <cellStyle name="Normal 2 21 3 2 2 3" xfId="24305"/>
    <cellStyle name="Normal 2 21 3 2 3" xfId="24306"/>
    <cellStyle name="Normal 2 21 3 2 4" xfId="24307"/>
    <cellStyle name="Normal 2 21 3 2 5" xfId="24308"/>
    <cellStyle name="Normal 2 21 3 2 6" xfId="24309"/>
    <cellStyle name="Normal 2 21 3 3" xfId="24310"/>
    <cellStyle name="Normal 2 21 3 3 2" xfId="24311"/>
    <cellStyle name="Normal 2 21 3 3 2 2" xfId="24312"/>
    <cellStyle name="Normal 2 21 3 3 3" xfId="24313"/>
    <cellStyle name="Normal 2 21 3 3 4" xfId="24314"/>
    <cellStyle name="Normal 2 21 3 3 5" xfId="24315"/>
    <cellStyle name="Normal 2 21 3 4" xfId="24316"/>
    <cellStyle name="Normal 2 21 3 4 2" xfId="24317"/>
    <cellStyle name="Normal 2 21 3 4 3" xfId="24318"/>
    <cellStyle name="Normal 2 21 3 4 4" xfId="24319"/>
    <cellStyle name="Normal 2 21 3 5" xfId="24320"/>
    <cellStyle name="Normal 2 21 3 5 2" xfId="24321"/>
    <cellStyle name="Normal 2 21 3 6" xfId="24322"/>
    <cellStyle name="Normal 2 21 3 7" xfId="24323"/>
    <cellStyle name="Normal 2 21 3 8" xfId="24324"/>
    <cellStyle name="Normal 2 21 3 9" xfId="24325"/>
    <cellStyle name="Normal 2 21 4" xfId="24326"/>
    <cellStyle name="Normal 2 21 4 2" xfId="24327"/>
    <cellStyle name="Normal 2 21 4 2 2" xfId="24328"/>
    <cellStyle name="Normal 2 21 4 3" xfId="24329"/>
    <cellStyle name="Normal 2 21 4 4" xfId="24330"/>
    <cellStyle name="Normal 2 21 4 5" xfId="24331"/>
    <cellStyle name="Normal 2 21 4 6" xfId="24332"/>
    <cellStyle name="Normal 2 21 5" xfId="24333"/>
    <cellStyle name="Normal 2 21 5 2" xfId="24334"/>
    <cellStyle name="Normal 2 21 5 3" xfId="24335"/>
    <cellStyle name="Normal 2 21 6" xfId="24336"/>
    <cellStyle name="Normal 2 21 7" xfId="24337"/>
    <cellStyle name="Normal 2 22" xfId="24338"/>
    <cellStyle name="Normal 2 22 2" xfId="24339"/>
    <cellStyle name="Normal 2 22 2 2" xfId="24340"/>
    <cellStyle name="Normal 2 22 3" xfId="24341"/>
    <cellStyle name="Normal 2 22 3 2" xfId="24342"/>
    <cellStyle name="Normal 2 22 3 2 2" xfId="24343"/>
    <cellStyle name="Normal 2 22 3 2 2 2" xfId="24344"/>
    <cellStyle name="Normal 2 22 3 2 2 3" xfId="24345"/>
    <cellStyle name="Normal 2 22 3 2 3" xfId="24346"/>
    <cellStyle name="Normal 2 22 3 2 4" xfId="24347"/>
    <cellStyle name="Normal 2 22 3 2 5" xfId="24348"/>
    <cellStyle name="Normal 2 22 3 2 6" xfId="24349"/>
    <cellStyle name="Normal 2 22 3 3" xfId="24350"/>
    <cellStyle name="Normal 2 22 3 3 2" xfId="24351"/>
    <cellStyle name="Normal 2 22 3 3 2 2" xfId="24352"/>
    <cellStyle name="Normal 2 22 3 3 3" xfId="24353"/>
    <cellStyle name="Normal 2 22 3 3 4" xfId="24354"/>
    <cellStyle name="Normal 2 22 3 3 5" xfId="24355"/>
    <cellStyle name="Normal 2 22 3 4" xfId="24356"/>
    <cellStyle name="Normal 2 22 3 4 2" xfId="24357"/>
    <cellStyle name="Normal 2 22 3 4 3" xfId="24358"/>
    <cellStyle name="Normal 2 22 3 4 4" xfId="24359"/>
    <cellStyle name="Normal 2 22 3 5" xfId="24360"/>
    <cellStyle name="Normal 2 22 3 5 2" xfId="24361"/>
    <cellStyle name="Normal 2 22 3 6" xfId="24362"/>
    <cellStyle name="Normal 2 22 3 7" xfId="24363"/>
    <cellStyle name="Normal 2 22 3 8" xfId="24364"/>
    <cellStyle name="Normal 2 22 3 9" xfId="24365"/>
    <cellStyle name="Normal 2 22 4" xfId="24366"/>
    <cellStyle name="Normal 2 22 4 2" xfId="24367"/>
    <cellStyle name="Normal 2 22 4 2 2" xfId="24368"/>
    <cellStyle name="Normal 2 22 4 3" xfId="24369"/>
    <cellStyle name="Normal 2 22 4 4" xfId="24370"/>
    <cellStyle name="Normal 2 22 4 5" xfId="24371"/>
    <cellStyle name="Normal 2 22 4 6" xfId="24372"/>
    <cellStyle name="Normal 2 22 5" xfId="24373"/>
    <cellStyle name="Normal 2 22 5 2" xfId="24374"/>
    <cellStyle name="Normal 2 22 5 3" xfId="24375"/>
    <cellStyle name="Normal 2 22 6" xfId="24376"/>
    <cellStyle name="Normal 2 22 7" xfId="24377"/>
    <cellStyle name="Normal 2 23" xfId="24378"/>
    <cellStyle name="Normal 2 23 2" xfId="24379"/>
    <cellStyle name="Normal 2 23 2 2" xfId="24380"/>
    <cellStyle name="Normal 2 23 3" xfId="24381"/>
    <cellStyle name="Normal 2 23 3 2" xfId="24382"/>
    <cellStyle name="Normal 2 23 3 2 2" xfId="24383"/>
    <cellStyle name="Normal 2 23 3 2 2 2" xfId="24384"/>
    <cellStyle name="Normal 2 23 3 2 2 3" xfId="24385"/>
    <cellStyle name="Normal 2 23 3 2 3" xfId="24386"/>
    <cellStyle name="Normal 2 23 3 2 4" xfId="24387"/>
    <cellStyle name="Normal 2 23 3 2 5" xfId="24388"/>
    <cellStyle name="Normal 2 23 3 2 6" xfId="24389"/>
    <cellStyle name="Normal 2 23 3 3" xfId="24390"/>
    <cellStyle name="Normal 2 23 3 3 2" xfId="24391"/>
    <cellStyle name="Normal 2 23 3 3 2 2" xfId="24392"/>
    <cellStyle name="Normal 2 23 3 3 3" xfId="24393"/>
    <cellStyle name="Normal 2 23 3 3 4" xfId="24394"/>
    <cellStyle name="Normal 2 23 3 3 5" xfId="24395"/>
    <cellStyle name="Normal 2 23 3 4" xfId="24396"/>
    <cellStyle name="Normal 2 23 3 4 2" xfId="24397"/>
    <cellStyle name="Normal 2 23 3 4 3" xfId="24398"/>
    <cellStyle name="Normal 2 23 3 4 4" xfId="24399"/>
    <cellStyle name="Normal 2 23 3 5" xfId="24400"/>
    <cellStyle name="Normal 2 23 3 5 2" xfId="24401"/>
    <cellStyle name="Normal 2 23 3 6" xfId="24402"/>
    <cellStyle name="Normal 2 23 3 7" xfId="24403"/>
    <cellStyle name="Normal 2 23 3 8" xfId="24404"/>
    <cellStyle name="Normal 2 23 3 9" xfId="24405"/>
    <cellStyle name="Normal 2 23 4" xfId="24406"/>
    <cellStyle name="Normal 2 23 4 2" xfId="24407"/>
    <cellStyle name="Normal 2 23 4 2 2" xfId="24408"/>
    <cellStyle name="Normal 2 23 4 3" xfId="24409"/>
    <cellStyle name="Normal 2 23 4 4" xfId="24410"/>
    <cellStyle name="Normal 2 23 4 5" xfId="24411"/>
    <cellStyle name="Normal 2 23 4 6" xfId="24412"/>
    <cellStyle name="Normal 2 23 5" xfId="24413"/>
    <cellStyle name="Normal 2 23 5 2" xfId="24414"/>
    <cellStyle name="Normal 2 23 5 3" xfId="24415"/>
    <cellStyle name="Normal 2 23 6" xfId="24416"/>
    <cellStyle name="Normal 2 23 7" xfId="24417"/>
    <cellStyle name="Normal 2 24" xfId="24418"/>
    <cellStyle name="Normal 2 24 2" xfId="24419"/>
    <cellStyle name="Normal 2 24 2 2" xfId="24420"/>
    <cellStyle name="Normal 2 24 3" xfId="24421"/>
    <cellStyle name="Normal 2 24 3 2" xfId="24422"/>
    <cellStyle name="Normal 2 24 3 2 2" xfId="24423"/>
    <cellStyle name="Normal 2 24 3 2 2 2" xfId="24424"/>
    <cellStyle name="Normal 2 24 3 2 2 3" xfId="24425"/>
    <cellStyle name="Normal 2 24 3 2 3" xfId="24426"/>
    <cellStyle name="Normal 2 24 3 2 4" xfId="24427"/>
    <cellStyle name="Normal 2 24 3 2 5" xfId="24428"/>
    <cellStyle name="Normal 2 24 3 2 6" xfId="24429"/>
    <cellStyle name="Normal 2 24 3 3" xfId="24430"/>
    <cellStyle name="Normal 2 24 3 3 2" xfId="24431"/>
    <cellStyle name="Normal 2 24 3 3 2 2" xfId="24432"/>
    <cellStyle name="Normal 2 24 3 3 3" xfId="24433"/>
    <cellStyle name="Normal 2 24 3 3 4" xfId="24434"/>
    <cellStyle name="Normal 2 24 3 3 5" xfId="24435"/>
    <cellStyle name="Normal 2 24 3 4" xfId="24436"/>
    <cellStyle name="Normal 2 24 3 4 2" xfId="24437"/>
    <cellStyle name="Normal 2 24 3 4 3" xfId="24438"/>
    <cellStyle name="Normal 2 24 3 4 4" xfId="24439"/>
    <cellStyle name="Normal 2 24 3 5" xfId="24440"/>
    <cellStyle name="Normal 2 24 3 5 2" xfId="24441"/>
    <cellStyle name="Normal 2 24 3 6" xfId="24442"/>
    <cellStyle name="Normal 2 24 3 7" xfId="24443"/>
    <cellStyle name="Normal 2 24 3 8" xfId="24444"/>
    <cellStyle name="Normal 2 24 3 9" xfId="24445"/>
    <cellStyle name="Normal 2 24 4" xfId="24446"/>
    <cellStyle name="Normal 2 24 4 2" xfId="24447"/>
    <cellStyle name="Normal 2 24 4 2 2" xfId="24448"/>
    <cellStyle name="Normal 2 24 4 3" xfId="24449"/>
    <cellStyle name="Normal 2 24 4 4" xfId="24450"/>
    <cellStyle name="Normal 2 24 4 5" xfId="24451"/>
    <cellStyle name="Normal 2 24 4 6" xfId="24452"/>
    <cellStyle name="Normal 2 24 5" xfId="24453"/>
    <cellStyle name="Normal 2 24 5 2" xfId="24454"/>
    <cellStyle name="Normal 2 24 5 3" xfId="24455"/>
    <cellStyle name="Normal 2 24 6" xfId="24456"/>
    <cellStyle name="Normal 2 24 7" xfId="24457"/>
    <cellStyle name="Normal 2 25" xfId="24458"/>
    <cellStyle name="Normal 2 25 2" xfId="24459"/>
    <cellStyle name="Normal 2 25 2 2" xfId="24460"/>
    <cellStyle name="Normal 2 25 3" xfId="24461"/>
    <cellStyle name="Normal 2 25 3 2" xfId="24462"/>
    <cellStyle name="Normal 2 25 3 2 2" xfId="24463"/>
    <cellStyle name="Normal 2 25 3 2 2 2" xfId="24464"/>
    <cellStyle name="Normal 2 25 3 2 2 3" xfId="24465"/>
    <cellStyle name="Normal 2 25 3 2 3" xfId="24466"/>
    <cellStyle name="Normal 2 25 3 2 4" xfId="24467"/>
    <cellStyle name="Normal 2 25 3 2 5" xfId="24468"/>
    <cellStyle name="Normal 2 25 3 2 6" xfId="24469"/>
    <cellStyle name="Normal 2 25 3 3" xfId="24470"/>
    <cellStyle name="Normal 2 25 3 3 2" xfId="24471"/>
    <cellStyle name="Normal 2 25 3 3 2 2" xfId="24472"/>
    <cellStyle name="Normal 2 25 3 3 3" xfId="24473"/>
    <cellStyle name="Normal 2 25 3 3 4" xfId="24474"/>
    <cellStyle name="Normal 2 25 3 3 5" xfId="24475"/>
    <cellStyle name="Normal 2 25 3 4" xfId="24476"/>
    <cellStyle name="Normal 2 25 3 4 2" xfId="24477"/>
    <cellStyle name="Normal 2 25 3 4 3" xfId="24478"/>
    <cellStyle name="Normal 2 25 3 4 4" xfId="24479"/>
    <cellStyle name="Normal 2 25 3 5" xfId="24480"/>
    <cellStyle name="Normal 2 25 3 5 2" xfId="24481"/>
    <cellStyle name="Normal 2 25 3 6" xfId="24482"/>
    <cellStyle name="Normal 2 25 3 7" xfId="24483"/>
    <cellStyle name="Normal 2 25 3 8" xfId="24484"/>
    <cellStyle name="Normal 2 25 3 9" xfId="24485"/>
    <cellStyle name="Normal 2 25 4" xfId="24486"/>
    <cellStyle name="Normal 2 25 4 2" xfId="24487"/>
    <cellStyle name="Normal 2 25 4 2 2" xfId="24488"/>
    <cellStyle name="Normal 2 25 4 3" xfId="24489"/>
    <cellStyle name="Normal 2 25 4 4" xfId="24490"/>
    <cellStyle name="Normal 2 25 4 5" xfId="24491"/>
    <cellStyle name="Normal 2 25 4 6" xfId="24492"/>
    <cellStyle name="Normal 2 25 5" xfId="24493"/>
    <cellStyle name="Normal 2 25 5 2" xfId="24494"/>
    <cellStyle name="Normal 2 25 5 3" xfId="24495"/>
    <cellStyle name="Normal 2 25 6" xfId="24496"/>
    <cellStyle name="Normal 2 25 7" xfId="24497"/>
    <cellStyle name="Normal 2 26" xfId="24498"/>
    <cellStyle name="Normal 2 26 2" xfId="24499"/>
    <cellStyle name="Normal 2 26 2 2" xfId="24500"/>
    <cellStyle name="Normal 2 26 3" xfId="24501"/>
    <cellStyle name="Normal 2 26 3 2" xfId="24502"/>
    <cellStyle name="Normal 2 26 3 2 2" xfId="24503"/>
    <cellStyle name="Normal 2 26 3 2 2 2" xfId="24504"/>
    <cellStyle name="Normal 2 26 3 2 2 3" xfId="24505"/>
    <cellStyle name="Normal 2 26 3 2 3" xfId="24506"/>
    <cellStyle name="Normal 2 26 3 2 4" xfId="24507"/>
    <cellStyle name="Normal 2 26 3 2 5" xfId="24508"/>
    <cellStyle name="Normal 2 26 3 2 6" xfId="24509"/>
    <cellStyle name="Normal 2 26 3 3" xfId="24510"/>
    <cellStyle name="Normal 2 26 3 3 2" xfId="24511"/>
    <cellStyle name="Normal 2 26 3 3 2 2" xfId="24512"/>
    <cellStyle name="Normal 2 26 3 3 3" xfId="24513"/>
    <cellStyle name="Normal 2 26 3 3 4" xfId="24514"/>
    <cellStyle name="Normal 2 26 3 3 5" xfId="24515"/>
    <cellStyle name="Normal 2 26 3 4" xfId="24516"/>
    <cellStyle name="Normal 2 26 3 4 2" xfId="24517"/>
    <cellStyle name="Normal 2 26 3 4 3" xfId="24518"/>
    <cellStyle name="Normal 2 26 3 4 4" xfId="24519"/>
    <cellStyle name="Normal 2 26 3 5" xfId="24520"/>
    <cellStyle name="Normal 2 26 3 5 2" xfId="24521"/>
    <cellStyle name="Normal 2 26 3 6" xfId="24522"/>
    <cellStyle name="Normal 2 26 3 7" xfId="24523"/>
    <cellStyle name="Normal 2 26 3 8" xfId="24524"/>
    <cellStyle name="Normal 2 26 3 9" xfId="24525"/>
    <cellStyle name="Normal 2 26 4" xfId="24526"/>
    <cellStyle name="Normal 2 26 4 2" xfId="24527"/>
    <cellStyle name="Normal 2 26 4 2 2" xfId="24528"/>
    <cellStyle name="Normal 2 26 4 3" xfId="24529"/>
    <cellStyle name="Normal 2 26 4 4" xfId="24530"/>
    <cellStyle name="Normal 2 26 4 5" xfId="24531"/>
    <cellStyle name="Normal 2 26 4 6" xfId="24532"/>
    <cellStyle name="Normal 2 26 5" xfId="24533"/>
    <cellStyle name="Normal 2 26 5 2" xfId="24534"/>
    <cellStyle name="Normal 2 26 5 3" xfId="24535"/>
    <cellStyle name="Normal 2 26 6" xfId="24536"/>
    <cellStyle name="Normal 2 26 7" xfId="24537"/>
    <cellStyle name="Normal 2 27" xfId="24538"/>
    <cellStyle name="Normal 2 27 2" xfId="24539"/>
    <cellStyle name="Normal 2 27 2 2" xfId="24540"/>
    <cellStyle name="Normal 2 27 3" xfId="24541"/>
    <cellStyle name="Normal 2 27 3 2" xfId="24542"/>
    <cellStyle name="Normal 2 27 3 2 2" xfId="24543"/>
    <cellStyle name="Normal 2 27 3 2 2 2" xfId="24544"/>
    <cellStyle name="Normal 2 27 3 2 2 3" xfId="24545"/>
    <cellStyle name="Normal 2 27 3 2 3" xfId="24546"/>
    <cellStyle name="Normal 2 27 3 2 4" xfId="24547"/>
    <cellStyle name="Normal 2 27 3 2 5" xfId="24548"/>
    <cellStyle name="Normal 2 27 3 2 6" xfId="24549"/>
    <cellStyle name="Normal 2 27 3 3" xfId="24550"/>
    <cellStyle name="Normal 2 27 3 3 2" xfId="24551"/>
    <cellStyle name="Normal 2 27 3 3 2 2" xfId="24552"/>
    <cellStyle name="Normal 2 27 3 3 3" xfId="24553"/>
    <cellStyle name="Normal 2 27 3 3 4" xfId="24554"/>
    <cellStyle name="Normal 2 27 3 3 5" xfId="24555"/>
    <cellStyle name="Normal 2 27 3 4" xfId="24556"/>
    <cellStyle name="Normal 2 27 3 4 2" xfId="24557"/>
    <cellStyle name="Normal 2 27 3 4 3" xfId="24558"/>
    <cellStyle name="Normal 2 27 3 4 4" xfId="24559"/>
    <cellStyle name="Normal 2 27 3 5" xfId="24560"/>
    <cellStyle name="Normal 2 27 3 5 2" xfId="24561"/>
    <cellStyle name="Normal 2 27 3 6" xfId="24562"/>
    <cellStyle name="Normal 2 27 3 7" xfId="24563"/>
    <cellStyle name="Normal 2 27 3 8" xfId="24564"/>
    <cellStyle name="Normal 2 27 3 9" xfId="24565"/>
    <cellStyle name="Normal 2 27 4" xfId="24566"/>
    <cellStyle name="Normal 2 27 4 2" xfId="24567"/>
    <cellStyle name="Normal 2 27 4 2 2" xfId="24568"/>
    <cellStyle name="Normal 2 27 4 3" xfId="24569"/>
    <cellStyle name="Normal 2 27 4 4" xfId="24570"/>
    <cellStyle name="Normal 2 27 4 5" xfId="24571"/>
    <cellStyle name="Normal 2 27 4 6" xfId="24572"/>
    <cellStyle name="Normal 2 27 5" xfId="24573"/>
    <cellStyle name="Normal 2 27 5 2" xfId="24574"/>
    <cellStyle name="Normal 2 27 5 3" xfId="24575"/>
    <cellStyle name="Normal 2 27 6" xfId="24576"/>
    <cellStyle name="Normal 2 27 7" xfId="24577"/>
    <cellStyle name="Normal 2 28" xfId="24578"/>
    <cellStyle name="Normal 2 28 2" xfId="24579"/>
    <cellStyle name="Normal 2 28 2 2" xfId="24580"/>
    <cellStyle name="Normal 2 28 3" xfId="24581"/>
    <cellStyle name="Normal 2 28 3 2" xfId="24582"/>
    <cellStyle name="Normal 2 28 3 2 2" xfId="24583"/>
    <cellStyle name="Normal 2 28 3 2 2 2" xfId="24584"/>
    <cellStyle name="Normal 2 28 3 2 2 3" xfId="24585"/>
    <cellStyle name="Normal 2 28 3 2 3" xfId="24586"/>
    <cellStyle name="Normal 2 28 3 2 4" xfId="24587"/>
    <cellStyle name="Normal 2 28 3 2 5" xfId="24588"/>
    <cellStyle name="Normal 2 28 3 2 6" xfId="24589"/>
    <cellStyle name="Normal 2 28 3 3" xfId="24590"/>
    <cellStyle name="Normal 2 28 3 3 2" xfId="24591"/>
    <cellStyle name="Normal 2 28 3 3 2 2" xfId="24592"/>
    <cellStyle name="Normal 2 28 3 3 3" xfId="24593"/>
    <cellStyle name="Normal 2 28 3 3 4" xfId="24594"/>
    <cellStyle name="Normal 2 28 3 3 5" xfId="24595"/>
    <cellStyle name="Normal 2 28 3 4" xfId="24596"/>
    <cellStyle name="Normal 2 28 3 4 2" xfId="24597"/>
    <cellStyle name="Normal 2 28 3 4 3" xfId="24598"/>
    <cellStyle name="Normal 2 28 3 4 4" xfId="24599"/>
    <cellStyle name="Normal 2 28 3 5" xfId="24600"/>
    <cellStyle name="Normal 2 28 3 5 2" xfId="24601"/>
    <cellStyle name="Normal 2 28 3 6" xfId="24602"/>
    <cellStyle name="Normal 2 28 3 7" xfId="24603"/>
    <cellStyle name="Normal 2 28 3 8" xfId="24604"/>
    <cellStyle name="Normal 2 28 3 9" xfId="24605"/>
    <cellStyle name="Normal 2 28 4" xfId="24606"/>
    <cellStyle name="Normal 2 28 4 2" xfId="24607"/>
    <cellStyle name="Normal 2 28 4 2 2" xfId="24608"/>
    <cellStyle name="Normal 2 28 4 3" xfId="24609"/>
    <cellStyle name="Normal 2 28 4 4" xfId="24610"/>
    <cellStyle name="Normal 2 28 4 5" xfId="24611"/>
    <cellStyle name="Normal 2 28 4 6" xfId="24612"/>
    <cellStyle name="Normal 2 28 5" xfId="24613"/>
    <cellStyle name="Normal 2 28 5 2" xfId="24614"/>
    <cellStyle name="Normal 2 28 5 3" xfId="24615"/>
    <cellStyle name="Normal 2 28 6" xfId="24616"/>
    <cellStyle name="Normal 2 28 6 2" xfId="24617"/>
    <cellStyle name="Normal 2 28 7" xfId="24618"/>
    <cellStyle name="Normal 2 28 8" xfId="24619"/>
    <cellStyle name="Normal 2 29" xfId="24620"/>
    <cellStyle name="Normal 2 29 2" xfId="24621"/>
    <cellStyle name="Normal 2 29 2 2" xfId="24622"/>
    <cellStyle name="Normal 2 29 2 2 2" xfId="24623"/>
    <cellStyle name="Normal 2 29 2 3" xfId="24624"/>
    <cellStyle name="Normal 2 29 3" xfId="24625"/>
    <cellStyle name="Normal 2 29 3 2" xfId="24626"/>
    <cellStyle name="Normal 2 29 3 2 2" xfId="24627"/>
    <cellStyle name="Normal 2 29 3 2 2 2" xfId="24628"/>
    <cellStyle name="Normal 2 29 3 2 2 3" xfId="24629"/>
    <cellStyle name="Normal 2 29 3 2 3" xfId="24630"/>
    <cellStyle name="Normal 2 29 3 2 4" xfId="24631"/>
    <cellStyle name="Normal 2 29 3 2 5" xfId="24632"/>
    <cellStyle name="Normal 2 29 3 2 6" xfId="24633"/>
    <cellStyle name="Normal 2 29 3 3" xfId="24634"/>
    <cellStyle name="Normal 2 29 3 3 2" xfId="24635"/>
    <cellStyle name="Normal 2 29 3 3 2 2" xfId="24636"/>
    <cellStyle name="Normal 2 29 3 3 3" xfId="24637"/>
    <cellStyle name="Normal 2 29 3 3 4" xfId="24638"/>
    <cellStyle name="Normal 2 29 3 3 5" xfId="24639"/>
    <cellStyle name="Normal 2 29 3 4" xfId="24640"/>
    <cellStyle name="Normal 2 29 3 4 2" xfId="24641"/>
    <cellStyle name="Normal 2 29 3 4 3" xfId="24642"/>
    <cellStyle name="Normal 2 29 3 4 4" xfId="24643"/>
    <cellStyle name="Normal 2 29 3 5" xfId="24644"/>
    <cellStyle name="Normal 2 29 3 5 2" xfId="24645"/>
    <cellStyle name="Normal 2 29 3 6" xfId="24646"/>
    <cellStyle name="Normal 2 29 3 7" xfId="24647"/>
    <cellStyle name="Normal 2 29 3 8" xfId="24648"/>
    <cellStyle name="Normal 2 29 3 9" xfId="24649"/>
    <cellStyle name="Normal 2 29 4" xfId="24650"/>
    <cellStyle name="Normal 2 29 4 2" xfId="24651"/>
    <cellStyle name="Normal 2 29 4 2 2" xfId="24652"/>
    <cellStyle name="Normal 2 29 4 3" xfId="24653"/>
    <cellStyle name="Normal 2 29 4 4" xfId="24654"/>
    <cellStyle name="Normal 2 29 4 5" xfId="24655"/>
    <cellStyle name="Normal 2 29 4 6" xfId="24656"/>
    <cellStyle name="Normal 2 29 5" xfId="24657"/>
    <cellStyle name="Normal 2 29 5 2" xfId="24658"/>
    <cellStyle name="Normal 2 29 5 3" xfId="24659"/>
    <cellStyle name="Normal 2 29 6" xfId="24660"/>
    <cellStyle name="Normal 2 29 6 2" xfId="24661"/>
    <cellStyle name="Normal 2 29 7" xfId="24662"/>
    <cellStyle name="Normal 2 29 8" xfId="24663"/>
    <cellStyle name="Normal 2 3" xfId="24664"/>
    <cellStyle name="Normal 2 3 2" xfId="24665"/>
    <cellStyle name="Normal 2 3 2 10" xfId="24666"/>
    <cellStyle name="Normal 2 3 2 10 10" xfId="24667"/>
    <cellStyle name="Normal 2 3 2 10 2" xfId="24668"/>
    <cellStyle name="Normal 2 3 2 10 2 2" xfId="24669"/>
    <cellStyle name="Normal 2 3 2 10 2 2 2" xfId="24670"/>
    <cellStyle name="Normal 2 3 2 10 2 2 3" xfId="24671"/>
    <cellStyle name="Normal 2 3 2 10 2 3" xfId="24672"/>
    <cellStyle name="Normal 2 3 2 10 2 4" xfId="24673"/>
    <cellStyle name="Normal 2 3 2 10 2 5" xfId="24674"/>
    <cellStyle name="Normal 2 3 2 10 2 6" xfId="24675"/>
    <cellStyle name="Normal 2 3 2 10 3" xfId="24676"/>
    <cellStyle name="Normal 2 3 2 10 3 2" xfId="24677"/>
    <cellStyle name="Normal 2 3 2 10 3 2 2" xfId="24678"/>
    <cellStyle name="Normal 2 3 2 10 3 2 3" xfId="24679"/>
    <cellStyle name="Normal 2 3 2 10 3 3" xfId="24680"/>
    <cellStyle name="Normal 2 3 2 10 3 4" xfId="24681"/>
    <cellStyle name="Normal 2 3 2 10 3 5" xfId="24682"/>
    <cellStyle name="Normal 2 3 2 10 3 6" xfId="24683"/>
    <cellStyle name="Normal 2 3 2 10 4" xfId="24684"/>
    <cellStyle name="Normal 2 3 2 10 4 2" xfId="24685"/>
    <cellStyle name="Normal 2 3 2 10 4 2 2" xfId="24686"/>
    <cellStyle name="Normal 2 3 2 10 4 3" xfId="24687"/>
    <cellStyle name="Normal 2 3 2 10 4 4" xfId="24688"/>
    <cellStyle name="Normal 2 3 2 10 4 5" xfId="24689"/>
    <cellStyle name="Normal 2 3 2 10 5" xfId="24690"/>
    <cellStyle name="Normal 2 3 2 10 5 2" xfId="24691"/>
    <cellStyle name="Normal 2 3 2 10 5 3" xfId="24692"/>
    <cellStyle name="Normal 2 3 2 10 5 4" xfId="24693"/>
    <cellStyle name="Normal 2 3 2 10 6" xfId="24694"/>
    <cellStyle name="Normal 2 3 2 10 6 2" xfId="24695"/>
    <cellStyle name="Normal 2 3 2 10 7" xfId="24696"/>
    <cellStyle name="Normal 2 3 2 10 8" xfId="24697"/>
    <cellStyle name="Normal 2 3 2 10 9" xfId="24698"/>
    <cellStyle name="Normal 2 3 2 11" xfId="24699"/>
    <cellStyle name="Normal 2 3 2 11 10" xfId="24700"/>
    <cellStyle name="Normal 2 3 2 11 2" xfId="24701"/>
    <cellStyle name="Normal 2 3 2 11 2 2" xfId="24702"/>
    <cellStyle name="Normal 2 3 2 11 2 2 2" xfId="24703"/>
    <cellStyle name="Normal 2 3 2 11 2 2 3" xfId="24704"/>
    <cellStyle name="Normal 2 3 2 11 2 3" xfId="24705"/>
    <cellStyle name="Normal 2 3 2 11 2 4" xfId="24706"/>
    <cellStyle name="Normal 2 3 2 11 2 5" xfId="24707"/>
    <cellStyle name="Normal 2 3 2 11 2 6" xfId="24708"/>
    <cellStyle name="Normal 2 3 2 11 3" xfId="24709"/>
    <cellStyle name="Normal 2 3 2 11 3 2" xfId="24710"/>
    <cellStyle name="Normal 2 3 2 11 3 2 2" xfId="24711"/>
    <cellStyle name="Normal 2 3 2 11 3 2 3" xfId="24712"/>
    <cellStyle name="Normal 2 3 2 11 3 3" xfId="24713"/>
    <cellStyle name="Normal 2 3 2 11 3 4" xfId="24714"/>
    <cellStyle name="Normal 2 3 2 11 3 5" xfId="24715"/>
    <cellStyle name="Normal 2 3 2 11 3 6" xfId="24716"/>
    <cellStyle name="Normal 2 3 2 11 4" xfId="24717"/>
    <cellStyle name="Normal 2 3 2 11 4 2" xfId="24718"/>
    <cellStyle name="Normal 2 3 2 11 4 2 2" xfId="24719"/>
    <cellStyle name="Normal 2 3 2 11 4 3" xfId="24720"/>
    <cellStyle name="Normal 2 3 2 11 4 4" xfId="24721"/>
    <cellStyle name="Normal 2 3 2 11 4 5" xfId="24722"/>
    <cellStyle name="Normal 2 3 2 11 5" xfId="24723"/>
    <cellStyle name="Normal 2 3 2 11 5 2" xfId="24724"/>
    <cellStyle name="Normal 2 3 2 11 5 3" xfId="24725"/>
    <cellStyle name="Normal 2 3 2 11 5 4" xfId="24726"/>
    <cellStyle name="Normal 2 3 2 11 6" xfId="24727"/>
    <cellStyle name="Normal 2 3 2 11 6 2" xfId="24728"/>
    <cellStyle name="Normal 2 3 2 11 7" xfId="24729"/>
    <cellStyle name="Normal 2 3 2 11 8" xfId="24730"/>
    <cellStyle name="Normal 2 3 2 11 9" xfId="24731"/>
    <cellStyle name="Normal 2 3 2 12" xfId="24732"/>
    <cellStyle name="Normal 2 3 2 12 10" xfId="24733"/>
    <cellStyle name="Normal 2 3 2 12 2" xfId="24734"/>
    <cellStyle name="Normal 2 3 2 12 2 2" xfId="24735"/>
    <cellStyle name="Normal 2 3 2 12 2 2 2" xfId="24736"/>
    <cellStyle name="Normal 2 3 2 12 2 2 3" xfId="24737"/>
    <cellStyle name="Normal 2 3 2 12 2 3" xfId="24738"/>
    <cellStyle name="Normal 2 3 2 12 2 4" xfId="24739"/>
    <cellStyle name="Normal 2 3 2 12 2 5" xfId="24740"/>
    <cellStyle name="Normal 2 3 2 12 2 6" xfId="24741"/>
    <cellStyle name="Normal 2 3 2 12 3" xfId="24742"/>
    <cellStyle name="Normal 2 3 2 12 3 2" xfId="24743"/>
    <cellStyle name="Normal 2 3 2 12 3 2 2" xfId="24744"/>
    <cellStyle name="Normal 2 3 2 12 3 2 3" xfId="24745"/>
    <cellStyle name="Normal 2 3 2 12 3 3" xfId="24746"/>
    <cellStyle name="Normal 2 3 2 12 3 4" xfId="24747"/>
    <cellStyle name="Normal 2 3 2 12 3 5" xfId="24748"/>
    <cellStyle name="Normal 2 3 2 12 3 6" xfId="24749"/>
    <cellStyle name="Normal 2 3 2 12 4" xfId="24750"/>
    <cellStyle name="Normal 2 3 2 12 4 2" xfId="24751"/>
    <cellStyle name="Normal 2 3 2 12 4 2 2" xfId="24752"/>
    <cellStyle name="Normal 2 3 2 12 4 3" xfId="24753"/>
    <cellStyle name="Normal 2 3 2 12 4 4" xfId="24754"/>
    <cellStyle name="Normal 2 3 2 12 4 5" xfId="24755"/>
    <cellStyle name="Normal 2 3 2 12 5" xfId="24756"/>
    <cellStyle name="Normal 2 3 2 12 5 2" xfId="24757"/>
    <cellStyle name="Normal 2 3 2 12 5 3" xfId="24758"/>
    <cellStyle name="Normal 2 3 2 12 5 4" xfId="24759"/>
    <cellStyle name="Normal 2 3 2 12 6" xfId="24760"/>
    <cellStyle name="Normal 2 3 2 12 6 2" xfId="24761"/>
    <cellStyle name="Normal 2 3 2 12 7" xfId="24762"/>
    <cellStyle name="Normal 2 3 2 12 8" xfId="24763"/>
    <cellStyle name="Normal 2 3 2 12 9" xfId="24764"/>
    <cellStyle name="Normal 2 3 2 13" xfId="24765"/>
    <cellStyle name="Normal 2 3 2 13 2" xfId="24766"/>
    <cellStyle name="Normal 2 3 2 13 2 2" xfId="24767"/>
    <cellStyle name="Normal 2 3 2 13 2 2 2" xfId="24768"/>
    <cellStyle name="Normal 2 3 2 13 2 2 3" xfId="24769"/>
    <cellStyle name="Normal 2 3 2 13 2 3" xfId="24770"/>
    <cellStyle name="Normal 2 3 2 13 2 4" xfId="24771"/>
    <cellStyle name="Normal 2 3 2 13 2 5" xfId="24772"/>
    <cellStyle name="Normal 2 3 2 13 2 6" xfId="24773"/>
    <cellStyle name="Normal 2 3 2 13 3" xfId="24774"/>
    <cellStyle name="Normal 2 3 2 13 3 2" xfId="24775"/>
    <cellStyle name="Normal 2 3 2 13 3 2 2" xfId="24776"/>
    <cellStyle name="Normal 2 3 2 13 3 3" xfId="24777"/>
    <cellStyle name="Normal 2 3 2 13 3 4" xfId="24778"/>
    <cellStyle name="Normal 2 3 2 13 3 5" xfId="24779"/>
    <cellStyle name="Normal 2 3 2 13 4" xfId="24780"/>
    <cellStyle name="Normal 2 3 2 13 4 2" xfId="24781"/>
    <cellStyle name="Normal 2 3 2 13 4 3" xfId="24782"/>
    <cellStyle name="Normal 2 3 2 13 4 4" xfId="24783"/>
    <cellStyle name="Normal 2 3 2 13 5" xfId="24784"/>
    <cellStyle name="Normal 2 3 2 13 5 2" xfId="24785"/>
    <cellStyle name="Normal 2 3 2 13 6" xfId="24786"/>
    <cellStyle name="Normal 2 3 2 13 7" xfId="24787"/>
    <cellStyle name="Normal 2 3 2 13 8" xfId="24788"/>
    <cellStyle name="Normal 2 3 2 13 9" xfId="24789"/>
    <cellStyle name="Normal 2 3 2 14" xfId="24790"/>
    <cellStyle name="Normal 2 3 2 14 2" xfId="24791"/>
    <cellStyle name="Normal 2 3 2 14 2 2" xfId="24792"/>
    <cellStyle name="Normal 2 3 2 14 2 2 2" xfId="24793"/>
    <cellStyle name="Normal 2 3 2 14 2 2 3" xfId="24794"/>
    <cellStyle name="Normal 2 3 2 14 2 3" xfId="24795"/>
    <cellStyle name="Normal 2 3 2 14 2 4" xfId="24796"/>
    <cellStyle name="Normal 2 3 2 14 2 5" xfId="24797"/>
    <cellStyle name="Normal 2 3 2 14 2 6" xfId="24798"/>
    <cellStyle name="Normal 2 3 2 14 3" xfId="24799"/>
    <cellStyle name="Normal 2 3 2 14 3 2" xfId="24800"/>
    <cellStyle name="Normal 2 3 2 14 3 2 2" xfId="24801"/>
    <cellStyle name="Normal 2 3 2 14 3 3" xfId="24802"/>
    <cellStyle name="Normal 2 3 2 14 3 4" xfId="24803"/>
    <cellStyle name="Normal 2 3 2 14 3 5" xfId="24804"/>
    <cellStyle name="Normal 2 3 2 14 4" xfId="24805"/>
    <cellStyle name="Normal 2 3 2 14 4 2" xfId="24806"/>
    <cellStyle name="Normal 2 3 2 14 4 3" xfId="24807"/>
    <cellStyle name="Normal 2 3 2 14 4 4" xfId="24808"/>
    <cellStyle name="Normal 2 3 2 14 5" xfId="24809"/>
    <cellStyle name="Normal 2 3 2 14 5 2" xfId="24810"/>
    <cellStyle name="Normal 2 3 2 14 6" xfId="24811"/>
    <cellStyle name="Normal 2 3 2 14 7" xfId="24812"/>
    <cellStyle name="Normal 2 3 2 14 8" xfId="24813"/>
    <cellStyle name="Normal 2 3 2 14 9" xfId="24814"/>
    <cellStyle name="Normal 2 3 2 15" xfId="24815"/>
    <cellStyle name="Normal 2 3 2 15 2" xfId="24816"/>
    <cellStyle name="Normal 2 3 2 15 2 2" xfId="24817"/>
    <cellStyle name="Normal 2 3 2 15 2 3" xfId="24818"/>
    <cellStyle name="Normal 2 3 2 15 3" xfId="24819"/>
    <cellStyle name="Normal 2 3 2 15 4" xfId="24820"/>
    <cellStyle name="Normal 2 3 2 15 5" xfId="24821"/>
    <cellStyle name="Normal 2 3 2 15 6" xfId="24822"/>
    <cellStyle name="Normal 2 3 2 16" xfId="24823"/>
    <cellStyle name="Normal 2 3 2 16 2" xfId="24824"/>
    <cellStyle name="Normal 2 3 2 16 2 2" xfId="24825"/>
    <cellStyle name="Normal 2 3 2 16 3" xfId="24826"/>
    <cellStyle name="Normal 2 3 2 16 4" xfId="24827"/>
    <cellStyle name="Normal 2 3 2 16 5" xfId="24828"/>
    <cellStyle name="Normal 2 3 2 17" xfId="24829"/>
    <cellStyle name="Normal 2 3 2 17 2" xfId="24830"/>
    <cellStyle name="Normal 2 3 2 17 2 2" xfId="24831"/>
    <cellStyle name="Normal 2 3 2 17 3" xfId="24832"/>
    <cellStyle name="Normal 2 3 2 17 4" xfId="24833"/>
    <cellStyle name="Normal 2 3 2 17 5" xfId="24834"/>
    <cellStyle name="Normal 2 3 2 18" xfId="24835"/>
    <cellStyle name="Normal 2 3 2 18 2" xfId="24836"/>
    <cellStyle name="Normal 2 3 2 19" xfId="24837"/>
    <cellStyle name="Normal 2 3 2 2" xfId="24838"/>
    <cellStyle name="Normal 2 3 2 2 10" xfId="24839"/>
    <cellStyle name="Normal 2 3 2 2 11" xfId="24840"/>
    <cellStyle name="Normal 2 3 2 2 2" xfId="24841"/>
    <cellStyle name="Normal 2 3 2 2 2 2" xfId="24842"/>
    <cellStyle name="Normal 2 3 2 2 2 2 2" xfId="24843"/>
    <cellStyle name="Normal 2 3 2 2 2 2 2 2" xfId="24844"/>
    <cellStyle name="Normal 2 3 2 2 2 2 2 3" xfId="24845"/>
    <cellStyle name="Normal 2 3 2 2 2 2 3" xfId="24846"/>
    <cellStyle name="Normal 2 3 2 2 2 2 4" xfId="24847"/>
    <cellStyle name="Normal 2 3 2 2 2 2 5" xfId="24848"/>
    <cellStyle name="Normal 2 3 2 2 2 2 6" xfId="24849"/>
    <cellStyle name="Normal 2 3 2 2 2 3" xfId="24850"/>
    <cellStyle name="Normal 2 3 2 2 2 3 2" xfId="24851"/>
    <cellStyle name="Normal 2 3 2 2 2 3 2 2" xfId="24852"/>
    <cellStyle name="Normal 2 3 2 2 2 3 3" xfId="24853"/>
    <cellStyle name="Normal 2 3 2 2 2 3 4" xfId="24854"/>
    <cellStyle name="Normal 2 3 2 2 2 3 5" xfId="24855"/>
    <cellStyle name="Normal 2 3 2 2 2 4" xfId="24856"/>
    <cellStyle name="Normal 2 3 2 2 2 4 2" xfId="24857"/>
    <cellStyle name="Normal 2 3 2 2 2 4 3" xfId="24858"/>
    <cellStyle name="Normal 2 3 2 2 2 4 4" xfId="24859"/>
    <cellStyle name="Normal 2 3 2 2 2 5" xfId="24860"/>
    <cellStyle name="Normal 2 3 2 2 2 5 2" xfId="24861"/>
    <cellStyle name="Normal 2 3 2 2 2 6" xfId="24862"/>
    <cellStyle name="Normal 2 3 2 2 2 7" xfId="24863"/>
    <cellStyle name="Normal 2 3 2 2 2 8" xfId="24864"/>
    <cellStyle name="Normal 2 3 2 2 2 9" xfId="24865"/>
    <cellStyle name="Normal 2 3 2 2 3" xfId="24866"/>
    <cellStyle name="Normal 2 3 2 2 3 2" xfId="24867"/>
    <cellStyle name="Normal 2 3 2 2 3 2 2" xfId="24868"/>
    <cellStyle name="Normal 2 3 2 2 3 2 2 2" xfId="24869"/>
    <cellStyle name="Normal 2 3 2 2 3 2 2 3" xfId="24870"/>
    <cellStyle name="Normal 2 3 2 2 3 2 3" xfId="24871"/>
    <cellStyle name="Normal 2 3 2 2 3 2 4" xfId="24872"/>
    <cellStyle name="Normal 2 3 2 2 3 2 5" xfId="24873"/>
    <cellStyle name="Normal 2 3 2 2 3 2 6" xfId="24874"/>
    <cellStyle name="Normal 2 3 2 2 3 3" xfId="24875"/>
    <cellStyle name="Normal 2 3 2 2 3 3 2" xfId="24876"/>
    <cellStyle name="Normal 2 3 2 2 3 3 2 2" xfId="24877"/>
    <cellStyle name="Normal 2 3 2 2 3 3 3" xfId="24878"/>
    <cellStyle name="Normal 2 3 2 2 3 3 4" xfId="24879"/>
    <cellStyle name="Normal 2 3 2 2 3 3 5" xfId="24880"/>
    <cellStyle name="Normal 2 3 2 2 3 4" xfId="24881"/>
    <cellStyle name="Normal 2 3 2 2 3 4 2" xfId="24882"/>
    <cellStyle name="Normal 2 3 2 2 3 4 3" xfId="24883"/>
    <cellStyle name="Normal 2 3 2 2 3 4 4" xfId="24884"/>
    <cellStyle name="Normal 2 3 2 2 3 5" xfId="24885"/>
    <cellStyle name="Normal 2 3 2 2 3 5 2" xfId="24886"/>
    <cellStyle name="Normal 2 3 2 2 3 6" xfId="24887"/>
    <cellStyle name="Normal 2 3 2 2 3 7" xfId="24888"/>
    <cellStyle name="Normal 2 3 2 2 3 8" xfId="24889"/>
    <cellStyle name="Normal 2 3 2 2 3 9" xfId="24890"/>
    <cellStyle name="Normal 2 3 2 2 4" xfId="24891"/>
    <cellStyle name="Normal 2 3 2 2 4 2" xfId="24892"/>
    <cellStyle name="Normal 2 3 2 2 4 2 2" xfId="24893"/>
    <cellStyle name="Normal 2 3 2 2 4 2 3" xfId="24894"/>
    <cellStyle name="Normal 2 3 2 2 4 3" xfId="24895"/>
    <cellStyle name="Normal 2 3 2 2 4 4" xfId="24896"/>
    <cellStyle name="Normal 2 3 2 2 4 5" xfId="24897"/>
    <cellStyle name="Normal 2 3 2 2 4 6" xfId="24898"/>
    <cellStyle name="Normal 2 3 2 2 5" xfId="24899"/>
    <cellStyle name="Normal 2 3 2 2 5 2" xfId="24900"/>
    <cellStyle name="Normal 2 3 2 2 5 2 2" xfId="24901"/>
    <cellStyle name="Normal 2 3 2 2 5 3" xfId="24902"/>
    <cellStyle name="Normal 2 3 2 2 5 4" xfId="24903"/>
    <cellStyle name="Normal 2 3 2 2 5 5" xfId="24904"/>
    <cellStyle name="Normal 2 3 2 2 6" xfId="24905"/>
    <cellStyle name="Normal 2 3 2 2 6 2" xfId="24906"/>
    <cellStyle name="Normal 2 3 2 2 6 3" xfId="24907"/>
    <cellStyle name="Normal 2 3 2 2 6 4" xfId="24908"/>
    <cellStyle name="Normal 2 3 2 2 7" xfId="24909"/>
    <cellStyle name="Normal 2 3 2 2 7 2" xfId="24910"/>
    <cellStyle name="Normal 2 3 2 2 8" xfId="24911"/>
    <cellStyle name="Normal 2 3 2 2 9" xfId="24912"/>
    <cellStyle name="Normal 2 3 2 20" xfId="24913"/>
    <cellStyle name="Normal 2 3 2 21" xfId="24914"/>
    <cellStyle name="Normal 2 3 2 22" xfId="24915"/>
    <cellStyle name="Normal 2 3 2 3" xfId="24916"/>
    <cellStyle name="Normal 2 3 2 3 10" xfId="24917"/>
    <cellStyle name="Normal 2 3 2 3 11" xfId="24918"/>
    <cellStyle name="Normal 2 3 2 3 2" xfId="24919"/>
    <cellStyle name="Normal 2 3 2 3 2 2" xfId="24920"/>
    <cellStyle name="Normal 2 3 2 3 2 2 2" xfId="24921"/>
    <cellStyle name="Normal 2 3 2 3 2 2 2 2" xfId="24922"/>
    <cellStyle name="Normal 2 3 2 3 2 2 2 3" xfId="24923"/>
    <cellStyle name="Normal 2 3 2 3 2 2 3" xfId="24924"/>
    <cellStyle name="Normal 2 3 2 3 2 2 4" xfId="24925"/>
    <cellStyle name="Normal 2 3 2 3 2 2 5" xfId="24926"/>
    <cellStyle name="Normal 2 3 2 3 2 2 6" xfId="24927"/>
    <cellStyle name="Normal 2 3 2 3 2 3" xfId="24928"/>
    <cellStyle name="Normal 2 3 2 3 2 3 2" xfId="24929"/>
    <cellStyle name="Normal 2 3 2 3 2 3 2 2" xfId="24930"/>
    <cellStyle name="Normal 2 3 2 3 2 3 3" xfId="24931"/>
    <cellStyle name="Normal 2 3 2 3 2 3 4" xfId="24932"/>
    <cellStyle name="Normal 2 3 2 3 2 3 5" xfId="24933"/>
    <cellStyle name="Normal 2 3 2 3 2 4" xfId="24934"/>
    <cellStyle name="Normal 2 3 2 3 2 4 2" xfId="24935"/>
    <cellStyle name="Normal 2 3 2 3 2 4 3" xfId="24936"/>
    <cellStyle name="Normal 2 3 2 3 2 4 4" xfId="24937"/>
    <cellStyle name="Normal 2 3 2 3 2 5" xfId="24938"/>
    <cellStyle name="Normal 2 3 2 3 2 5 2" xfId="24939"/>
    <cellStyle name="Normal 2 3 2 3 2 6" xfId="24940"/>
    <cellStyle name="Normal 2 3 2 3 2 7" xfId="24941"/>
    <cellStyle name="Normal 2 3 2 3 2 8" xfId="24942"/>
    <cellStyle name="Normal 2 3 2 3 2 9" xfId="24943"/>
    <cellStyle name="Normal 2 3 2 3 3" xfId="24944"/>
    <cellStyle name="Normal 2 3 2 3 3 2" xfId="24945"/>
    <cellStyle name="Normal 2 3 2 3 3 2 2" xfId="24946"/>
    <cellStyle name="Normal 2 3 2 3 3 2 2 2" xfId="24947"/>
    <cellStyle name="Normal 2 3 2 3 3 2 2 3" xfId="24948"/>
    <cellStyle name="Normal 2 3 2 3 3 2 3" xfId="24949"/>
    <cellStyle name="Normal 2 3 2 3 3 2 4" xfId="24950"/>
    <cellStyle name="Normal 2 3 2 3 3 2 5" xfId="24951"/>
    <cellStyle name="Normal 2 3 2 3 3 2 6" xfId="24952"/>
    <cellStyle name="Normal 2 3 2 3 3 3" xfId="24953"/>
    <cellStyle name="Normal 2 3 2 3 3 3 2" xfId="24954"/>
    <cellStyle name="Normal 2 3 2 3 3 3 2 2" xfId="24955"/>
    <cellStyle name="Normal 2 3 2 3 3 3 3" xfId="24956"/>
    <cellStyle name="Normal 2 3 2 3 3 3 4" xfId="24957"/>
    <cellStyle name="Normal 2 3 2 3 3 3 5" xfId="24958"/>
    <cellStyle name="Normal 2 3 2 3 3 4" xfId="24959"/>
    <cellStyle name="Normal 2 3 2 3 3 4 2" xfId="24960"/>
    <cellStyle name="Normal 2 3 2 3 3 4 3" xfId="24961"/>
    <cellStyle name="Normal 2 3 2 3 3 4 4" xfId="24962"/>
    <cellStyle name="Normal 2 3 2 3 3 5" xfId="24963"/>
    <cellStyle name="Normal 2 3 2 3 3 5 2" xfId="24964"/>
    <cellStyle name="Normal 2 3 2 3 3 6" xfId="24965"/>
    <cellStyle name="Normal 2 3 2 3 3 7" xfId="24966"/>
    <cellStyle name="Normal 2 3 2 3 3 8" xfId="24967"/>
    <cellStyle name="Normal 2 3 2 3 3 9" xfId="24968"/>
    <cellStyle name="Normal 2 3 2 3 4" xfId="24969"/>
    <cellStyle name="Normal 2 3 2 3 4 2" xfId="24970"/>
    <cellStyle name="Normal 2 3 2 3 4 2 2" xfId="24971"/>
    <cellStyle name="Normal 2 3 2 3 4 2 3" xfId="24972"/>
    <cellStyle name="Normal 2 3 2 3 4 3" xfId="24973"/>
    <cellStyle name="Normal 2 3 2 3 4 4" xfId="24974"/>
    <cellStyle name="Normal 2 3 2 3 4 5" xfId="24975"/>
    <cellStyle name="Normal 2 3 2 3 4 6" xfId="24976"/>
    <cellStyle name="Normal 2 3 2 3 5" xfId="24977"/>
    <cellStyle name="Normal 2 3 2 3 5 2" xfId="24978"/>
    <cellStyle name="Normal 2 3 2 3 5 2 2" xfId="24979"/>
    <cellStyle name="Normal 2 3 2 3 5 3" xfId="24980"/>
    <cellStyle name="Normal 2 3 2 3 5 4" xfId="24981"/>
    <cellStyle name="Normal 2 3 2 3 5 5" xfId="24982"/>
    <cellStyle name="Normal 2 3 2 3 6" xfId="24983"/>
    <cellStyle name="Normal 2 3 2 3 6 2" xfId="24984"/>
    <cellStyle name="Normal 2 3 2 3 6 3" xfId="24985"/>
    <cellStyle name="Normal 2 3 2 3 6 4" xfId="24986"/>
    <cellStyle name="Normal 2 3 2 3 7" xfId="24987"/>
    <cellStyle name="Normal 2 3 2 3 7 2" xfId="24988"/>
    <cellStyle name="Normal 2 3 2 3 8" xfId="24989"/>
    <cellStyle name="Normal 2 3 2 3 9" xfId="24990"/>
    <cellStyle name="Normal 2 3 2 4" xfId="24991"/>
    <cellStyle name="Normal 2 3 2 4 10" xfId="24992"/>
    <cellStyle name="Normal 2 3 2 4 11" xfId="24993"/>
    <cellStyle name="Normal 2 3 2 4 2" xfId="24994"/>
    <cellStyle name="Normal 2 3 2 4 2 2" xfId="24995"/>
    <cellStyle name="Normal 2 3 2 4 2 2 2" xfId="24996"/>
    <cellStyle name="Normal 2 3 2 4 2 2 2 2" xfId="24997"/>
    <cellStyle name="Normal 2 3 2 4 2 2 2 3" xfId="24998"/>
    <cellStyle name="Normal 2 3 2 4 2 2 3" xfId="24999"/>
    <cellStyle name="Normal 2 3 2 4 2 2 4" xfId="25000"/>
    <cellStyle name="Normal 2 3 2 4 2 2 5" xfId="25001"/>
    <cellStyle name="Normal 2 3 2 4 2 2 6" xfId="25002"/>
    <cellStyle name="Normal 2 3 2 4 2 3" xfId="25003"/>
    <cellStyle name="Normal 2 3 2 4 2 3 2" xfId="25004"/>
    <cellStyle name="Normal 2 3 2 4 2 3 2 2" xfId="25005"/>
    <cellStyle name="Normal 2 3 2 4 2 3 3" xfId="25006"/>
    <cellStyle name="Normal 2 3 2 4 2 3 4" xfId="25007"/>
    <cellStyle name="Normal 2 3 2 4 2 3 5" xfId="25008"/>
    <cellStyle name="Normal 2 3 2 4 2 4" xfId="25009"/>
    <cellStyle name="Normal 2 3 2 4 2 4 2" xfId="25010"/>
    <cellStyle name="Normal 2 3 2 4 2 4 3" xfId="25011"/>
    <cellStyle name="Normal 2 3 2 4 2 4 4" xfId="25012"/>
    <cellStyle name="Normal 2 3 2 4 2 5" xfId="25013"/>
    <cellStyle name="Normal 2 3 2 4 2 5 2" xfId="25014"/>
    <cellStyle name="Normal 2 3 2 4 2 6" xfId="25015"/>
    <cellStyle name="Normal 2 3 2 4 2 7" xfId="25016"/>
    <cellStyle name="Normal 2 3 2 4 2 8" xfId="25017"/>
    <cellStyle name="Normal 2 3 2 4 2 9" xfId="25018"/>
    <cellStyle name="Normal 2 3 2 4 3" xfId="25019"/>
    <cellStyle name="Normal 2 3 2 4 3 2" xfId="25020"/>
    <cellStyle name="Normal 2 3 2 4 3 2 2" xfId="25021"/>
    <cellStyle name="Normal 2 3 2 4 3 2 2 2" xfId="25022"/>
    <cellStyle name="Normal 2 3 2 4 3 2 2 3" xfId="25023"/>
    <cellStyle name="Normal 2 3 2 4 3 2 3" xfId="25024"/>
    <cellStyle name="Normal 2 3 2 4 3 2 4" xfId="25025"/>
    <cellStyle name="Normal 2 3 2 4 3 2 5" xfId="25026"/>
    <cellStyle name="Normal 2 3 2 4 3 2 6" xfId="25027"/>
    <cellStyle name="Normal 2 3 2 4 3 3" xfId="25028"/>
    <cellStyle name="Normal 2 3 2 4 3 3 2" xfId="25029"/>
    <cellStyle name="Normal 2 3 2 4 3 3 2 2" xfId="25030"/>
    <cellStyle name="Normal 2 3 2 4 3 3 3" xfId="25031"/>
    <cellStyle name="Normal 2 3 2 4 3 3 4" xfId="25032"/>
    <cellStyle name="Normal 2 3 2 4 3 3 5" xfId="25033"/>
    <cellStyle name="Normal 2 3 2 4 3 4" xfId="25034"/>
    <cellStyle name="Normal 2 3 2 4 3 4 2" xfId="25035"/>
    <cellStyle name="Normal 2 3 2 4 3 4 3" xfId="25036"/>
    <cellStyle name="Normal 2 3 2 4 3 4 4" xfId="25037"/>
    <cellStyle name="Normal 2 3 2 4 3 5" xfId="25038"/>
    <cellStyle name="Normal 2 3 2 4 3 5 2" xfId="25039"/>
    <cellStyle name="Normal 2 3 2 4 3 6" xfId="25040"/>
    <cellStyle name="Normal 2 3 2 4 3 7" xfId="25041"/>
    <cellStyle name="Normal 2 3 2 4 3 8" xfId="25042"/>
    <cellStyle name="Normal 2 3 2 4 3 9" xfId="25043"/>
    <cellStyle name="Normal 2 3 2 4 4" xfId="25044"/>
    <cellStyle name="Normal 2 3 2 4 4 2" xfId="25045"/>
    <cellStyle name="Normal 2 3 2 4 4 2 2" xfId="25046"/>
    <cellStyle name="Normal 2 3 2 4 4 2 3" xfId="25047"/>
    <cellStyle name="Normal 2 3 2 4 4 3" xfId="25048"/>
    <cellStyle name="Normal 2 3 2 4 4 4" xfId="25049"/>
    <cellStyle name="Normal 2 3 2 4 4 5" xfId="25050"/>
    <cellStyle name="Normal 2 3 2 4 4 6" xfId="25051"/>
    <cellStyle name="Normal 2 3 2 4 5" xfId="25052"/>
    <cellStyle name="Normal 2 3 2 4 5 2" xfId="25053"/>
    <cellStyle name="Normal 2 3 2 4 5 2 2" xfId="25054"/>
    <cellStyle name="Normal 2 3 2 4 5 3" xfId="25055"/>
    <cellStyle name="Normal 2 3 2 4 5 4" xfId="25056"/>
    <cellStyle name="Normal 2 3 2 4 5 5" xfId="25057"/>
    <cellStyle name="Normal 2 3 2 4 6" xfId="25058"/>
    <cellStyle name="Normal 2 3 2 4 6 2" xfId="25059"/>
    <cellStyle name="Normal 2 3 2 4 6 3" xfId="25060"/>
    <cellStyle name="Normal 2 3 2 4 6 4" xfId="25061"/>
    <cellStyle name="Normal 2 3 2 4 7" xfId="25062"/>
    <cellStyle name="Normal 2 3 2 4 7 2" xfId="25063"/>
    <cellStyle name="Normal 2 3 2 4 8" xfId="25064"/>
    <cellStyle name="Normal 2 3 2 4 9" xfId="25065"/>
    <cellStyle name="Normal 2 3 2 5" xfId="25066"/>
    <cellStyle name="Normal 2 3 2 5 10" xfId="25067"/>
    <cellStyle name="Normal 2 3 2 5 11" xfId="25068"/>
    <cellStyle name="Normal 2 3 2 5 2" xfId="25069"/>
    <cellStyle name="Normal 2 3 2 5 2 2" xfId="25070"/>
    <cellStyle name="Normal 2 3 2 5 2 2 2" xfId="25071"/>
    <cellStyle name="Normal 2 3 2 5 2 2 2 2" xfId="25072"/>
    <cellStyle name="Normal 2 3 2 5 2 2 2 3" xfId="25073"/>
    <cellStyle name="Normal 2 3 2 5 2 2 3" xfId="25074"/>
    <cellStyle name="Normal 2 3 2 5 2 2 4" xfId="25075"/>
    <cellStyle name="Normal 2 3 2 5 2 2 5" xfId="25076"/>
    <cellStyle name="Normal 2 3 2 5 2 2 6" xfId="25077"/>
    <cellStyle name="Normal 2 3 2 5 2 3" xfId="25078"/>
    <cellStyle name="Normal 2 3 2 5 2 3 2" xfId="25079"/>
    <cellStyle name="Normal 2 3 2 5 2 3 2 2" xfId="25080"/>
    <cellStyle name="Normal 2 3 2 5 2 3 3" xfId="25081"/>
    <cellStyle name="Normal 2 3 2 5 2 3 4" xfId="25082"/>
    <cellStyle name="Normal 2 3 2 5 2 3 5" xfId="25083"/>
    <cellStyle name="Normal 2 3 2 5 2 4" xfId="25084"/>
    <cellStyle name="Normal 2 3 2 5 2 4 2" xfId="25085"/>
    <cellStyle name="Normal 2 3 2 5 2 4 3" xfId="25086"/>
    <cellStyle name="Normal 2 3 2 5 2 4 4" xfId="25087"/>
    <cellStyle name="Normal 2 3 2 5 2 5" xfId="25088"/>
    <cellStyle name="Normal 2 3 2 5 2 5 2" xfId="25089"/>
    <cellStyle name="Normal 2 3 2 5 2 6" xfId="25090"/>
    <cellStyle name="Normal 2 3 2 5 2 7" xfId="25091"/>
    <cellStyle name="Normal 2 3 2 5 2 8" xfId="25092"/>
    <cellStyle name="Normal 2 3 2 5 2 9" xfId="25093"/>
    <cellStyle name="Normal 2 3 2 5 3" xfId="25094"/>
    <cellStyle name="Normal 2 3 2 5 3 2" xfId="25095"/>
    <cellStyle name="Normal 2 3 2 5 3 2 2" xfId="25096"/>
    <cellStyle name="Normal 2 3 2 5 3 2 2 2" xfId="25097"/>
    <cellStyle name="Normal 2 3 2 5 3 2 2 3" xfId="25098"/>
    <cellStyle name="Normal 2 3 2 5 3 2 3" xfId="25099"/>
    <cellStyle name="Normal 2 3 2 5 3 2 4" xfId="25100"/>
    <cellStyle name="Normal 2 3 2 5 3 2 5" xfId="25101"/>
    <cellStyle name="Normal 2 3 2 5 3 2 6" xfId="25102"/>
    <cellStyle name="Normal 2 3 2 5 3 3" xfId="25103"/>
    <cellStyle name="Normal 2 3 2 5 3 3 2" xfId="25104"/>
    <cellStyle name="Normal 2 3 2 5 3 3 2 2" xfId="25105"/>
    <cellStyle name="Normal 2 3 2 5 3 3 3" xfId="25106"/>
    <cellStyle name="Normal 2 3 2 5 3 3 4" xfId="25107"/>
    <cellStyle name="Normal 2 3 2 5 3 3 5" xfId="25108"/>
    <cellStyle name="Normal 2 3 2 5 3 4" xfId="25109"/>
    <cellStyle name="Normal 2 3 2 5 3 4 2" xfId="25110"/>
    <cellStyle name="Normal 2 3 2 5 3 4 3" xfId="25111"/>
    <cellStyle name="Normal 2 3 2 5 3 4 4" xfId="25112"/>
    <cellStyle name="Normal 2 3 2 5 3 5" xfId="25113"/>
    <cellStyle name="Normal 2 3 2 5 3 5 2" xfId="25114"/>
    <cellStyle name="Normal 2 3 2 5 3 6" xfId="25115"/>
    <cellStyle name="Normal 2 3 2 5 3 7" xfId="25116"/>
    <cellStyle name="Normal 2 3 2 5 3 8" xfId="25117"/>
    <cellStyle name="Normal 2 3 2 5 3 9" xfId="25118"/>
    <cellStyle name="Normal 2 3 2 5 4" xfId="25119"/>
    <cellStyle name="Normal 2 3 2 5 4 2" xfId="25120"/>
    <cellStyle name="Normal 2 3 2 5 4 2 2" xfId="25121"/>
    <cellStyle name="Normal 2 3 2 5 4 2 3" xfId="25122"/>
    <cellStyle name="Normal 2 3 2 5 4 3" xfId="25123"/>
    <cellStyle name="Normal 2 3 2 5 4 4" xfId="25124"/>
    <cellStyle name="Normal 2 3 2 5 4 5" xfId="25125"/>
    <cellStyle name="Normal 2 3 2 5 4 6" xfId="25126"/>
    <cellStyle name="Normal 2 3 2 5 5" xfId="25127"/>
    <cellStyle name="Normal 2 3 2 5 5 2" xfId="25128"/>
    <cellStyle name="Normal 2 3 2 5 5 2 2" xfId="25129"/>
    <cellStyle name="Normal 2 3 2 5 5 3" xfId="25130"/>
    <cellStyle name="Normal 2 3 2 5 5 4" xfId="25131"/>
    <cellStyle name="Normal 2 3 2 5 5 5" xfId="25132"/>
    <cellStyle name="Normal 2 3 2 5 6" xfId="25133"/>
    <cellStyle name="Normal 2 3 2 5 6 2" xfId="25134"/>
    <cellStyle name="Normal 2 3 2 5 6 3" xfId="25135"/>
    <cellStyle name="Normal 2 3 2 5 6 4" xfId="25136"/>
    <cellStyle name="Normal 2 3 2 5 7" xfId="25137"/>
    <cellStyle name="Normal 2 3 2 5 7 2" xfId="25138"/>
    <cellStyle name="Normal 2 3 2 5 8" xfId="25139"/>
    <cellStyle name="Normal 2 3 2 5 9" xfId="25140"/>
    <cellStyle name="Normal 2 3 2 6" xfId="25141"/>
    <cellStyle name="Normal 2 3 2 6 10" xfId="25142"/>
    <cellStyle name="Normal 2 3 2 6 11" xfId="25143"/>
    <cellStyle name="Normal 2 3 2 6 2" xfId="25144"/>
    <cellStyle name="Normal 2 3 2 6 2 2" xfId="25145"/>
    <cellStyle name="Normal 2 3 2 6 2 2 2" xfId="25146"/>
    <cellStyle name="Normal 2 3 2 6 2 2 2 2" xfId="25147"/>
    <cellStyle name="Normal 2 3 2 6 2 2 2 3" xfId="25148"/>
    <cellStyle name="Normal 2 3 2 6 2 2 3" xfId="25149"/>
    <cellStyle name="Normal 2 3 2 6 2 2 4" xfId="25150"/>
    <cellStyle name="Normal 2 3 2 6 2 2 5" xfId="25151"/>
    <cellStyle name="Normal 2 3 2 6 2 2 6" xfId="25152"/>
    <cellStyle name="Normal 2 3 2 6 2 3" xfId="25153"/>
    <cellStyle name="Normal 2 3 2 6 2 3 2" xfId="25154"/>
    <cellStyle name="Normal 2 3 2 6 2 3 2 2" xfId="25155"/>
    <cellStyle name="Normal 2 3 2 6 2 3 3" xfId="25156"/>
    <cellStyle name="Normal 2 3 2 6 2 3 4" xfId="25157"/>
    <cellStyle name="Normal 2 3 2 6 2 3 5" xfId="25158"/>
    <cellStyle name="Normal 2 3 2 6 2 4" xfId="25159"/>
    <cellStyle name="Normal 2 3 2 6 2 4 2" xfId="25160"/>
    <cellStyle name="Normal 2 3 2 6 2 4 3" xfId="25161"/>
    <cellStyle name="Normal 2 3 2 6 2 4 4" xfId="25162"/>
    <cellStyle name="Normal 2 3 2 6 2 5" xfId="25163"/>
    <cellStyle name="Normal 2 3 2 6 2 5 2" xfId="25164"/>
    <cellStyle name="Normal 2 3 2 6 2 6" xfId="25165"/>
    <cellStyle name="Normal 2 3 2 6 2 7" xfId="25166"/>
    <cellStyle name="Normal 2 3 2 6 2 8" xfId="25167"/>
    <cellStyle name="Normal 2 3 2 6 2 9" xfId="25168"/>
    <cellStyle name="Normal 2 3 2 6 3" xfId="25169"/>
    <cellStyle name="Normal 2 3 2 6 3 2" xfId="25170"/>
    <cellStyle name="Normal 2 3 2 6 3 2 2" xfId="25171"/>
    <cellStyle name="Normal 2 3 2 6 3 2 2 2" xfId="25172"/>
    <cellStyle name="Normal 2 3 2 6 3 2 2 3" xfId="25173"/>
    <cellStyle name="Normal 2 3 2 6 3 2 3" xfId="25174"/>
    <cellStyle name="Normal 2 3 2 6 3 2 4" xfId="25175"/>
    <cellStyle name="Normal 2 3 2 6 3 2 5" xfId="25176"/>
    <cellStyle name="Normal 2 3 2 6 3 2 6" xfId="25177"/>
    <cellStyle name="Normal 2 3 2 6 3 3" xfId="25178"/>
    <cellStyle name="Normal 2 3 2 6 3 3 2" xfId="25179"/>
    <cellStyle name="Normal 2 3 2 6 3 3 2 2" xfId="25180"/>
    <cellStyle name="Normal 2 3 2 6 3 3 3" xfId="25181"/>
    <cellStyle name="Normal 2 3 2 6 3 3 4" xfId="25182"/>
    <cellStyle name="Normal 2 3 2 6 3 3 5" xfId="25183"/>
    <cellStyle name="Normal 2 3 2 6 3 4" xfId="25184"/>
    <cellStyle name="Normal 2 3 2 6 3 4 2" xfId="25185"/>
    <cellStyle name="Normal 2 3 2 6 3 4 3" xfId="25186"/>
    <cellStyle name="Normal 2 3 2 6 3 4 4" xfId="25187"/>
    <cellStyle name="Normal 2 3 2 6 3 5" xfId="25188"/>
    <cellStyle name="Normal 2 3 2 6 3 5 2" xfId="25189"/>
    <cellStyle name="Normal 2 3 2 6 3 6" xfId="25190"/>
    <cellStyle name="Normal 2 3 2 6 3 7" xfId="25191"/>
    <cellStyle name="Normal 2 3 2 6 3 8" xfId="25192"/>
    <cellStyle name="Normal 2 3 2 6 3 9" xfId="25193"/>
    <cellStyle name="Normal 2 3 2 6 4" xfId="25194"/>
    <cellStyle name="Normal 2 3 2 6 4 2" xfId="25195"/>
    <cellStyle name="Normal 2 3 2 6 4 2 2" xfId="25196"/>
    <cellStyle name="Normal 2 3 2 6 4 2 3" xfId="25197"/>
    <cellStyle name="Normal 2 3 2 6 4 3" xfId="25198"/>
    <cellStyle name="Normal 2 3 2 6 4 4" xfId="25199"/>
    <cellStyle name="Normal 2 3 2 6 4 5" xfId="25200"/>
    <cellStyle name="Normal 2 3 2 6 4 6" xfId="25201"/>
    <cellStyle name="Normal 2 3 2 6 5" xfId="25202"/>
    <cellStyle name="Normal 2 3 2 6 5 2" xfId="25203"/>
    <cellStyle name="Normal 2 3 2 6 5 2 2" xfId="25204"/>
    <cellStyle name="Normal 2 3 2 6 5 3" xfId="25205"/>
    <cellStyle name="Normal 2 3 2 6 5 4" xfId="25206"/>
    <cellStyle name="Normal 2 3 2 6 5 5" xfId="25207"/>
    <cellStyle name="Normal 2 3 2 6 6" xfId="25208"/>
    <cellStyle name="Normal 2 3 2 6 6 2" xfId="25209"/>
    <cellStyle name="Normal 2 3 2 6 6 3" xfId="25210"/>
    <cellStyle name="Normal 2 3 2 6 6 4" xfId="25211"/>
    <cellStyle name="Normal 2 3 2 6 7" xfId="25212"/>
    <cellStyle name="Normal 2 3 2 6 7 2" xfId="25213"/>
    <cellStyle name="Normal 2 3 2 6 8" xfId="25214"/>
    <cellStyle name="Normal 2 3 2 6 9" xfId="25215"/>
    <cellStyle name="Normal 2 3 2 7" xfId="25216"/>
    <cellStyle name="Normal 2 3 2 7 10" xfId="25217"/>
    <cellStyle name="Normal 2 3 2 7 11" xfId="25218"/>
    <cellStyle name="Normal 2 3 2 7 2" xfId="25219"/>
    <cellStyle name="Normal 2 3 2 7 2 2" xfId="25220"/>
    <cellStyle name="Normal 2 3 2 7 2 2 2" xfId="25221"/>
    <cellStyle name="Normal 2 3 2 7 2 2 2 2" xfId="25222"/>
    <cellStyle name="Normal 2 3 2 7 2 2 2 3" xfId="25223"/>
    <cellStyle name="Normal 2 3 2 7 2 2 3" xfId="25224"/>
    <cellStyle name="Normal 2 3 2 7 2 2 4" xfId="25225"/>
    <cellStyle name="Normal 2 3 2 7 2 2 5" xfId="25226"/>
    <cellStyle name="Normal 2 3 2 7 2 2 6" xfId="25227"/>
    <cellStyle name="Normal 2 3 2 7 2 3" xfId="25228"/>
    <cellStyle name="Normal 2 3 2 7 2 3 2" xfId="25229"/>
    <cellStyle name="Normal 2 3 2 7 2 3 2 2" xfId="25230"/>
    <cellStyle name="Normal 2 3 2 7 2 3 3" xfId="25231"/>
    <cellStyle name="Normal 2 3 2 7 2 3 4" xfId="25232"/>
    <cellStyle name="Normal 2 3 2 7 2 3 5" xfId="25233"/>
    <cellStyle name="Normal 2 3 2 7 2 4" xfId="25234"/>
    <cellStyle name="Normal 2 3 2 7 2 4 2" xfId="25235"/>
    <cellStyle name="Normal 2 3 2 7 2 4 3" xfId="25236"/>
    <cellStyle name="Normal 2 3 2 7 2 4 4" xfId="25237"/>
    <cellStyle name="Normal 2 3 2 7 2 5" xfId="25238"/>
    <cellStyle name="Normal 2 3 2 7 2 5 2" xfId="25239"/>
    <cellStyle name="Normal 2 3 2 7 2 6" xfId="25240"/>
    <cellStyle name="Normal 2 3 2 7 2 7" xfId="25241"/>
    <cellStyle name="Normal 2 3 2 7 2 8" xfId="25242"/>
    <cellStyle name="Normal 2 3 2 7 2 9" xfId="25243"/>
    <cellStyle name="Normal 2 3 2 7 3" xfId="25244"/>
    <cellStyle name="Normal 2 3 2 7 3 2" xfId="25245"/>
    <cellStyle name="Normal 2 3 2 7 3 2 2" xfId="25246"/>
    <cellStyle name="Normal 2 3 2 7 3 2 2 2" xfId="25247"/>
    <cellStyle name="Normal 2 3 2 7 3 2 2 3" xfId="25248"/>
    <cellStyle name="Normal 2 3 2 7 3 2 3" xfId="25249"/>
    <cellStyle name="Normal 2 3 2 7 3 2 4" xfId="25250"/>
    <cellStyle name="Normal 2 3 2 7 3 2 5" xfId="25251"/>
    <cellStyle name="Normal 2 3 2 7 3 2 6" xfId="25252"/>
    <cellStyle name="Normal 2 3 2 7 3 3" xfId="25253"/>
    <cellStyle name="Normal 2 3 2 7 3 3 2" xfId="25254"/>
    <cellStyle name="Normal 2 3 2 7 3 3 2 2" xfId="25255"/>
    <cellStyle name="Normal 2 3 2 7 3 3 3" xfId="25256"/>
    <cellStyle name="Normal 2 3 2 7 3 3 4" xfId="25257"/>
    <cellStyle name="Normal 2 3 2 7 3 3 5" xfId="25258"/>
    <cellStyle name="Normal 2 3 2 7 3 4" xfId="25259"/>
    <cellStyle name="Normal 2 3 2 7 3 4 2" xfId="25260"/>
    <cellStyle name="Normal 2 3 2 7 3 4 3" xfId="25261"/>
    <cellStyle name="Normal 2 3 2 7 3 4 4" xfId="25262"/>
    <cellStyle name="Normal 2 3 2 7 3 5" xfId="25263"/>
    <cellStyle name="Normal 2 3 2 7 3 5 2" xfId="25264"/>
    <cellStyle name="Normal 2 3 2 7 3 6" xfId="25265"/>
    <cellStyle name="Normal 2 3 2 7 3 7" xfId="25266"/>
    <cellStyle name="Normal 2 3 2 7 3 8" xfId="25267"/>
    <cellStyle name="Normal 2 3 2 7 3 9" xfId="25268"/>
    <cellStyle name="Normal 2 3 2 7 4" xfId="25269"/>
    <cellStyle name="Normal 2 3 2 7 4 2" xfId="25270"/>
    <cellStyle name="Normal 2 3 2 7 4 2 2" xfId="25271"/>
    <cellStyle name="Normal 2 3 2 7 4 2 3" xfId="25272"/>
    <cellStyle name="Normal 2 3 2 7 4 3" xfId="25273"/>
    <cellStyle name="Normal 2 3 2 7 4 4" xfId="25274"/>
    <cellStyle name="Normal 2 3 2 7 4 5" xfId="25275"/>
    <cellStyle name="Normal 2 3 2 7 4 6" xfId="25276"/>
    <cellStyle name="Normal 2 3 2 7 5" xfId="25277"/>
    <cellStyle name="Normal 2 3 2 7 5 2" xfId="25278"/>
    <cellStyle name="Normal 2 3 2 7 5 2 2" xfId="25279"/>
    <cellStyle name="Normal 2 3 2 7 5 3" xfId="25280"/>
    <cellStyle name="Normal 2 3 2 7 5 4" xfId="25281"/>
    <cellStyle name="Normal 2 3 2 7 5 5" xfId="25282"/>
    <cellStyle name="Normal 2 3 2 7 6" xfId="25283"/>
    <cellStyle name="Normal 2 3 2 7 6 2" xfId="25284"/>
    <cellStyle name="Normal 2 3 2 7 6 3" xfId="25285"/>
    <cellStyle name="Normal 2 3 2 7 6 4" xfId="25286"/>
    <cellStyle name="Normal 2 3 2 7 7" xfId="25287"/>
    <cellStyle name="Normal 2 3 2 7 7 2" xfId="25288"/>
    <cellStyle name="Normal 2 3 2 7 8" xfId="25289"/>
    <cellStyle name="Normal 2 3 2 7 9" xfId="25290"/>
    <cellStyle name="Normal 2 3 2 8" xfId="25291"/>
    <cellStyle name="Normal 2 3 2 8 10" xfId="25292"/>
    <cellStyle name="Normal 2 3 2 8 2" xfId="25293"/>
    <cellStyle name="Normal 2 3 2 8 2 2" xfId="25294"/>
    <cellStyle name="Normal 2 3 2 8 2 2 2" xfId="25295"/>
    <cellStyle name="Normal 2 3 2 8 2 2 3" xfId="25296"/>
    <cellStyle name="Normal 2 3 2 8 2 3" xfId="25297"/>
    <cellStyle name="Normal 2 3 2 8 2 4" xfId="25298"/>
    <cellStyle name="Normal 2 3 2 8 2 5" xfId="25299"/>
    <cellStyle name="Normal 2 3 2 8 2 6" xfId="25300"/>
    <cellStyle name="Normal 2 3 2 8 3" xfId="25301"/>
    <cellStyle name="Normal 2 3 2 8 3 2" xfId="25302"/>
    <cellStyle name="Normal 2 3 2 8 3 2 2" xfId="25303"/>
    <cellStyle name="Normal 2 3 2 8 3 2 3" xfId="25304"/>
    <cellStyle name="Normal 2 3 2 8 3 3" xfId="25305"/>
    <cellStyle name="Normal 2 3 2 8 3 4" xfId="25306"/>
    <cellStyle name="Normal 2 3 2 8 3 5" xfId="25307"/>
    <cellStyle name="Normal 2 3 2 8 3 6" xfId="25308"/>
    <cellStyle name="Normal 2 3 2 8 4" xfId="25309"/>
    <cellStyle name="Normal 2 3 2 8 4 2" xfId="25310"/>
    <cellStyle name="Normal 2 3 2 8 4 2 2" xfId="25311"/>
    <cellStyle name="Normal 2 3 2 8 4 3" xfId="25312"/>
    <cellStyle name="Normal 2 3 2 8 4 4" xfId="25313"/>
    <cellStyle name="Normal 2 3 2 8 4 5" xfId="25314"/>
    <cellStyle name="Normal 2 3 2 8 5" xfId="25315"/>
    <cellStyle name="Normal 2 3 2 8 5 2" xfId="25316"/>
    <cellStyle name="Normal 2 3 2 8 5 3" xfId="25317"/>
    <cellStyle name="Normal 2 3 2 8 5 4" xfId="25318"/>
    <cellStyle name="Normal 2 3 2 8 6" xfId="25319"/>
    <cellStyle name="Normal 2 3 2 8 6 2" xfId="25320"/>
    <cellStyle name="Normal 2 3 2 8 7" xfId="25321"/>
    <cellStyle name="Normal 2 3 2 8 8" xfId="25322"/>
    <cellStyle name="Normal 2 3 2 8 9" xfId="25323"/>
    <cellStyle name="Normal 2 3 2 9" xfId="25324"/>
    <cellStyle name="Normal 2 3 2 9 10" xfId="25325"/>
    <cellStyle name="Normal 2 3 2 9 2" xfId="25326"/>
    <cellStyle name="Normal 2 3 2 9 2 2" xfId="25327"/>
    <cellStyle name="Normal 2 3 2 9 2 2 2" xfId="25328"/>
    <cellStyle name="Normal 2 3 2 9 2 2 3" xfId="25329"/>
    <cellStyle name="Normal 2 3 2 9 2 3" xfId="25330"/>
    <cellStyle name="Normal 2 3 2 9 2 4" xfId="25331"/>
    <cellStyle name="Normal 2 3 2 9 2 5" xfId="25332"/>
    <cellStyle name="Normal 2 3 2 9 2 6" xfId="25333"/>
    <cellStyle name="Normal 2 3 2 9 3" xfId="25334"/>
    <cellStyle name="Normal 2 3 2 9 3 2" xfId="25335"/>
    <cellStyle name="Normal 2 3 2 9 3 2 2" xfId="25336"/>
    <cellStyle name="Normal 2 3 2 9 3 2 3" xfId="25337"/>
    <cellStyle name="Normal 2 3 2 9 3 3" xfId="25338"/>
    <cellStyle name="Normal 2 3 2 9 3 4" xfId="25339"/>
    <cellStyle name="Normal 2 3 2 9 3 5" xfId="25340"/>
    <cellStyle name="Normal 2 3 2 9 3 6" xfId="25341"/>
    <cellStyle name="Normal 2 3 2 9 4" xfId="25342"/>
    <cellStyle name="Normal 2 3 2 9 4 2" xfId="25343"/>
    <cellStyle name="Normal 2 3 2 9 4 2 2" xfId="25344"/>
    <cellStyle name="Normal 2 3 2 9 4 3" xfId="25345"/>
    <cellStyle name="Normal 2 3 2 9 4 4" xfId="25346"/>
    <cellStyle name="Normal 2 3 2 9 4 5" xfId="25347"/>
    <cellStyle name="Normal 2 3 2 9 5" xfId="25348"/>
    <cellStyle name="Normal 2 3 2 9 5 2" xfId="25349"/>
    <cellStyle name="Normal 2 3 2 9 5 3" xfId="25350"/>
    <cellStyle name="Normal 2 3 2 9 5 4" xfId="25351"/>
    <cellStyle name="Normal 2 3 2 9 6" xfId="25352"/>
    <cellStyle name="Normal 2 3 2 9 6 2" xfId="25353"/>
    <cellStyle name="Normal 2 3 2 9 7" xfId="25354"/>
    <cellStyle name="Normal 2 3 2 9 8" xfId="25355"/>
    <cellStyle name="Normal 2 3 2 9 9" xfId="25356"/>
    <cellStyle name="Normal 2 3 3" xfId="25357"/>
    <cellStyle name="Normal 2 3 3 2" xfId="25358"/>
    <cellStyle name="Normal 2 3 4" xfId="25359"/>
    <cellStyle name="Normal 2 3 4 2" xfId="25360"/>
    <cellStyle name="Normal 2 3 5" xfId="25361"/>
    <cellStyle name="Normal 2 3 6" xfId="25362"/>
    <cellStyle name="Normal 2 3 7" xfId="25363"/>
    <cellStyle name="Normal 2 3 8" xfId="25364"/>
    <cellStyle name="Normal 2 3 9" xfId="25365"/>
    <cellStyle name="Normal 2 30" xfId="25366"/>
    <cellStyle name="Normal 2 30 2" xfId="25367"/>
    <cellStyle name="Normal 2 30 2 2" xfId="25368"/>
    <cellStyle name="Normal 2 30 2 2 2" xfId="25369"/>
    <cellStyle name="Normal 2 30 2 3" xfId="25370"/>
    <cellStyle name="Normal 2 30 3" xfId="25371"/>
    <cellStyle name="Normal 2 30 3 2" xfId="25372"/>
    <cellStyle name="Normal 2 30 3 2 2" xfId="25373"/>
    <cellStyle name="Normal 2 30 3 2 2 2" xfId="25374"/>
    <cellStyle name="Normal 2 30 3 2 2 3" xfId="25375"/>
    <cellStyle name="Normal 2 30 3 2 3" xfId="25376"/>
    <cellStyle name="Normal 2 30 3 2 4" xfId="25377"/>
    <cellStyle name="Normal 2 30 3 2 5" xfId="25378"/>
    <cellStyle name="Normal 2 30 3 2 6" xfId="25379"/>
    <cellStyle name="Normal 2 30 3 3" xfId="25380"/>
    <cellStyle name="Normal 2 30 3 3 2" xfId="25381"/>
    <cellStyle name="Normal 2 30 3 3 2 2" xfId="25382"/>
    <cellStyle name="Normal 2 30 3 3 3" xfId="25383"/>
    <cellStyle name="Normal 2 30 3 3 4" xfId="25384"/>
    <cellStyle name="Normal 2 30 3 3 5" xfId="25385"/>
    <cellStyle name="Normal 2 30 3 4" xfId="25386"/>
    <cellStyle name="Normal 2 30 3 4 2" xfId="25387"/>
    <cellStyle name="Normal 2 30 3 4 3" xfId="25388"/>
    <cellStyle name="Normal 2 30 3 4 4" xfId="25389"/>
    <cellStyle name="Normal 2 30 3 5" xfId="25390"/>
    <cellStyle name="Normal 2 30 3 5 2" xfId="25391"/>
    <cellStyle name="Normal 2 30 3 6" xfId="25392"/>
    <cellStyle name="Normal 2 30 3 7" xfId="25393"/>
    <cellStyle name="Normal 2 30 3 8" xfId="25394"/>
    <cellStyle name="Normal 2 30 3 9" xfId="25395"/>
    <cellStyle name="Normal 2 30 4" xfId="25396"/>
    <cellStyle name="Normal 2 30 4 2" xfId="25397"/>
    <cellStyle name="Normal 2 30 4 2 2" xfId="25398"/>
    <cellStyle name="Normal 2 30 4 3" xfId="25399"/>
    <cellStyle name="Normal 2 30 4 4" xfId="25400"/>
    <cellStyle name="Normal 2 30 4 5" xfId="25401"/>
    <cellStyle name="Normal 2 30 4 6" xfId="25402"/>
    <cellStyle name="Normal 2 30 5" xfId="25403"/>
    <cellStyle name="Normal 2 30 5 2" xfId="25404"/>
    <cellStyle name="Normal 2 30 5 3" xfId="25405"/>
    <cellStyle name="Normal 2 30 6" xfId="25406"/>
    <cellStyle name="Normal 2 30 6 2" xfId="25407"/>
    <cellStyle name="Normal 2 30 7" xfId="25408"/>
    <cellStyle name="Normal 2 30 8" xfId="25409"/>
    <cellStyle name="Normal 2 31" xfId="25410"/>
    <cellStyle name="Normal 2 31 2" xfId="25411"/>
    <cellStyle name="Normal 2 31 2 2" xfId="25412"/>
    <cellStyle name="Normal 2 31 2 2 2" xfId="25413"/>
    <cellStyle name="Normal 2 31 2 3" xfId="25414"/>
    <cellStyle name="Normal 2 31 3" xfId="25415"/>
    <cellStyle name="Normal 2 31 3 2" xfId="25416"/>
    <cellStyle name="Normal 2 31 3 2 2" xfId="25417"/>
    <cellStyle name="Normal 2 31 3 2 2 2" xfId="25418"/>
    <cellStyle name="Normal 2 31 3 2 2 3" xfId="25419"/>
    <cellStyle name="Normal 2 31 3 2 3" xfId="25420"/>
    <cellStyle name="Normal 2 31 3 2 4" xfId="25421"/>
    <cellStyle name="Normal 2 31 3 2 5" xfId="25422"/>
    <cellStyle name="Normal 2 31 3 2 6" xfId="25423"/>
    <cellStyle name="Normal 2 31 3 3" xfId="25424"/>
    <cellStyle name="Normal 2 31 3 3 2" xfId="25425"/>
    <cellStyle name="Normal 2 31 3 3 2 2" xfId="25426"/>
    <cellStyle name="Normal 2 31 3 3 3" xfId="25427"/>
    <cellStyle name="Normal 2 31 3 3 4" xfId="25428"/>
    <cellStyle name="Normal 2 31 3 3 5" xfId="25429"/>
    <cellStyle name="Normal 2 31 3 4" xfId="25430"/>
    <cellStyle name="Normal 2 31 3 4 2" xfId="25431"/>
    <cellStyle name="Normal 2 31 3 4 3" xfId="25432"/>
    <cellStyle name="Normal 2 31 3 4 4" xfId="25433"/>
    <cellStyle name="Normal 2 31 3 5" xfId="25434"/>
    <cellStyle name="Normal 2 31 3 5 2" xfId="25435"/>
    <cellStyle name="Normal 2 31 3 6" xfId="25436"/>
    <cellStyle name="Normal 2 31 3 7" xfId="25437"/>
    <cellStyle name="Normal 2 31 3 8" xfId="25438"/>
    <cellStyle name="Normal 2 31 3 9" xfId="25439"/>
    <cellStyle name="Normal 2 31 4" xfId="25440"/>
    <cellStyle name="Normal 2 31 4 2" xfId="25441"/>
    <cellStyle name="Normal 2 31 4 2 2" xfId="25442"/>
    <cellStyle name="Normal 2 31 4 3" xfId="25443"/>
    <cellStyle name="Normal 2 31 4 4" xfId="25444"/>
    <cellStyle name="Normal 2 31 4 5" xfId="25445"/>
    <cellStyle name="Normal 2 31 4 6" xfId="25446"/>
    <cellStyle name="Normal 2 31 5" xfId="25447"/>
    <cellStyle name="Normal 2 31 5 2" xfId="25448"/>
    <cellStyle name="Normal 2 31 5 3" xfId="25449"/>
    <cellStyle name="Normal 2 31 6" xfId="25450"/>
    <cellStyle name="Normal 2 31 6 2" xfId="25451"/>
    <cellStyle name="Normal 2 31 7" xfId="25452"/>
    <cellStyle name="Normal 2 31 8" xfId="25453"/>
    <cellStyle name="Normal 2 32" xfId="25454"/>
    <cellStyle name="Normal 2 32 2" xfId="25455"/>
    <cellStyle name="Normal 2 32 2 2" xfId="25456"/>
    <cellStyle name="Normal 2 32 2 2 2" xfId="25457"/>
    <cellStyle name="Normal 2 32 2 3" xfId="25458"/>
    <cellStyle name="Normal 2 32 3" xfId="25459"/>
    <cellStyle name="Normal 2 32 3 2" xfId="25460"/>
    <cellStyle name="Normal 2 32 3 2 2" xfId="25461"/>
    <cellStyle name="Normal 2 32 3 2 2 2" xfId="25462"/>
    <cellStyle name="Normal 2 32 3 2 2 3" xfId="25463"/>
    <cellStyle name="Normal 2 32 3 2 3" xfId="25464"/>
    <cellStyle name="Normal 2 32 3 2 4" xfId="25465"/>
    <cellStyle name="Normal 2 32 3 2 5" xfId="25466"/>
    <cellStyle name="Normal 2 32 3 2 6" xfId="25467"/>
    <cellStyle name="Normal 2 32 3 3" xfId="25468"/>
    <cellStyle name="Normal 2 32 3 3 2" xfId="25469"/>
    <cellStyle name="Normal 2 32 3 3 2 2" xfId="25470"/>
    <cellStyle name="Normal 2 32 3 3 3" xfId="25471"/>
    <cellStyle name="Normal 2 32 3 3 4" xfId="25472"/>
    <cellStyle name="Normal 2 32 3 3 5" xfId="25473"/>
    <cellStyle name="Normal 2 32 3 4" xfId="25474"/>
    <cellStyle name="Normal 2 32 3 4 2" xfId="25475"/>
    <cellStyle name="Normal 2 32 3 4 3" xfId="25476"/>
    <cellStyle name="Normal 2 32 3 4 4" xfId="25477"/>
    <cellStyle name="Normal 2 32 3 5" xfId="25478"/>
    <cellStyle name="Normal 2 32 3 5 2" xfId="25479"/>
    <cellStyle name="Normal 2 32 3 6" xfId="25480"/>
    <cellStyle name="Normal 2 32 3 7" xfId="25481"/>
    <cellStyle name="Normal 2 32 3 8" xfId="25482"/>
    <cellStyle name="Normal 2 32 3 9" xfId="25483"/>
    <cellStyle name="Normal 2 32 4" xfId="25484"/>
    <cellStyle name="Normal 2 32 4 2" xfId="25485"/>
    <cellStyle name="Normal 2 32 4 2 2" xfId="25486"/>
    <cellStyle name="Normal 2 32 4 3" xfId="25487"/>
    <cellStyle name="Normal 2 32 4 4" xfId="25488"/>
    <cellStyle name="Normal 2 32 4 5" xfId="25489"/>
    <cellStyle name="Normal 2 32 4 6" xfId="25490"/>
    <cellStyle name="Normal 2 32 5" xfId="25491"/>
    <cellStyle name="Normal 2 32 5 2" xfId="25492"/>
    <cellStyle name="Normal 2 32 5 3" xfId="25493"/>
    <cellStyle name="Normal 2 32 6" xfId="25494"/>
    <cellStyle name="Normal 2 32 6 2" xfId="25495"/>
    <cellStyle name="Normal 2 32 7" xfId="25496"/>
    <cellStyle name="Normal 2 32 8" xfId="25497"/>
    <cellStyle name="Normal 2 33" xfId="25498"/>
    <cellStyle name="Normal 2 33 2" xfId="25499"/>
    <cellStyle name="Normal 2 33 2 2" xfId="25500"/>
    <cellStyle name="Normal 2 33 2 2 2" xfId="25501"/>
    <cellStyle name="Normal 2 33 2 3" xfId="25502"/>
    <cellStyle name="Normal 2 33 3" xfId="25503"/>
    <cellStyle name="Normal 2 33 3 2" xfId="25504"/>
    <cellStyle name="Normal 2 33 3 2 2" xfId="25505"/>
    <cellStyle name="Normal 2 33 3 2 2 2" xfId="25506"/>
    <cellStyle name="Normal 2 33 3 2 2 3" xfId="25507"/>
    <cellStyle name="Normal 2 33 3 2 3" xfId="25508"/>
    <cellStyle name="Normal 2 33 3 2 4" xfId="25509"/>
    <cellStyle name="Normal 2 33 3 2 5" xfId="25510"/>
    <cellStyle name="Normal 2 33 3 2 6" xfId="25511"/>
    <cellStyle name="Normal 2 33 3 3" xfId="25512"/>
    <cellStyle name="Normal 2 33 3 3 2" xfId="25513"/>
    <cellStyle name="Normal 2 33 3 3 2 2" xfId="25514"/>
    <cellStyle name="Normal 2 33 3 3 3" xfId="25515"/>
    <cellStyle name="Normal 2 33 3 3 4" xfId="25516"/>
    <cellStyle name="Normal 2 33 3 3 5" xfId="25517"/>
    <cellStyle name="Normal 2 33 3 4" xfId="25518"/>
    <cellStyle name="Normal 2 33 3 4 2" xfId="25519"/>
    <cellStyle name="Normal 2 33 3 4 3" xfId="25520"/>
    <cellStyle name="Normal 2 33 3 4 4" xfId="25521"/>
    <cellStyle name="Normal 2 33 3 5" xfId="25522"/>
    <cellStyle name="Normal 2 33 3 5 2" xfId="25523"/>
    <cellStyle name="Normal 2 33 3 6" xfId="25524"/>
    <cellStyle name="Normal 2 33 3 7" xfId="25525"/>
    <cellStyle name="Normal 2 33 3 8" xfId="25526"/>
    <cellStyle name="Normal 2 33 3 9" xfId="25527"/>
    <cellStyle name="Normal 2 33 4" xfId="25528"/>
    <cellStyle name="Normal 2 33 4 2" xfId="25529"/>
    <cellStyle name="Normal 2 33 4 2 2" xfId="25530"/>
    <cellStyle name="Normal 2 33 4 3" xfId="25531"/>
    <cellStyle name="Normal 2 33 4 4" xfId="25532"/>
    <cellStyle name="Normal 2 33 4 5" xfId="25533"/>
    <cellStyle name="Normal 2 33 4 6" xfId="25534"/>
    <cellStyle name="Normal 2 33 5" xfId="25535"/>
    <cellStyle name="Normal 2 33 5 2" xfId="25536"/>
    <cellStyle name="Normal 2 33 5 3" xfId="25537"/>
    <cellStyle name="Normal 2 33 6" xfId="25538"/>
    <cellStyle name="Normal 2 33 6 2" xfId="25539"/>
    <cellStyle name="Normal 2 33 7" xfId="25540"/>
    <cellStyle name="Normal 2 33 8" xfId="25541"/>
    <cellStyle name="Normal 2 34" xfId="25542"/>
    <cellStyle name="Normal 2 34 2" xfId="25543"/>
    <cellStyle name="Normal 2 34 2 2" xfId="25544"/>
    <cellStyle name="Normal 2 34 2 2 2" xfId="25545"/>
    <cellStyle name="Normal 2 34 2 3" xfId="25546"/>
    <cellStyle name="Normal 2 34 3" xfId="25547"/>
    <cellStyle name="Normal 2 34 3 2" xfId="25548"/>
    <cellStyle name="Normal 2 34 3 2 2" xfId="25549"/>
    <cellStyle name="Normal 2 34 3 2 2 2" xfId="25550"/>
    <cellStyle name="Normal 2 34 3 2 2 3" xfId="25551"/>
    <cellStyle name="Normal 2 34 3 2 3" xfId="25552"/>
    <cellStyle name="Normal 2 34 3 2 4" xfId="25553"/>
    <cellStyle name="Normal 2 34 3 2 5" xfId="25554"/>
    <cellStyle name="Normal 2 34 3 2 6" xfId="25555"/>
    <cellStyle name="Normal 2 34 3 3" xfId="25556"/>
    <cellStyle name="Normal 2 34 3 3 2" xfId="25557"/>
    <cellStyle name="Normal 2 34 3 3 2 2" xfId="25558"/>
    <cellStyle name="Normal 2 34 3 3 3" xfId="25559"/>
    <cellStyle name="Normal 2 34 3 3 4" xfId="25560"/>
    <cellStyle name="Normal 2 34 3 3 5" xfId="25561"/>
    <cellStyle name="Normal 2 34 3 4" xfId="25562"/>
    <cellStyle name="Normal 2 34 3 4 2" xfId="25563"/>
    <cellStyle name="Normal 2 34 3 4 3" xfId="25564"/>
    <cellStyle name="Normal 2 34 3 4 4" xfId="25565"/>
    <cellStyle name="Normal 2 34 3 5" xfId="25566"/>
    <cellStyle name="Normal 2 34 3 5 2" xfId="25567"/>
    <cellStyle name="Normal 2 34 3 6" xfId="25568"/>
    <cellStyle name="Normal 2 34 3 7" xfId="25569"/>
    <cellStyle name="Normal 2 34 3 8" xfId="25570"/>
    <cellStyle name="Normal 2 34 3 9" xfId="25571"/>
    <cellStyle name="Normal 2 34 4" xfId="25572"/>
    <cellStyle name="Normal 2 34 4 2" xfId="25573"/>
    <cellStyle name="Normal 2 34 4 2 2" xfId="25574"/>
    <cellStyle name="Normal 2 34 4 3" xfId="25575"/>
    <cellStyle name="Normal 2 34 4 4" xfId="25576"/>
    <cellStyle name="Normal 2 34 4 5" xfId="25577"/>
    <cellStyle name="Normal 2 34 4 6" xfId="25578"/>
    <cellStyle name="Normal 2 34 5" xfId="25579"/>
    <cellStyle name="Normal 2 34 5 2" xfId="25580"/>
    <cellStyle name="Normal 2 34 5 3" xfId="25581"/>
    <cellStyle name="Normal 2 34 6" xfId="25582"/>
    <cellStyle name="Normal 2 34 6 2" xfId="25583"/>
    <cellStyle name="Normal 2 34 7" xfId="25584"/>
    <cellStyle name="Normal 2 34 8" xfId="25585"/>
    <cellStyle name="Normal 2 35" xfId="25586"/>
    <cellStyle name="Normal 2 35 2" xfId="25587"/>
    <cellStyle name="Normal 2 35 2 2" xfId="25588"/>
    <cellStyle name="Normal 2 35 2 2 2" xfId="25589"/>
    <cellStyle name="Normal 2 35 2 3" xfId="25590"/>
    <cellStyle name="Normal 2 35 3" xfId="25591"/>
    <cellStyle name="Normal 2 35 3 2" xfId="25592"/>
    <cellStyle name="Normal 2 35 3 2 2" xfId="25593"/>
    <cellStyle name="Normal 2 35 3 2 2 2" xfId="25594"/>
    <cellStyle name="Normal 2 35 3 2 2 3" xfId="25595"/>
    <cellStyle name="Normal 2 35 3 2 3" xfId="25596"/>
    <cellStyle name="Normal 2 35 3 2 4" xfId="25597"/>
    <cellStyle name="Normal 2 35 3 2 5" xfId="25598"/>
    <cellStyle name="Normal 2 35 3 2 6" xfId="25599"/>
    <cellStyle name="Normal 2 35 3 3" xfId="25600"/>
    <cellStyle name="Normal 2 35 3 3 2" xfId="25601"/>
    <cellStyle name="Normal 2 35 3 3 2 2" xfId="25602"/>
    <cellStyle name="Normal 2 35 3 3 3" xfId="25603"/>
    <cellStyle name="Normal 2 35 3 3 4" xfId="25604"/>
    <cellStyle name="Normal 2 35 3 3 5" xfId="25605"/>
    <cellStyle name="Normal 2 35 3 4" xfId="25606"/>
    <cellStyle name="Normal 2 35 3 4 2" xfId="25607"/>
    <cellStyle name="Normal 2 35 3 4 3" xfId="25608"/>
    <cellStyle name="Normal 2 35 3 4 4" xfId="25609"/>
    <cellStyle name="Normal 2 35 3 5" xfId="25610"/>
    <cellStyle name="Normal 2 35 3 5 2" xfId="25611"/>
    <cellStyle name="Normal 2 35 3 6" xfId="25612"/>
    <cellStyle name="Normal 2 35 3 7" xfId="25613"/>
    <cellStyle name="Normal 2 35 3 8" xfId="25614"/>
    <cellStyle name="Normal 2 35 3 9" xfId="25615"/>
    <cellStyle name="Normal 2 35 4" xfId="25616"/>
    <cellStyle name="Normal 2 35 4 2" xfId="25617"/>
    <cellStyle name="Normal 2 35 4 2 2" xfId="25618"/>
    <cellStyle name="Normal 2 35 4 3" xfId="25619"/>
    <cellStyle name="Normal 2 35 4 4" xfId="25620"/>
    <cellStyle name="Normal 2 35 4 5" xfId="25621"/>
    <cellStyle name="Normal 2 35 4 6" xfId="25622"/>
    <cellStyle name="Normal 2 35 5" xfId="25623"/>
    <cellStyle name="Normal 2 35 5 2" xfId="25624"/>
    <cellStyle name="Normal 2 35 5 3" xfId="25625"/>
    <cellStyle name="Normal 2 35 6" xfId="25626"/>
    <cellStyle name="Normal 2 35 6 2" xfId="25627"/>
    <cellStyle name="Normal 2 35 7" xfId="25628"/>
    <cellStyle name="Normal 2 35 8" xfId="25629"/>
    <cellStyle name="Normal 2 36" xfId="25630"/>
    <cellStyle name="Normal 2 36 2" xfId="25631"/>
    <cellStyle name="Normal 2 36 2 2" xfId="25632"/>
    <cellStyle name="Normal 2 36 2 2 2" xfId="25633"/>
    <cellStyle name="Normal 2 36 2 3" xfId="25634"/>
    <cellStyle name="Normal 2 36 3" xfId="25635"/>
    <cellStyle name="Normal 2 36 3 2" xfId="25636"/>
    <cellStyle name="Normal 2 36 3 2 2" xfId="25637"/>
    <cellStyle name="Normal 2 36 3 2 2 2" xfId="25638"/>
    <cellStyle name="Normal 2 36 3 2 2 3" xfId="25639"/>
    <cellStyle name="Normal 2 36 3 2 3" xfId="25640"/>
    <cellStyle name="Normal 2 36 3 2 4" xfId="25641"/>
    <cellStyle name="Normal 2 36 3 2 5" xfId="25642"/>
    <cellStyle name="Normal 2 36 3 2 6" xfId="25643"/>
    <cellStyle name="Normal 2 36 3 3" xfId="25644"/>
    <cellStyle name="Normal 2 36 3 3 2" xfId="25645"/>
    <cellStyle name="Normal 2 36 3 3 2 2" xfId="25646"/>
    <cellStyle name="Normal 2 36 3 3 3" xfId="25647"/>
    <cellStyle name="Normal 2 36 3 3 4" xfId="25648"/>
    <cellStyle name="Normal 2 36 3 3 5" xfId="25649"/>
    <cellStyle name="Normal 2 36 3 4" xfId="25650"/>
    <cellStyle name="Normal 2 36 3 4 2" xfId="25651"/>
    <cellStyle name="Normal 2 36 3 4 3" xfId="25652"/>
    <cellStyle name="Normal 2 36 3 4 4" xfId="25653"/>
    <cellStyle name="Normal 2 36 3 5" xfId="25654"/>
    <cellStyle name="Normal 2 36 3 5 2" xfId="25655"/>
    <cellStyle name="Normal 2 36 3 6" xfId="25656"/>
    <cellStyle name="Normal 2 36 3 7" xfId="25657"/>
    <cellStyle name="Normal 2 36 3 8" xfId="25658"/>
    <cellStyle name="Normal 2 36 3 9" xfId="25659"/>
    <cellStyle name="Normal 2 36 4" xfId="25660"/>
    <cellStyle name="Normal 2 36 4 2" xfId="25661"/>
    <cellStyle name="Normal 2 36 4 2 2" xfId="25662"/>
    <cellStyle name="Normal 2 36 4 3" xfId="25663"/>
    <cellStyle name="Normal 2 36 4 4" xfId="25664"/>
    <cellStyle name="Normal 2 36 4 5" xfId="25665"/>
    <cellStyle name="Normal 2 36 4 6" xfId="25666"/>
    <cellStyle name="Normal 2 36 5" xfId="25667"/>
    <cellStyle name="Normal 2 36 5 2" xfId="25668"/>
    <cellStyle name="Normal 2 36 5 3" xfId="25669"/>
    <cellStyle name="Normal 2 36 6" xfId="25670"/>
    <cellStyle name="Normal 2 36 6 2" xfId="25671"/>
    <cellStyle name="Normal 2 36 7" xfId="25672"/>
    <cellStyle name="Normal 2 36 8" xfId="25673"/>
    <cellStyle name="Normal 2 37" xfId="25674"/>
    <cellStyle name="Normal 2 37 2" xfId="25675"/>
    <cellStyle name="Normal 2 37 2 2" xfId="25676"/>
    <cellStyle name="Normal 2 37 2 2 2" xfId="25677"/>
    <cellStyle name="Normal 2 37 2 3" xfId="25678"/>
    <cellStyle name="Normal 2 37 3" xfId="25679"/>
    <cellStyle name="Normal 2 37 3 2" xfId="25680"/>
    <cellStyle name="Normal 2 37 3 2 2" xfId="25681"/>
    <cellStyle name="Normal 2 37 3 2 2 2" xfId="25682"/>
    <cellStyle name="Normal 2 37 3 2 2 3" xfId="25683"/>
    <cellStyle name="Normal 2 37 3 2 3" xfId="25684"/>
    <cellStyle name="Normal 2 37 3 2 4" xfId="25685"/>
    <cellStyle name="Normal 2 37 3 2 5" xfId="25686"/>
    <cellStyle name="Normal 2 37 3 2 6" xfId="25687"/>
    <cellStyle name="Normal 2 37 3 3" xfId="25688"/>
    <cellStyle name="Normal 2 37 3 3 2" xfId="25689"/>
    <cellStyle name="Normal 2 37 3 3 2 2" xfId="25690"/>
    <cellStyle name="Normal 2 37 3 3 3" xfId="25691"/>
    <cellStyle name="Normal 2 37 3 3 4" xfId="25692"/>
    <cellStyle name="Normal 2 37 3 3 5" xfId="25693"/>
    <cellStyle name="Normal 2 37 3 4" xfId="25694"/>
    <cellStyle name="Normal 2 37 3 4 2" xfId="25695"/>
    <cellStyle name="Normal 2 37 3 4 3" xfId="25696"/>
    <cellStyle name="Normal 2 37 3 4 4" xfId="25697"/>
    <cellStyle name="Normal 2 37 3 5" xfId="25698"/>
    <cellStyle name="Normal 2 37 3 5 2" xfId="25699"/>
    <cellStyle name="Normal 2 37 3 6" xfId="25700"/>
    <cellStyle name="Normal 2 37 3 7" xfId="25701"/>
    <cellStyle name="Normal 2 37 3 8" xfId="25702"/>
    <cellStyle name="Normal 2 37 3 9" xfId="25703"/>
    <cellStyle name="Normal 2 37 4" xfId="25704"/>
    <cellStyle name="Normal 2 37 4 2" xfId="25705"/>
    <cellStyle name="Normal 2 37 4 2 2" xfId="25706"/>
    <cellStyle name="Normal 2 37 4 3" xfId="25707"/>
    <cellStyle name="Normal 2 37 4 4" xfId="25708"/>
    <cellStyle name="Normal 2 37 4 5" xfId="25709"/>
    <cellStyle name="Normal 2 37 4 6" xfId="25710"/>
    <cellStyle name="Normal 2 37 5" xfId="25711"/>
    <cellStyle name="Normal 2 37 5 2" xfId="25712"/>
    <cellStyle name="Normal 2 37 5 3" xfId="25713"/>
    <cellStyle name="Normal 2 37 6" xfId="25714"/>
    <cellStyle name="Normal 2 37 6 2" xfId="25715"/>
    <cellStyle name="Normal 2 37 7" xfId="25716"/>
    <cellStyle name="Normal 2 37 8" xfId="25717"/>
    <cellStyle name="Normal 2 38" xfId="25718"/>
    <cellStyle name="Normal 2 38 10" xfId="25719"/>
    <cellStyle name="Normal 2 38 11" xfId="25720"/>
    <cellStyle name="Normal 2 38 2" xfId="25721"/>
    <cellStyle name="Normal 2 38 2 2" xfId="25722"/>
    <cellStyle name="Normal 2 38 2 2 2" xfId="25723"/>
    <cellStyle name="Normal 2 38 2 2 2 2" xfId="25724"/>
    <cellStyle name="Normal 2 38 2 2 2 3" xfId="25725"/>
    <cellStyle name="Normal 2 38 2 2 3" xfId="25726"/>
    <cellStyle name="Normal 2 38 2 2 4" xfId="25727"/>
    <cellStyle name="Normal 2 38 2 2 5" xfId="25728"/>
    <cellStyle name="Normal 2 38 2 2 6" xfId="25729"/>
    <cellStyle name="Normal 2 38 2 3" xfId="25730"/>
    <cellStyle name="Normal 2 38 2 3 2" xfId="25731"/>
    <cellStyle name="Normal 2 38 2 3 2 2" xfId="25732"/>
    <cellStyle name="Normal 2 38 2 3 3" xfId="25733"/>
    <cellStyle name="Normal 2 38 2 3 4" xfId="25734"/>
    <cellStyle name="Normal 2 38 2 3 5" xfId="25735"/>
    <cellStyle name="Normal 2 38 2 4" xfId="25736"/>
    <cellStyle name="Normal 2 38 2 4 2" xfId="25737"/>
    <cellStyle name="Normal 2 38 2 4 3" xfId="25738"/>
    <cellStyle name="Normal 2 38 2 4 4" xfId="25739"/>
    <cellStyle name="Normal 2 38 2 5" xfId="25740"/>
    <cellStyle name="Normal 2 38 2 5 2" xfId="25741"/>
    <cellStyle name="Normal 2 38 2 6" xfId="25742"/>
    <cellStyle name="Normal 2 38 2 7" xfId="25743"/>
    <cellStyle name="Normal 2 38 2 8" xfId="25744"/>
    <cellStyle name="Normal 2 38 2 9" xfId="25745"/>
    <cellStyle name="Normal 2 38 3" xfId="25746"/>
    <cellStyle name="Normal 2 38 3 2" xfId="25747"/>
    <cellStyle name="Normal 2 38 3 2 2" xfId="25748"/>
    <cellStyle name="Normal 2 38 3 2 2 2" xfId="25749"/>
    <cellStyle name="Normal 2 38 3 2 2 3" xfId="25750"/>
    <cellStyle name="Normal 2 38 3 2 3" xfId="25751"/>
    <cellStyle name="Normal 2 38 3 2 4" xfId="25752"/>
    <cellStyle name="Normal 2 38 3 2 5" xfId="25753"/>
    <cellStyle name="Normal 2 38 3 2 6" xfId="25754"/>
    <cellStyle name="Normal 2 38 3 3" xfId="25755"/>
    <cellStyle name="Normal 2 38 3 3 2" xfId="25756"/>
    <cellStyle name="Normal 2 38 3 3 2 2" xfId="25757"/>
    <cellStyle name="Normal 2 38 3 3 3" xfId="25758"/>
    <cellStyle name="Normal 2 38 3 3 4" xfId="25759"/>
    <cellStyle name="Normal 2 38 3 3 5" xfId="25760"/>
    <cellStyle name="Normal 2 38 3 4" xfId="25761"/>
    <cellStyle name="Normal 2 38 3 4 2" xfId="25762"/>
    <cellStyle name="Normal 2 38 3 4 3" xfId="25763"/>
    <cellStyle name="Normal 2 38 3 4 4" xfId="25764"/>
    <cellStyle name="Normal 2 38 3 5" xfId="25765"/>
    <cellStyle name="Normal 2 38 3 5 2" xfId="25766"/>
    <cellStyle name="Normal 2 38 3 6" xfId="25767"/>
    <cellStyle name="Normal 2 38 3 7" xfId="25768"/>
    <cellStyle name="Normal 2 38 3 8" xfId="25769"/>
    <cellStyle name="Normal 2 38 3 9" xfId="25770"/>
    <cellStyle name="Normal 2 38 4" xfId="25771"/>
    <cellStyle name="Normal 2 38 4 2" xfId="25772"/>
    <cellStyle name="Normal 2 38 4 2 2" xfId="25773"/>
    <cellStyle name="Normal 2 38 4 2 3" xfId="25774"/>
    <cellStyle name="Normal 2 38 4 3" xfId="25775"/>
    <cellStyle name="Normal 2 38 4 4" xfId="25776"/>
    <cellStyle name="Normal 2 38 4 5" xfId="25777"/>
    <cellStyle name="Normal 2 38 4 6" xfId="25778"/>
    <cellStyle name="Normal 2 38 5" xfId="25779"/>
    <cellStyle name="Normal 2 38 5 2" xfId="25780"/>
    <cellStyle name="Normal 2 38 5 2 2" xfId="25781"/>
    <cellStyle name="Normal 2 38 5 3" xfId="25782"/>
    <cellStyle name="Normal 2 38 5 4" xfId="25783"/>
    <cellStyle name="Normal 2 38 5 5" xfId="25784"/>
    <cellStyle name="Normal 2 38 5 6" xfId="25785"/>
    <cellStyle name="Normal 2 38 6" xfId="25786"/>
    <cellStyle name="Normal 2 38 6 2" xfId="25787"/>
    <cellStyle name="Normal 2 38 6 3" xfId="25788"/>
    <cellStyle name="Normal 2 38 6 4" xfId="25789"/>
    <cellStyle name="Normal 2 38 6 5" xfId="25790"/>
    <cellStyle name="Normal 2 38 7" xfId="25791"/>
    <cellStyle name="Normal 2 38 7 2" xfId="25792"/>
    <cellStyle name="Normal 2 38 7 3" xfId="25793"/>
    <cellStyle name="Normal 2 38 8" xfId="25794"/>
    <cellStyle name="Normal 2 38 9" xfId="25795"/>
    <cellStyle name="Normal 2 39" xfId="25796"/>
    <cellStyle name="Normal 2 39 10" xfId="25797"/>
    <cellStyle name="Normal 2 39 2" xfId="25798"/>
    <cellStyle name="Normal 2 39 2 2" xfId="25799"/>
    <cellStyle name="Normal 2 39 2 2 2" xfId="25800"/>
    <cellStyle name="Normal 2 39 2 2 3" xfId="25801"/>
    <cellStyle name="Normal 2 39 2 3" xfId="25802"/>
    <cellStyle name="Normal 2 39 2 4" xfId="25803"/>
    <cellStyle name="Normal 2 39 2 5" xfId="25804"/>
    <cellStyle name="Normal 2 39 2 6" xfId="25805"/>
    <cellStyle name="Normal 2 39 3" xfId="25806"/>
    <cellStyle name="Normal 2 39 3 2" xfId="25807"/>
    <cellStyle name="Normal 2 39 3 2 2" xfId="25808"/>
    <cellStyle name="Normal 2 39 3 2 3" xfId="25809"/>
    <cellStyle name="Normal 2 39 3 3" xfId="25810"/>
    <cellStyle name="Normal 2 39 3 4" xfId="25811"/>
    <cellStyle name="Normal 2 39 3 5" xfId="25812"/>
    <cellStyle name="Normal 2 39 3 6" xfId="25813"/>
    <cellStyle name="Normal 2 39 4" xfId="25814"/>
    <cellStyle name="Normal 2 39 4 2" xfId="25815"/>
    <cellStyle name="Normal 2 39 4 2 2" xfId="25816"/>
    <cellStyle name="Normal 2 39 4 3" xfId="25817"/>
    <cellStyle name="Normal 2 39 4 4" xfId="25818"/>
    <cellStyle name="Normal 2 39 4 5" xfId="25819"/>
    <cellStyle name="Normal 2 39 4 6" xfId="25820"/>
    <cellStyle name="Normal 2 39 5" xfId="25821"/>
    <cellStyle name="Normal 2 39 5 2" xfId="25822"/>
    <cellStyle name="Normal 2 39 5 3" xfId="25823"/>
    <cellStyle name="Normal 2 39 5 4" xfId="25824"/>
    <cellStyle name="Normal 2 39 5 5" xfId="25825"/>
    <cellStyle name="Normal 2 39 6" xfId="25826"/>
    <cellStyle name="Normal 2 39 6 2" xfId="25827"/>
    <cellStyle name="Normal 2 39 6 3" xfId="25828"/>
    <cellStyle name="Normal 2 39 7" xfId="25829"/>
    <cellStyle name="Normal 2 39 7 2" xfId="25830"/>
    <cellStyle name="Normal 2 39 8" xfId="25831"/>
    <cellStyle name="Normal 2 39 9" xfId="25832"/>
    <cellStyle name="Normal 2 4" xfId="25833"/>
    <cellStyle name="Normal 2 4 2" xfId="25834"/>
    <cellStyle name="Normal 2 4 2 10" xfId="25835"/>
    <cellStyle name="Normal 2 4 2 10 10" xfId="25836"/>
    <cellStyle name="Normal 2 4 2 10 2" xfId="25837"/>
    <cellStyle name="Normal 2 4 2 10 2 2" xfId="25838"/>
    <cellStyle name="Normal 2 4 2 10 2 2 2" xfId="25839"/>
    <cellStyle name="Normal 2 4 2 10 2 2 3" xfId="25840"/>
    <cellStyle name="Normal 2 4 2 10 2 3" xfId="25841"/>
    <cellStyle name="Normal 2 4 2 10 2 4" xfId="25842"/>
    <cellStyle name="Normal 2 4 2 10 2 5" xfId="25843"/>
    <cellStyle name="Normal 2 4 2 10 2 6" xfId="25844"/>
    <cellStyle name="Normal 2 4 2 10 3" xfId="25845"/>
    <cellStyle name="Normal 2 4 2 10 3 2" xfId="25846"/>
    <cellStyle name="Normal 2 4 2 10 3 2 2" xfId="25847"/>
    <cellStyle name="Normal 2 4 2 10 3 2 3" xfId="25848"/>
    <cellStyle name="Normal 2 4 2 10 3 3" xfId="25849"/>
    <cellStyle name="Normal 2 4 2 10 3 4" xfId="25850"/>
    <cellStyle name="Normal 2 4 2 10 3 5" xfId="25851"/>
    <cellStyle name="Normal 2 4 2 10 3 6" xfId="25852"/>
    <cellStyle name="Normal 2 4 2 10 4" xfId="25853"/>
    <cellStyle name="Normal 2 4 2 10 4 2" xfId="25854"/>
    <cellStyle name="Normal 2 4 2 10 4 2 2" xfId="25855"/>
    <cellStyle name="Normal 2 4 2 10 4 3" xfId="25856"/>
    <cellStyle name="Normal 2 4 2 10 4 4" xfId="25857"/>
    <cellStyle name="Normal 2 4 2 10 4 5" xfId="25858"/>
    <cellStyle name="Normal 2 4 2 10 5" xfId="25859"/>
    <cellStyle name="Normal 2 4 2 10 5 2" xfId="25860"/>
    <cellStyle name="Normal 2 4 2 10 5 3" xfId="25861"/>
    <cellStyle name="Normal 2 4 2 10 5 4" xfId="25862"/>
    <cellStyle name="Normal 2 4 2 10 6" xfId="25863"/>
    <cellStyle name="Normal 2 4 2 10 6 2" xfId="25864"/>
    <cellStyle name="Normal 2 4 2 10 7" xfId="25865"/>
    <cellStyle name="Normal 2 4 2 10 8" xfId="25866"/>
    <cellStyle name="Normal 2 4 2 10 9" xfId="25867"/>
    <cellStyle name="Normal 2 4 2 11" xfId="25868"/>
    <cellStyle name="Normal 2 4 2 11 10" xfId="25869"/>
    <cellStyle name="Normal 2 4 2 11 2" xfId="25870"/>
    <cellStyle name="Normal 2 4 2 11 2 2" xfId="25871"/>
    <cellStyle name="Normal 2 4 2 11 2 2 2" xfId="25872"/>
    <cellStyle name="Normal 2 4 2 11 2 2 3" xfId="25873"/>
    <cellStyle name="Normal 2 4 2 11 2 3" xfId="25874"/>
    <cellStyle name="Normal 2 4 2 11 2 4" xfId="25875"/>
    <cellStyle name="Normal 2 4 2 11 2 5" xfId="25876"/>
    <cellStyle name="Normal 2 4 2 11 2 6" xfId="25877"/>
    <cellStyle name="Normal 2 4 2 11 3" xfId="25878"/>
    <cellStyle name="Normal 2 4 2 11 3 2" xfId="25879"/>
    <cellStyle name="Normal 2 4 2 11 3 2 2" xfId="25880"/>
    <cellStyle name="Normal 2 4 2 11 3 2 3" xfId="25881"/>
    <cellStyle name="Normal 2 4 2 11 3 3" xfId="25882"/>
    <cellStyle name="Normal 2 4 2 11 3 4" xfId="25883"/>
    <cellStyle name="Normal 2 4 2 11 3 5" xfId="25884"/>
    <cellStyle name="Normal 2 4 2 11 3 6" xfId="25885"/>
    <cellStyle name="Normal 2 4 2 11 4" xfId="25886"/>
    <cellStyle name="Normal 2 4 2 11 4 2" xfId="25887"/>
    <cellStyle name="Normal 2 4 2 11 4 2 2" xfId="25888"/>
    <cellStyle name="Normal 2 4 2 11 4 3" xfId="25889"/>
    <cellStyle name="Normal 2 4 2 11 4 4" xfId="25890"/>
    <cellStyle name="Normal 2 4 2 11 4 5" xfId="25891"/>
    <cellStyle name="Normal 2 4 2 11 5" xfId="25892"/>
    <cellStyle name="Normal 2 4 2 11 5 2" xfId="25893"/>
    <cellStyle name="Normal 2 4 2 11 5 3" xfId="25894"/>
    <cellStyle name="Normal 2 4 2 11 5 4" xfId="25895"/>
    <cellStyle name="Normal 2 4 2 11 6" xfId="25896"/>
    <cellStyle name="Normal 2 4 2 11 6 2" xfId="25897"/>
    <cellStyle name="Normal 2 4 2 11 7" xfId="25898"/>
    <cellStyle name="Normal 2 4 2 11 8" xfId="25899"/>
    <cellStyle name="Normal 2 4 2 11 9" xfId="25900"/>
    <cellStyle name="Normal 2 4 2 12" xfId="25901"/>
    <cellStyle name="Normal 2 4 2 12 10" xfId="25902"/>
    <cellStyle name="Normal 2 4 2 12 2" xfId="25903"/>
    <cellStyle name="Normal 2 4 2 12 2 2" xfId="25904"/>
    <cellStyle name="Normal 2 4 2 12 2 2 2" xfId="25905"/>
    <cellStyle name="Normal 2 4 2 12 2 2 3" xfId="25906"/>
    <cellStyle name="Normal 2 4 2 12 2 3" xfId="25907"/>
    <cellStyle name="Normal 2 4 2 12 2 4" xfId="25908"/>
    <cellStyle name="Normal 2 4 2 12 2 5" xfId="25909"/>
    <cellStyle name="Normal 2 4 2 12 2 6" xfId="25910"/>
    <cellStyle name="Normal 2 4 2 12 3" xfId="25911"/>
    <cellStyle name="Normal 2 4 2 12 3 2" xfId="25912"/>
    <cellStyle name="Normal 2 4 2 12 3 2 2" xfId="25913"/>
    <cellStyle name="Normal 2 4 2 12 3 2 3" xfId="25914"/>
    <cellStyle name="Normal 2 4 2 12 3 3" xfId="25915"/>
    <cellStyle name="Normal 2 4 2 12 3 4" xfId="25916"/>
    <cellStyle name="Normal 2 4 2 12 3 5" xfId="25917"/>
    <cellStyle name="Normal 2 4 2 12 3 6" xfId="25918"/>
    <cellStyle name="Normal 2 4 2 12 4" xfId="25919"/>
    <cellStyle name="Normal 2 4 2 12 4 2" xfId="25920"/>
    <cellStyle name="Normal 2 4 2 12 4 2 2" xfId="25921"/>
    <cellStyle name="Normal 2 4 2 12 4 3" xfId="25922"/>
    <cellStyle name="Normal 2 4 2 12 4 4" xfId="25923"/>
    <cellStyle name="Normal 2 4 2 12 4 5" xfId="25924"/>
    <cellStyle name="Normal 2 4 2 12 5" xfId="25925"/>
    <cellStyle name="Normal 2 4 2 12 5 2" xfId="25926"/>
    <cellStyle name="Normal 2 4 2 12 5 3" xfId="25927"/>
    <cellStyle name="Normal 2 4 2 12 5 4" xfId="25928"/>
    <cellStyle name="Normal 2 4 2 12 6" xfId="25929"/>
    <cellStyle name="Normal 2 4 2 12 6 2" xfId="25930"/>
    <cellStyle name="Normal 2 4 2 12 7" xfId="25931"/>
    <cellStyle name="Normal 2 4 2 12 8" xfId="25932"/>
    <cellStyle name="Normal 2 4 2 12 9" xfId="25933"/>
    <cellStyle name="Normal 2 4 2 13" xfId="25934"/>
    <cellStyle name="Normal 2 4 2 13 2" xfId="25935"/>
    <cellStyle name="Normal 2 4 2 13 2 2" xfId="25936"/>
    <cellStyle name="Normal 2 4 2 13 2 2 2" xfId="25937"/>
    <cellStyle name="Normal 2 4 2 13 2 2 3" xfId="25938"/>
    <cellStyle name="Normal 2 4 2 13 2 3" xfId="25939"/>
    <cellStyle name="Normal 2 4 2 13 2 4" xfId="25940"/>
    <cellStyle name="Normal 2 4 2 13 2 5" xfId="25941"/>
    <cellStyle name="Normal 2 4 2 13 2 6" xfId="25942"/>
    <cellStyle name="Normal 2 4 2 13 3" xfId="25943"/>
    <cellStyle name="Normal 2 4 2 13 3 2" xfId="25944"/>
    <cellStyle name="Normal 2 4 2 13 3 2 2" xfId="25945"/>
    <cellStyle name="Normal 2 4 2 13 3 3" xfId="25946"/>
    <cellStyle name="Normal 2 4 2 13 3 4" xfId="25947"/>
    <cellStyle name="Normal 2 4 2 13 3 5" xfId="25948"/>
    <cellStyle name="Normal 2 4 2 13 4" xfId="25949"/>
    <cellStyle name="Normal 2 4 2 13 4 2" xfId="25950"/>
    <cellStyle name="Normal 2 4 2 13 4 3" xfId="25951"/>
    <cellStyle name="Normal 2 4 2 13 4 4" xfId="25952"/>
    <cellStyle name="Normal 2 4 2 13 5" xfId="25953"/>
    <cellStyle name="Normal 2 4 2 13 5 2" xfId="25954"/>
    <cellStyle name="Normal 2 4 2 13 6" xfId="25955"/>
    <cellStyle name="Normal 2 4 2 13 7" xfId="25956"/>
    <cellStyle name="Normal 2 4 2 13 8" xfId="25957"/>
    <cellStyle name="Normal 2 4 2 13 9" xfId="25958"/>
    <cellStyle name="Normal 2 4 2 14" xfId="25959"/>
    <cellStyle name="Normal 2 4 2 14 2" xfId="25960"/>
    <cellStyle name="Normal 2 4 2 14 2 2" xfId="25961"/>
    <cellStyle name="Normal 2 4 2 14 2 2 2" xfId="25962"/>
    <cellStyle name="Normal 2 4 2 14 2 2 3" xfId="25963"/>
    <cellStyle name="Normal 2 4 2 14 2 3" xfId="25964"/>
    <cellStyle name="Normal 2 4 2 14 2 4" xfId="25965"/>
    <cellStyle name="Normal 2 4 2 14 2 5" xfId="25966"/>
    <cellStyle name="Normal 2 4 2 14 2 6" xfId="25967"/>
    <cellStyle name="Normal 2 4 2 14 3" xfId="25968"/>
    <cellStyle name="Normal 2 4 2 14 3 2" xfId="25969"/>
    <cellStyle name="Normal 2 4 2 14 3 2 2" xfId="25970"/>
    <cellStyle name="Normal 2 4 2 14 3 3" xfId="25971"/>
    <cellStyle name="Normal 2 4 2 14 3 4" xfId="25972"/>
    <cellStyle name="Normal 2 4 2 14 3 5" xfId="25973"/>
    <cellStyle name="Normal 2 4 2 14 4" xfId="25974"/>
    <cellStyle name="Normal 2 4 2 14 4 2" xfId="25975"/>
    <cellStyle name="Normal 2 4 2 14 4 3" xfId="25976"/>
    <cellStyle name="Normal 2 4 2 14 4 4" xfId="25977"/>
    <cellStyle name="Normal 2 4 2 14 5" xfId="25978"/>
    <cellStyle name="Normal 2 4 2 14 5 2" xfId="25979"/>
    <cellStyle name="Normal 2 4 2 14 6" xfId="25980"/>
    <cellStyle name="Normal 2 4 2 14 7" xfId="25981"/>
    <cellStyle name="Normal 2 4 2 14 8" xfId="25982"/>
    <cellStyle name="Normal 2 4 2 14 9" xfId="25983"/>
    <cellStyle name="Normal 2 4 2 15" xfId="25984"/>
    <cellStyle name="Normal 2 4 2 15 2" xfId="25985"/>
    <cellStyle name="Normal 2 4 2 15 2 2" xfId="25986"/>
    <cellStyle name="Normal 2 4 2 15 2 3" xfId="25987"/>
    <cellStyle name="Normal 2 4 2 15 3" xfId="25988"/>
    <cellStyle name="Normal 2 4 2 15 4" xfId="25989"/>
    <cellStyle name="Normal 2 4 2 15 5" xfId="25990"/>
    <cellStyle name="Normal 2 4 2 15 6" xfId="25991"/>
    <cellStyle name="Normal 2 4 2 16" xfId="25992"/>
    <cellStyle name="Normal 2 4 2 16 2" xfId="25993"/>
    <cellStyle name="Normal 2 4 2 16 2 2" xfId="25994"/>
    <cellStyle name="Normal 2 4 2 16 3" xfId="25995"/>
    <cellStyle name="Normal 2 4 2 16 4" xfId="25996"/>
    <cellStyle name="Normal 2 4 2 16 5" xfId="25997"/>
    <cellStyle name="Normal 2 4 2 17" xfId="25998"/>
    <cellStyle name="Normal 2 4 2 17 2" xfId="25999"/>
    <cellStyle name="Normal 2 4 2 17 2 2" xfId="26000"/>
    <cellStyle name="Normal 2 4 2 17 3" xfId="26001"/>
    <cellStyle name="Normal 2 4 2 17 4" xfId="26002"/>
    <cellStyle name="Normal 2 4 2 17 5" xfId="26003"/>
    <cellStyle name="Normal 2 4 2 18" xfId="26004"/>
    <cellStyle name="Normal 2 4 2 18 2" xfId="26005"/>
    <cellStyle name="Normal 2 4 2 19" xfId="26006"/>
    <cellStyle name="Normal 2 4 2 2" xfId="26007"/>
    <cellStyle name="Normal 2 4 2 2 10" xfId="26008"/>
    <cellStyle name="Normal 2 4 2 2 11" xfId="26009"/>
    <cellStyle name="Normal 2 4 2 2 2" xfId="26010"/>
    <cellStyle name="Normal 2 4 2 2 2 2" xfId="26011"/>
    <cellStyle name="Normal 2 4 2 2 2 2 2" xfId="26012"/>
    <cellStyle name="Normal 2 4 2 2 2 2 2 2" xfId="26013"/>
    <cellStyle name="Normal 2 4 2 2 2 2 2 3" xfId="26014"/>
    <cellStyle name="Normal 2 4 2 2 2 2 3" xfId="26015"/>
    <cellStyle name="Normal 2 4 2 2 2 2 4" xfId="26016"/>
    <cellStyle name="Normal 2 4 2 2 2 2 5" xfId="26017"/>
    <cellStyle name="Normal 2 4 2 2 2 2 6" xfId="26018"/>
    <cellStyle name="Normal 2 4 2 2 2 3" xfId="26019"/>
    <cellStyle name="Normal 2 4 2 2 2 3 2" xfId="26020"/>
    <cellStyle name="Normal 2 4 2 2 2 3 2 2" xfId="26021"/>
    <cellStyle name="Normal 2 4 2 2 2 3 3" xfId="26022"/>
    <cellStyle name="Normal 2 4 2 2 2 3 4" xfId="26023"/>
    <cellStyle name="Normal 2 4 2 2 2 3 5" xfId="26024"/>
    <cellStyle name="Normal 2 4 2 2 2 4" xfId="26025"/>
    <cellStyle name="Normal 2 4 2 2 2 4 2" xfId="26026"/>
    <cellStyle name="Normal 2 4 2 2 2 4 3" xfId="26027"/>
    <cellStyle name="Normal 2 4 2 2 2 4 4" xfId="26028"/>
    <cellStyle name="Normal 2 4 2 2 2 5" xfId="26029"/>
    <cellStyle name="Normal 2 4 2 2 2 5 2" xfId="26030"/>
    <cellStyle name="Normal 2 4 2 2 2 6" xfId="26031"/>
    <cellStyle name="Normal 2 4 2 2 2 7" xfId="26032"/>
    <cellStyle name="Normal 2 4 2 2 2 8" xfId="26033"/>
    <cellStyle name="Normal 2 4 2 2 2 9" xfId="26034"/>
    <cellStyle name="Normal 2 4 2 2 3" xfId="26035"/>
    <cellStyle name="Normal 2 4 2 2 3 2" xfId="26036"/>
    <cellStyle name="Normal 2 4 2 2 3 2 2" xfId="26037"/>
    <cellStyle name="Normal 2 4 2 2 3 2 2 2" xfId="26038"/>
    <cellStyle name="Normal 2 4 2 2 3 2 2 3" xfId="26039"/>
    <cellStyle name="Normal 2 4 2 2 3 2 3" xfId="26040"/>
    <cellStyle name="Normal 2 4 2 2 3 2 4" xfId="26041"/>
    <cellStyle name="Normal 2 4 2 2 3 2 5" xfId="26042"/>
    <cellStyle name="Normal 2 4 2 2 3 2 6" xfId="26043"/>
    <cellStyle name="Normal 2 4 2 2 3 3" xfId="26044"/>
    <cellStyle name="Normal 2 4 2 2 3 3 2" xfId="26045"/>
    <cellStyle name="Normal 2 4 2 2 3 3 2 2" xfId="26046"/>
    <cellStyle name="Normal 2 4 2 2 3 3 3" xfId="26047"/>
    <cellStyle name="Normal 2 4 2 2 3 3 4" xfId="26048"/>
    <cellStyle name="Normal 2 4 2 2 3 3 5" xfId="26049"/>
    <cellStyle name="Normal 2 4 2 2 3 4" xfId="26050"/>
    <cellStyle name="Normal 2 4 2 2 3 4 2" xfId="26051"/>
    <cellStyle name="Normal 2 4 2 2 3 4 3" xfId="26052"/>
    <cellStyle name="Normal 2 4 2 2 3 4 4" xfId="26053"/>
    <cellStyle name="Normal 2 4 2 2 3 5" xfId="26054"/>
    <cellStyle name="Normal 2 4 2 2 3 5 2" xfId="26055"/>
    <cellStyle name="Normal 2 4 2 2 3 6" xfId="26056"/>
    <cellStyle name="Normal 2 4 2 2 3 7" xfId="26057"/>
    <cellStyle name="Normal 2 4 2 2 3 8" xfId="26058"/>
    <cellStyle name="Normal 2 4 2 2 3 9" xfId="26059"/>
    <cellStyle name="Normal 2 4 2 2 4" xfId="26060"/>
    <cellStyle name="Normal 2 4 2 2 4 2" xfId="26061"/>
    <cellStyle name="Normal 2 4 2 2 4 2 2" xfId="26062"/>
    <cellStyle name="Normal 2 4 2 2 4 2 3" xfId="26063"/>
    <cellStyle name="Normal 2 4 2 2 4 3" xfId="26064"/>
    <cellStyle name="Normal 2 4 2 2 4 4" xfId="26065"/>
    <cellStyle name="Normal 2 4 2 2 4 5" xfId="26066"/>
    <cellStyle name="Normal 2 4 2 2 4 6" xfId="26067"/>
    <cellStyle name="Normal 2 4 2 2 5" xfId="26068"/>
    <cellStyle name="Normal 2 4 2 2 5 2" xfId="26069"/>
    <cellStyle name="Normal 2 4 2 2 5 2 2" xfId="26070"/>
    <cellStyle name="Normal 2 4 2 2 5 3" xfId="26071"/>
    <cellStyle name="Normal 2 4 2 2 5 4" xfId="26072"/>
    <cellStyle name="Normal 2 4 2 2 5 5" xfId="26073"/>
    <cellStyle name="Normal 2 4 2 2 6" xfId="26074"/>
    <cellStyle name="Normal 2 4 2 2 6 2" xfId="26075"/>
    <cellStyle name="Normal 2 4 2 2 6 3" xfId="26076"/>
    <cellStyle name="Normal 2 4 2 2 6 4" xfId="26077"/>
    <cellStyle name="Normal 2 4 2 2 7" xfId="26078"/>
    <cellStyle name="Normal 2 4 2 2 7 2" xfId="26079"/>
    <cellStyle name="Normal 2 4 2 2 8" xfId="26080"/>
    <cellStyle name="Normal 2 4 2 2 9" xfId="26081"/>
    <cellStyle name="Normal 2 4 2 20" xfId="26082"/>
    <cellStyle name="Normal 2 4 2 21" xfId="26083"/>
    <cellStyle name="Normal 2 4 2 22" xfId="26084"/>
    <cellStyle name="Normal 2 4 2 3" xfId="26085"/>
    <cellStyle name="Normal 2 4 2 3 10" xfId="26086"/>
    <cellStyle name="Normal 2 4 2 3 11" xfId="26087"/>
    <cellStyle name="Normal 2 4 2 3 2" xfId="26088"/>
    <cellStyle name="Normal 2 4 2 3 2 2" xfId="26089"/>
    <cellStyle name="Normal 2 4 2 3 2 2 2" xfId="26090"/>
    <cellStyle name="Normal 2 4 2 3 2 2 2 2" xfId="26091"/>
    <cellStyle name="Normal 2 4 2 3 2 2 2 3" xfId="26092"/>
    <cellStyle name="Normal 2 4 2 3 2 2 3" xfId="26093"/>
    <cellStyle name="Normal 2 4 2 3 2 2 4" xfId="26094"/>
    <cellStyle name="Normal 2 4 2 3 2 2 5" xfId="26095"/>
    <cellStyle name="Normal 2 4 2 3 2 2 6" xfId="26096"/>
    <cellStyle name="Normal 2 4 2 3 2 3" xfId="26097"/>
    <cellStyle name="Normal 2 4 2 3 2 3 2" xfId="26098"/>
    <cellStyle name="Normal 2 4 2 3 2 3 2 2" xfId="26099"/>
    <cellStyle name="Normal 2 4 2 3 2 3 3" xfId="26100"/>
    <cellStyle name="Normal 2 4 2 3 2 3 4" xfId="26101"/>
    <cellStyle name="Normal 2 4 2 3 2 3 5" xfId="26102"/>
    <cellStyle name="Normal 2 4 2 3 2 4" xfId="26103"/>
    <cellStyle name="Normal 2 4 2 3 2 4 2" xfId="26104"/>
    <cellStyle name="Normal 2 4 2 3 2 4 3" xfId="26105"/>
    <cellStyle name="Normal 2 4 2 3 2 4 4" xfId="26106"/>
    <cellStyle name="Normal 2 4 2 3 2 5" xfId="26107"/>
    <cellStyle name="Normal 2 4 2 3 2 5 2" xfId="26108"/>
    <cellStyle name="Normal 2 4 2 3 2 6" xfId="26109"/>
    <cellStyle name="Normal 2 4 2 3 2 7" xfId="26110"/>
    <cellStyle name="Normal 2 4 2 3 2 8" xfId="26111"/>
    <cellStyle name="Normal 2 4 2 3 2 9" xfId="26112"/>
    <cellStyle name="Normal 2 4 2 3 3" xfId="26113"/>
    <cellStyle name="Normal 2 4 2 3 3 2" xfId="26114"/>
    <cellStyle name="Normal 2 4 2 3 3 2 2" xfId="26115"/>
    <cellStyle name="Normal 2 4 2 3 3 2 2 2" xfId="26116"/>
    <cellStyle name="Normal 2 4 2 3 3 2 2 3" xfId="26117"/>
    <cellStyle name="Normal 2 4 2 3 3 2 3" xfId="26118"/>
    <cellStyle name="Normal 2 4 2 3 3 2 4" xfId="26119"/>
    <cellStyle name="Normal 2 4 2 3 3 2 5" xfId="26120"/>
    <cellStyle name="Normal 2 4 2 3 3 2 6" xfId="26121"/>
    <cellStyle name="Normal 2 4 2 3 3 3" xfId="26122"/>
    <cellStyle name="Normal 2 4 2 3 3 3 2" xfId="26123"/>
    <cellStyle name="Normal 2 4 2 3 3 3 2 2" xfId="26124"/>
    <cellStyle name="Normal 2 4 2 3 3 3 3" xfId="26125"/>
    <cellStyle name="Normal 2 4 2 3 3 3 4" xfId="26126"/>
    <cellStyle name="Normal 2 4 2 3 3 3 5" xfId="26127"/>
    <cellStyle name="Normal 2 4 2 3 3 4" xfId="26128"/>
    <cellStyle name="Normal 2 4 2 3 3 4 2" xfId="26129"/>
    <cellStyle name="Normal 2 4 2 3 3 4 3" xfId="26130"/>
    <cellStyle name="Normal 2 4 2 3 3 4 4" xfId="26131"/>
    <cellStyle name="Normal 2 4 2 3 3 5" xfId="26132"/>
    <cellStyle name="Normal 2 4 2 3 3 5 2" xfId="26133"/>
    <cellStyle name="Normal 2 4 2 3 3 6" xfId="26134"/>
    <cellStyle name="Normal 2 4 2 3 3 7" xfId="26135"/>
    <cellStyle name="Normal 2 4 2 3 3 8" xfId="26136"/>
    <cellStyle name="Normal 2 4 2 3 3 9" xfId="26137"/>
    <cellStyle name="Normal 2 4 2 3 4" xfId="26138"/>
    <cellStyle name="Normal 2 4 2 3 4 2" xfId="26139"/>
    <cellStyle name="Normal 2 4 2 3 4 2 2" xfId="26140"/>
    <cellStyle name="Normal 2 4 2 3 4 2 3" xfId="26141"/>
    <cellStyle name="Normal 2 4 2 3 4 3" xfId="26142"/>
    <cellStyle name="Normal 2 4 2 3 4 4" xfId="26143"/>
    <cellStyle name="Normal 2 4 2 3 4 5" xfId="26144"/>
    <cellStyle name="Normal 2 4 2 3 4 6" xfId="26145"/>
    <cellStyle name="Normal 2 4 2 3 5" xfId="26146"/>
    <cellStyle name="Normal 2 4 2 3 5 2" xfId="26147"/>
    <cellStyle name="Normal 2 4 2 3 5 2 2" xfId="26148"/>
    <cellStyle name="Normal 2 4 2 3 5 3" xfId="26149"/>
    <cellStyle name="Normal 2 4 2 3 5 4" xfId="26150"/>
    <cellStyle name="Normal 2 4 2 3 5 5" xfId="26151"/>
    <cellStyle name="Normal 2 4 2 3 6" xfId="26152"/>
    <cellStyle name="Normal 2 4 2 3 6 2" xfId="26153"/>
    <cellStyle name="Normal 2 4 2 3 6 3" xfId="26154"/>
    <cellStyle name="Normal 2 4 2 3 6 4" xfId="26155"/>
    <cellStyle name="Normal 2 4 2 3 7" xfId="26156"/>
    <cellStyle name="Normal 2 4 2 3 7 2" xfId="26157"/>
    <cellStyle name="Normal 2 4 2 3 8" xfId="26158"/>
    <cellStyle name="Normal 2 4 2 3 9" xfId="26159"/>
    <cellStyle name="Normal 2 4 2 4" xfId="26160"/>
    <cellStyle name="Normal 2 4 2 4 10" xfId="26161"/>
    <cellStyle name="Normal 2 4 2 4 11" xfId="26162"/>
    <cellStyle name="Normal 2 4 2 4 2" xfId="26163"/>
    <cellStyle name="Normal 2 4 2 4 2 2" xfId="26164"/>
    <cellStyle name="Normal 2 4 2 4 2 2 2" xfId="26165"/>
    <cellStyle name="Normal 2 4 2 4 2 2 2 2" xfId="26166"/>
    <cellStyle name="Normal 2 4 2 4 2 2 2 3" xfId="26167"/>
    <cellStyle name="Normal 2 4 2 4 2 2 3" xfId="26168"/>
    <cellStyle name="Normal 2 4 2 4 2 2 4" xfId="26169"/>
    <cellStyle name="Normal 2 4 2 4 2 2 5" xfId="26170"/>
    <cellStyle name="Normal 2 4 2 4 2 2 6" xfId="26171"/>
    <cellStyle name="Normal 2 4 2 4 2 3" xfId="26172"/>
    <cellStyle name="Normal 2 4 2 4 2 3 2" xfId="26173"/>
    <cellStyle name="Normal 2 4 2 4 2 3 2 2" xfId="26174"/>
    <cellStyle name="Normal 2 4 2 4 2 3 3" xfId="26175"/>
    <cellStyle name="Normal 2 4 2 4 2 3 4" xfId="26176"/>
    <cellStyle name="Normal 2 4 2 4 2 3 5" xfId="26177"/>
    <cellStyle name="Normal 2 4 2 4 2 4" xfId="26178"/>
    <cellStyle name="Normal 2 4 2 4 2 4 2" xfId="26179"/>
    <cellStyle name="Normal 2 4 2 4 2 4 3" xfId="26180"/>
    <cellStyle name="Normal 2 4 2 4 2 4 4" xfId="26181"/>
    <cellStyle name="Normal 2 4 2 4 2 5" xfId="26182"/>
    <cellStyle name="Normal 2 4 2 4 2 5 2" xfId="26183"/>
    <cellStyle name="Normal 2 4 2 4 2 6" xfId="26184"/>
    <cellStyle name="Normal 2 4 2 4 2 7" xfId="26185"/>
    <cellStyle name="Normal 2 4 2 4 2 8" xfId="26186"/>
    <cellStyle name="Normal 2 4 2 4 2 9" xfId="26187"/>
    <cellStyle name="Normal 2 4 2 4 3" xfId="26188"/>
    <cellStyle name="Normal 2 4 2 4 3 2" xfId="26189"/>
    <cellStyle name="Normal 2 4 2 4 3 2 2" xfId="26190"/>
    <cellStyle name="Normal 2 4 2 4 3 2 2 2" xfId="26191"/>
    <cellStyle name="Normal 2 4 2 4 3 2 2 3" xfId="26192"/>
    <cellStyle name="Normal 2 4 2 4 3 2 3" xfId="26193"/>
    <cellStyle name="Normal 2 4 2 4 3 2 4" xfId="26194"/>
    <cellStyle name="Normal 2 4 2 4 3 2 5" xfId="26195"/>
    <cellStyle name="Normal 2 4 2 4 3 2 6" xfId="26196"/>
    <cellStyle name="Normal 2 4 2 4 3 3" xfId="26197"/>
    <cellStyle name="Normal 2 4 2 4 3 3 2" xfId="26198"/>
    <cellStyle name="Normal 2 4 2 4 3 3 2 2" xfId="26199"/>
    <cellStyle name="Normal 2 4 2 4 3 3 3" xfId="26200"/>
    <cellStyle name="Normal 2 4 2 4 3 3 4" xfId="26201"/>
    <cellStyle name="Normal 2 4 2 4 3 3 5" xfId="26202"/>
    <cellStyle name="Normal 2 4 2 4 3 4" xfId="26203"/>
    <cellStyle name="Normal 2 4 2 4 3 4 2" xfId="26204"/>
    <cellStyle name="Normal 2 4 2 4 3 4 3" xfId="26205"/>
    <cellStyle name="Normal 2 4 2 4 3 4 4" xfId="26206"/>
    <cellStyle name="Normal 2 4 2 4 3 5" xfId="26207"/>
    <cellStyle name="Normal 2 4 2 4 3 5 2" xfId="26208"/>
    <cellStyle name="Normal 2 4 2 4 3 6" xfId="26209"/>
    <cellStyle name="Normal 2 4 2 4 3 7" xfId="26210"/>
    <cellStyle name="Normal 2 4 2 4 3 8" xfId="26211"/>
    <cellStyle name="Normal 2 4 2 4 3 9" xfId="26212"/>
    <cellStyle name="Normal 2 4 2 4 4" xfId="26213"/>
    <cellStyle name="Normal 2 4 2 4 4 2" xfId="26214"/>
    <cellStyle name="Normal 2 4 2 4 4 2 2" xfId="26215"/>
    <cellStyle name="Normal 2 4 2 4 4 2 3" xfId="26216"/>
    <cellStyle name="Normal 2 4 2 4 4 3" xfId="26217"/>
    <cellStyle name="Normal 2 4 2 4 4 4" xfId="26218"/>
    <cellStyle name="Normal 2 4 2 4 4 5" xfId="26219"/>
    <cellStyle name="Normal 2 4 2 4 4 6" xfId="26220"/>
    <cellStyle name="Normal 2 4 2 4 5" xfId="26221"/>
    <cellStyle name="Normal 2 4 2 4 5 2" xfId="26222"/>
    <cellStyle name="Normal 2 4 2 4 5 2 2" xfId="26223"/>
    <cellStyle name="Normal 2 4 2 4 5 3" xfId="26224"/>
    <cellStyle name="Normal 2 4 2 4 5 4" xfId="26225"/>
    <cellStyle name="Normal 2 4 2 4 5 5" xfId="26226"/>
    <cellStyle name="Normal 2 4 2 4 6" xfId="26227"/>
    <cellStyle name="Normal 2 4 2 4 6 2" xfId="26228"/>
    <cellStyle name="Normal 2 4 2 4 6 3" xfId="26229"/>
    <cellStyle name="Normal 2 4 2 4 6 4" xfId="26230"/>
    <cellStyle name="Normal 2 4 2 4 7" xfId="26231"/>
    <cellStyle name="Normal 2 4 2 4 7 2" xfId="26232"/>
    <cellStyle name="Normal 2 4 2 4 8" xfId="26233"/>
    <cellStyle name="Normal 2 4 2 4 9" xfId="26234"/>
    <cellStyle name="Normal 2 4 2 5" xfId="26235"/>
    <cellStyle name="Normal 2 4 2 5 10" xfId="26236"/>
    <cellStyle name="Normal 2 4 2 5 11" xfId="26237"/>
    <cellStyle name="Normal 2 4 2 5 2" xfId="26238"/>
    <cellStyle name="Normal 2 4 2 5 2 2" xfId="26239"/>
    <cellStyle name="Normal 2 4 2 5 2 2 2" xfId="26240"/>
    <cellStyle name="Normal 2 4 2 5 2 2 2 2" xfId="26241"/>
    <cellStyle name="Normal 2 4 2 5 2 2 2 3" xfId="26242"/>
    <cellStyle name="Normal 2 4 2 5 2 2 3" xfId="26243"/>
    <cellStyle name="Normal 2 4 2 5 2 2 4" xfId="26244"/>
    <cellStyle name="Normal 2 4 2 5 2 2 5" xfId="26245"/>
    <cellStyle name="Normal 2 4 2 5 2 2 6" xfId="26246"/>
    <cellStyle name="Normal 2 4 2 5 2 3" xfId="26247"/>
    <cellStyle name="Normal 2 4 2 5 2 3 2" xfId="26248"/>
    <cellStyle name="Normal 2 4 2 5 2 3 2 2" xfId="26249"/>
    <cellStyle name="Normal 2 4 2 5 2 3 3" xfId="26250"/>
    <cellStyle name="Normal 2 4 2 5 2 3 4" xfId="26251"/>
    <cellStyle name="Normal 2 4 2 5 2 3 5" xfId="26252"/>
    <cellStyle name="Normal 2 4 2 5 2 4" xfId="26253"/>
    <cellStyle name="Normal 2 4 2 5 2 4 2" xfId="26254"/>
    <cellStyle name="Normal 2 4 2 5 2 4 3" xfId="26255"/>
    <cellStyle name="Normal 2 4 2 5 2 4 4" xfId="26256"/>
    <cellStyle name="Normal 2 4 2 5 2 5" xfId="26257"/>
    <cellStyle name="Normal 2 4 2 5 2 5 2" xfId="26258"/>
    <cellStyle name="Normal 2 4 2 5 2 6" xfId="26259"/>
    <cellStyle name="Normal 2 4 2 5 2 7" xfId="26260"/>
    <cellStyle name="Normal 2 4 2 5 2 8" xfId="26261"/>
    <cellStyle name="Normal 2 4 2 5 2 9" xfId="26262"/>
    <cellStyle name="Normal 2 4 2 5 3" xfId="26263"/>
    <cellStyle name="Normal 2 4 2 5 3 2" xfId="26264"/>
    <cellStyle name="Normal 2 4 2 5 3 2 2" xfId="26265"/>
    <cellStyle name="Normal 2 4 2 5 3 2 2 2" xfId="26266"/>
    <cellStyle name="Normal 2 4 2 5 3 2 2 3" xfId="26267"/>
    <cellStyle name="Normal 2 4 2 5 3 2 3" xfId="26268"/>
    <cellStyle name="Normal 2 4 2 5 3 2 4" xfId="26269"/>
    <cellStyle name="Normal 2 4 2 5 3 2 5" xfId="26270"/>
    <cellStyle name="Normal 2 4 2 5 3 2 6" xfId="26271"/>
    <cellStyle name="Normal 2 4 2 5 3 3" xfId="26272"/>
    <cellStyle name="Normal 2 4 2 5 3 3 2" xfId="26273"/>
    <cellStyle name="Normal 2 4 2 5 3 3 2 2" xfId="26274"/>
    <cellStyle name="Normal 2 4 2 5 3 3 3" xfId="26275"/>
    <cellStyle name="Normal 2 4 2 5 3 3 4" xfId="26276"/>
    <cellStyle name="Normal 2 4 2 5 3 3 5" xfId="26277"/>
    <cellStyle name="Normal 2 4 2 5 3 4" xfId="26278"/>
    <cellStyle name="Normal 2 4 2 5 3 4 2" xfId="26279"/>
    <cellStyle name="Normal 2 4 2 5 3 4 3" xfId="26280"/>
    <cellStyle name="Normal 2 4 2 5 3 4 4" xfId="26281"/>
    <cellStyle name="Normal 2 4 2 5 3 5" xfId="26282"/>
    <cellStyle name="Normal 2 4 2 5 3 5 2" xfId="26283"/>
    <cellStyle name="Normal 2 4 2 5 3 6" xfId="26284"/>
    <cellStyle name="Normal 2 4 2 5 3 7" xfId="26285"/>
    <cellStyle name="Normal 2 4 2 5 3 8" xfId="26286"/>
    <cellStyle name="Normal 2 4 2 5 3 9" xfId="26287"/>
    <cellStyle name="Normal 2 4 2 5 4" xfId="26288"/>
    <cellStyle name="Normal 2 4 2 5 4 2" xfId="26289"/>
    <cellStyle name="Normal 2 4 2 5 4 2 2" xfId="26290"/>
    <cellStyle name="Normal 2 4 2 5 4 2 3" xfId="26291"/>
    <cellStyle name="Normal 2 4 2 5 4 3" xfId="26292"/>
    <cellStyle name="Normal 2 4 2 5 4 4" xfId="26293"/>
    <cellStyle name="Normal 2 4 2 5 4 5" xfId="26294"/>
    <cellStyle name="Normal 2 4 2 5 4 6" xfId="26295"/>
    <cellStyle name="Normal 2 4 2 5 5" xfId="26296"/>
    <cellStyle name="Normal 2 4 2 5 5 2" xfId="26297"/>
    <cellStyle name="Normal 2 4 2 5 5 2 2" xfId="26298"/>
    <cellStyle name="Normal 2 4 2 5 5 3" xfId="26299"/>
    <cellStyle name="Normal 2 4 2 5 5 4" xfId="26300"/>
    <cellStyle name="Normal 2 4 2 5 5 5" xfId="26301"/>
    <cellStyle name="Normal 2 4 2 5 6" xfId="26302"/>
    <cellStyle name="Normal 2 4 2 5 6 2" xfId="26303"/>
    <cellStyle name="Normal 2 4 2 5 6 3" xfId="26304"/>
    <cellStyle name="Normal 2 4 2 5 6 4" xfId="26305"/>
    <cellStyle name="Normal 2 4 2 5 7" xfId="26306"/>
    <cellStyle name="Normal 2 4 2 5 7 2" xfId="26307"/>
    <cellStyle name="Normal 2 4 2 5 8" xfId="26308"/>
    <cellStyle name="Normal 2 4 2 5 9" xfId="26309"/>
    <cellStyle name="Normal 2 4 2 6" xfId="26310"/>
    <cellStyle name="Normal 2 4 2 6 10" xfId="26311"/>
    <cellStyle name="Normal 2 4 2 6 11" xfId="26312"/>
    <cellStyle name="Normal 2 4 2 6 2" xfId="26313"/>
    <cellStyle name="Normal 2 4 2 6 2 2" xfId="26314"/>
    <cellStyle name="Normal 2 4 2 6 2 2 2" xfId="26315"/>
    <cellStyle name="Normal 2 4 2 6 2 2 2 2" xfId="26316"/>
    <cellStyle name="Normal 2 4 2 6 2 2 2 3" xfId="26317"/>
    <cellStyle name="Normal 2 4 2 6 2 2 3" xfId="26318"/>
    <cellStyle name="Normal 2 4 2 6 2 2 4" xfId="26319"/>
    <cellStyle name="Normal 2 4 2 6 2 2 5" xfId="26320"/>
    <cellStyle name="Normal 2 4 2 6 2 2 6" xfId="26321"/>
    <cellStyle name="Normal 2 4 2 6 2 3" xfId="26322"/>
    <cellStyle name="Normal 2 4 2 6 2 3 2" xfId="26323"/>
    <cellStyle name="Normal 2 4 2 6 2 3 2 2" xfId="26324"/>
    <cellStyle name="Normal 2 4 2 6 2 3 3" xfId="26325"/>
    <cellStyle name="Normal 2 4 2 6 2 3 4" xfId="26326"/>
    <cellStyle name="Normal 2 4 2 6 2 3 5" xfId="26327"/>
    <cellStyle name="Normal 2 4 2 6 2 4" xfId="26328"/>
    <cellStyle name="Normal 2 4 2 6 2 4 2" xfId="26329"/>
    <cellStyle name="Normal 2 4 2 6 2 4 3" xfId="26330"/>
    <cellStyle name="Normal 2 4 2 6 2 4 4" xfId="26331"/>
    <cellStyle name="Normal 2 4 2 6 2 5" xfId="26332"/>
    <cellStyle name="Normal 2 4 2 6 2 5 2" xfId="26333"/>
    <cellStyle name="Normal 2 4 2 6 2 6" xfId="26334"/>
    <cellStyle name="Normal 2 4 2 6 2 7" xfId="26335"/>
    <cellStyle name="Normal 2 4 2 6 2 8" xfId="26336"/>
    <cellStyle name="Normal 2 4 2 6 2 9" xfId="26337"/>
    <cellStyle name="Normal 2 4 2 6 3" xfId="26338"/>
    <cellStyle name="Normal 2 4 2 6 3 2" xfId="26339"/>
    <cellStyle name="Normal 2 4 2 6 3 2 2" xfId="26340"/>
    <cellStyle name="Normal 2 4 2 6 3 2 2 2" xfId="26341"/>
    <cellStyle name="Normal 2 4 2 6 3 2 2 3" xfId="26342"/>
    <cellStyle name="Normal 2 4 2 6 3 2 3" xfId="26343"/>
    <cellStyle name="Normal 2 4 2 6 3 2 4" xfId="26344"/>
    <cellStyle name="Normal 2 4 2 6 3 2 5" xfId="26345"/>
    <cellStyle name="Normal 2 4 2 6 3 2 6" xfId="26346"/>
    <cellStyle name="Normal 2 4 2 6 3 3" xfId="26347"/>
    <cellStyle name="Normal 2 4 2 6 3 3 2" xfId="26348"/>
    <cellStyle name="Normal 2 4 2 6 3 3 2 2" xfId="26349"/>
    <cellStyle name="Normal 2 4 2 6 3 3 3" xfId="26350"/>
    <cellStyle name="Normal 2 4 2 6 3 3 4" xfId="26351"/>
    <cellStyle name="Normal 2 4 2 6 3 3 5" xfId="26352"/>
    <cellStyle name="Normal 2 4 2 6 3 4" xfId="26353"/>
    <cellStyle name="Normal 2 4 2 6 3 4 2" xfId="26354"/>
    <cellStyle name="Normal 2 4 2 6 3 4 3" xfId="26355"/>
    <cellStyle name="Normal 2 4 2 6 3 4 4" xfId="26356"/>
    <cellStyle name="Normal 2 4 2 6 3 5" xfId="26357"/>
    <cellStyle name="Normal 2 4 2 6 3 5 2" xfId="26358"/>
    <cellStyle name="Normal 2 4 2 6 3 6" xfId="26359"/>
    <cellStyle name="Normal 2 4 2 6 3 7" xfId="26360"/>
    <cellStyle name="Normal 2 4 2 6 3 8" xfId="26361"/>
    <cellStyle name="Normal 2 4 2 6 3 9" xfId="26362"/>
    <cellStyle name="Normal 2 4 2 6 4" xfId="26363"/>
    <cellStyle name="Normal 2 4 2 6 4 2" xfId="26364"/>
    <cellStyle name="Normal 2 4 2 6 4 2 2" xfId="26365"/>
    <cellStyle name="Normal 2 4 2 6 4 2 3" xfId="26366"/>
    <cellStyle name="Normal 2 4 2 6 4 3" xfId="26367"/>
    <cellStyle name="Normal 2 4 2 6 4 4" xfId="26368"/>
    <cellStyle name="Normal 2 4 2 6 4 5" xfId="26369"/>
    <cellStyle name="Normal 2 4 2 6 4 6" xfId="26370"/>
    <cellStyle name="Normal 2 4 2 6 5" xfId="26371"/>
    <cellStyle name="Normal 2 4 2 6 5 2" xfId="26372"/>
    <cellStyle name="Normal 2 4 2 6 5 2 2" xfId="26373"/>
    <cellStyle name="Normal 2 4 2 6 5 3" xfId="26374"/>
    <cellStyle name="Normal 2 4 2 6 5 4" xfId="26375"/>
    <cellStyle name="Normal 2 4 2 6 5 5" xfId="26376"/>
    <cellStyle name="Normal 2 4 2 6 6" xfId="26377"/>
    <cellStyle name="Normal 2 4 2 6 6 2" xfId="26378"/>
    <cellStyle name="Normal 2 4 2 6 6 3" xfId="26379"/>
    <cellStyle name="Normal 2 4 2 6 6 4" xfId="26380"/>
    <cellStyle name="Normal 2 4 2 6 7" xfId="26381"/>
    <cellStyle name="Normal 2 4 2 6 7 2" xfId="26382"/>
    <cellStyle name="Normal 2 4 2 6 8" xfId="26383"/>
    <cellStyle name="Normal 2 4 2 6 9" xfId="26384"/>
    <cellStyle name="Normal 2 4 2 7" xfId="26385"/>
    <cellStyle name="Normal 2 4 2 7 10" xfId="26386"/>
    <cellStyle name="Normal 2 4 2 7 11" xfId="26387"/>
    <cellStyle name="Normal 2 4 2 7 2" xfId="26388"/>
    <cellStyle name="Normal 2 4 2 7 2 2" xfId="26389"/>
    <cellStyle name="Normal 2 4 2 7 2 2 2" xfId="26390"/>
    <cellStyle name="Normal 2 4 2 7 2 2 2 2" xfId="26391"/>
    <cellStyle name="Normal 2 4 2 7 2 2 2 3" xfId="26392"/>
    <cellStyle name="Normal 2 4 2 7 2 2 3" xfId="26393"/>
    <cellStyle name="Normal 2 4 2 7 2 2 4" xfId="26394"/>
    <cellStyle name="Normal 2 4 2 7 2 2 5" xfId="26395"/>
    <cellStyle name="Normal 2 4 2 7 2 2 6" xfId="26396"/>
    <cellStyle name="Normal 2 4 2 7 2 3" xfId="26397"/>
    <cellStyle name="Normal 2 4 2 7 2 3 2" xfId="26398"/>
    <cellStyle name="Normal 2 4 2 7 2 3 2 2" xfId="26399"/>
    <cellStyle name="Normal 2 4 2 7 2 3 3" xfId="26400"/>
    <cellStyle name="Normal 2 4 2 7 2 3 4" xfId="26401"/>
    <cellStyle name="Normal 2 4 2 7 2 3 5" xfId="26402"/>
    <cellStyle name="Normal 2 4 2 7 2 4" xfId="26403"/>
    <cellStyle name="Normal 2 4 2 7 2 4 2" xfId="26404"/>
    <cellStyle name="Normal 2 4 2 7 2 4 3" xfId="26405"/>
    <cellStyle name="Normal 2 4 2 7 2 4 4" xfId="26406"/>
    <cellStyle name="Normal 2 4 2 7 2 5" xfId="26407"/>
    <cellStyle name="Normal 2 4 2 7 2 5 2" xfId="26408"/>
    <cellStyle name="Normal 2 4 2 7 2 6" xfId="26409"/>
    <cellStyle name="Normal 2 4 2 7 2 7" xfId="26410"/>
    <cellStyle name="Normal 2 4 2 7 2 8" xfId="26411"/>
    <cellStyle name="Normal 2 4 2 7 2 9" xfId="26412"/>
    <cellStyle name="Normal 2 4 2 7 3" xfId="26413"/>
    <cellStyle name="Normal 2 4 2 7 3 2" xfId="26414"/>
    <cellStyle name="Normal 2 4 2 7 3 2 2" xfId="26415"/>
    <cellStyle name="Normal 2 4 2 7 3 2 2 2" xfId="26416"/>
    <cellStyle name="Normal 2 4 2 7 3 2 2 3" xfId="26417"/>
    <cellStyle name="Normal 2 4 2 7 3 2 3" xfId="26418"/>
    <cellStyle name="Normal 2 4 2 7 3 2 4" xfId="26419"/>
    <cellStyle name="Normal 2 4 2 7 3 2 5" xfId="26420"/>
    <cellStyle name="Normal 2 4 2 7 3 2 6" xfId="26421"/>
    <cellStyle name="Normal 2 4 2 7 3 3" xfId="26422"/>
    <cellStyle name="Normal 2 4 2 7 3 3 2" xfId="26423"/>
    <cellStyle name="Normal 2 4 2 7 3 3 2 2" xfId="26424"/>
    <cellStyle name="Normal 2 4 2 7 3 3 3" xfId="26425"/>
    <cellStyle name="Normal 2 4 2 7 3 3 4" xfId="26426"/>
    <cellStyle name="Normal 2 4 2 7 3 3 5" xfId="26427"/>
    <cellStyle name="Normal 2 4 2 7 3 4" xfId="26428"/>
    <cellStyle name="Normal 2 4 2 7 3 4 2" xfId="26429"/>
    <cellStyle name="Normal 2 4 2 7 3 4 3" xfId="26430"/>
    <cellStyle name="Normal 2 4 2 7 3 4 4" xfId="26431"/>
    <cellStyle name="Normal 2 4 2 7 3 5" xfId="26432"/>
    <cellStyle name="Normal 2 4 2 7 3 5 2" xfId="26433"/>
    <cellStyle name="Normal 2 4 2 7 3 6" xfId="26434"/>
    <cellStyle name="Normal 2 4 2 7 3 7" xfId="26435"/>
    <cellStyle name="Normal 2 4 2 7 3 8" xfId="26436"/>
    <cellStyle name="Normal 2 4 2 7 3 9" xfId="26437"/>
    <cellStyle name="Normal 2 4 2 7 4" xfId="26438"/>
    <cellStyle name="Normal 2 4 2 7 4 2" xfId="26439"/>
    <cellStyle name="Normal 2 4 2 7 4 2 2" xfId="26440"/>
    <cellStyle name="Normal 2 4 2 7 4 2 3" xfId="26441"/>
    <cellStyle name="Normal 2 4 2 7 4 3" xfId="26442"/>
    <cellStyle name="Normal 2 4 2 7 4 4" xfId="26443"/>
    <cellStyle name="Normal 2 4 2 7 4 5" xfId="26444"/>
    <cellStyle name="Normal 2 4 2 7 4 6" xfId="26445"/>
    <cellStyle name="Normal 2 4 2 7 5" xfId="26446"/>
    <cellStyle name="Normal 2 4 2 7 5 2" xfId="26447"/>
    <cellStyle name="Normal 2 4 2 7 5 2 2" xfId="26448"/>
    <cellStyle name="Normal 2 4 2 7 5 3" xfId="26449"/>
    <cellStyle name="Normal 2 4 2 7 5 4" xfId="26450"/>
    <cellStyle name="Normal 2 4 2 7 5 5" xfId="26451"/>
    <cellStyle name="Normal 2 4 2 7 6" xfId="26452"/>
    <cellStyle name="Normal 2 4 2 7 6 2" xfId="26453"/>
    <cellStyle name="Normal 2 4 2 7 6 3" xfId="26454"/>
    <cellStyle name="Normal 2 4 2 7 6 4" xfId="26455"/>
    <cellStyle name="Normal 2 4 2 7 7" xfId="26456"/>
    <cellStyle name="Normal 2 4 2 7 7 2" xfId="26457"/>
    <cellStyle name="Normal 2 4 2 7 8" xfId="26458"/>
    <cellStyle name="Normal 2 4 2 7 9" xfId="26459"/>
    <cellStyle name="Normal 2 4 2 8" xfId="26460"/>
    <cellStyle name="Normal 2 4 2 8 10" xfId="26461"/>
    <cellStyle name="Normal 2 4 2 8 2" xfId="26462"/>
    <cellStyle name="Normal 2 4 2 8 2 2" xfId="26463"/>
    <cellStyle name="Normal 2 4 2 8 2 2 2" xfId="26464"/>
    <cellStyle name="Normal 2 4 2 8 2 2 3" xfId="26465"/>
    <cellStyle name="Normal 2 4 2 8 2 3" xfId="26466"/>
    <cellStyle name="Normal 2 4 2 8 2 4" xfId="26467"/>
    <cellStyle name="Normal 2 4 2 8 2 5" xfId="26468"/>
    <cellStyle name="Normal 2 4 2 8 2 6" xfId="26469"/>
    <cellStyle name="Normal 2 4 2 8 3" xfId="26470"/>
    <cellStyle name="Normal 2 4 2 8 3 2" xfId="26471"/>
    <cellStyle name="Normal 2 4 2 8 3 2 2" xfId="26472"/>
    <cellStyle name="Normal 2 4 2 8 3 2 3" xfId="26473"/>
    <cellStyle name="Normal 2 4 2 8 3 3" xfId="26474"/>
    <cellStyle name="Normal 2 4 2 8 3 4" xfId="26475"/>
    <cellStyle name="Normal 2 4 2 8 3 5" xfId="26476"/>
    <cellStyle name="Normal 2 4 2 8 3 6" xfId="26477"/>
    <cellStyle name="Normal 2 4 2 8 4" xfId="26478"/>
    <cellStyle name="Normal 2 4 2 8 4 2" xfId="26479"/>
    <cellStyle name="Normal 2 4 2 8 4 2 2" xfId="26480"/>
    <cellStyle name="Normal 2 4 2 8 4 3" xfId="26481"/>
    <cellStyle name="Normal 2 4 2 8 4 4" xfId="26482"/>
    <cellStyle name="Normal 2 4 2 8 4 5" xfId="26483"/>
    <cellStyle name="Normal 2 4 2 8 5" xfId="26484"/>
    <cellStyle name="Normal 2 4 2 8 5 2" xfId="26485"/>
    <cellStyle name="Normal 2 4 2 8 5 3" xfId="26486"/>
    <cellStyle name="Normal 2 4 2 8 5 4" xfId="26487"/>
    <cellStyle name="Normal 2 4 2 8 6" xfId="26488"/>
    <cellStyle name="Normal 2 4 2 8 6 2" xfId="26489"/>
    <cellStyle name="Normal 2 4 2 8 7" xfId="26490"/>
    <cellStyle name="Normal 2 4 2 8 8" xfId="26491"/>
    <cellStyle name="Normal 2 4 2 8 9" xfId="26492"/>
    <cellStyle name="Normal 2 4 2 9" xfId="26493"/>
    <cellStyle name="Normal 2 4 2 9 10" xfId="26494"/>
    <cellStyle name="Normal 2 4 2 9 2" xfId="26495"/>
    <cellStyle name="Normal 2 4 2 9 2 2" xfId="26496"/>
    <cellStyle name="Normal 2 4 2 9 2 2 2" xfId="26497"/>
    <cellStyle name="Normal 2 4 2 9 2 2 3" xfId="26498"/>
    <cellStyle name="Normal 2 4 2 9 2 3" xfId="26499"/>
    <cellStyle name="Normal 2 4 2 9 2 4" xfId="26500"/>
    <cellStyle name="Normal 2 4 2 9 2 5" xfId="26501"/>
    <cellStyle name="Normal 2 4 2 9 2 6" xfId="26502"/>
    <cellStyle name="Normal 2 4 2 9 3" xfId="26503"/>
    <cellStyle name="Normal 2 4 2 9 3 2" xfId="26504"/>
    <cellStyle name="Normal 2 4 2 9 3 2 2" xfId="26505"/>
    <cellStyle name="Normal 2 4 2 9 3 2 3" xfId="26506"/>
    <cellStyle name="Normal 2 4 2 9 3 3" xfId="26507"/>
    <cellStyle name="Normal 2 4 2 9 3 4" xfId="26508"/>
    <cellStyle name="Normal 2 4 2 9 3 5" xfId="26509"/>
    <cellStyle name="Normal 2 4 2 9 3 6" xfId="26510"/>
    <cellStyle name="Normal 2 4 2 9 4" xfId="26511"/>
    <cellStyle name="Normal 2 4 2 9 4 2" xfId="26512"/>
    <cellStyle name="Normal 2 4 2 9 4 2 2" xfId="26513"/>
    <cellStyle name="Normal 2 4 2 9 4 3" xfId="26514"/>
    <cellStyle name="Normal 2 4 2 9 4 4" xfId="26515"/>
    <cellStyle name="Normal 2 4 2 9 4 5" xfId="26516"/>
    <cellStyle name="Normal 2 4 2 9 5" xfId="26517"/>
    <cellStyle name="Normal 2 4 2 9 5 2" xfId="26518"/>
    <cellStyle name="Normal 2 4 2 9 5 3" xfId="26519"/>
    <cellStyle name="Normal 2 4 2 9 5 4" xfId="26520"/>
    <cellStyle name="Normal 2 4 2 9 6" xfId="26521"/>
    <cellStyle name="Normal 2 4 2 9 6 2" xfId="26522"/>
    <cellStyle name="Normal 2 4 2 9 7" xfId="26523"/>
    <cellStyle name="Normal 2 4 2 9 8" xfId="26524"/>
    <cellStyle name="Normal 2 4 2 9 9" xfId="26525"/>
    <cellStyle name="Normal 2 4 3" xfId="26526"/>
    <cellStyle name="Normal 2 4 3 2" xfId="26527"/>
    <cellStyle name="Normal 2 4 4" xfId="26528"/>
    <cellStyle name="Normal 2 4 4 2" xfId="26529"/>
    <cellStyle name="Normal 2 4 5" xfId="26530"/>
    <cellStyle name="Normal 2 4 6" xfId="26531"/>
    <cellStyle name="Normal 2 4 7" xfId="26532"/>
    <cellStyle name="Normal 2 4 8" xfId="26533"/>
    <cellStyle name="Normal 2 4 9" xfId="26534"/>
    <cellStyle name="Normal 2 40" xfId="26535"/>
    <cellStyle name="Normal 2 40 10" xfId="26536"/>
    <cellStyle name="Normal 2 40 2" xfId="26537"/>
    <cellStyle name="Normal 2 40 2 2" xfId="26538"/>
    <cellStyle name="Normal 2 40 2 2 2" xfId="26539"/>
    <cellStyle name="Normal 2 40 2 2 3" xfId="26540"/>
    <cellStyle name="Normal 2 40 2 3" xfId="26541"/>
    <cellStyle name="Normal 2 40 2 4" xfId="26542"/>
    <cellStyle name="Normal 2 40 2 5" xfId="26543"/>
    <cellStyle name="Normal 2 40 2 6" xfId="26544"/>
    <cellStyle name="Normal 2 40 3" xfId="26545"/>
    <cellStyle name="Normal 2 40 3 2" xfId="26546"/>
    <cellStyle name="Normal 2 40 3 2 2" xfId="26547"/>
    <cellStyle name="Normal 2 40 3 2 3" xfId="26548"/>
    <cellStyle name="Normal 2 40 3 3" xfId="26549"/>
    <cellStyle name="Normal 2 40 3 4" xfId="26550"/>
    <cellStyle name="Normal 2 40 3 5" xfId="26551"/>
    <cellStyle name="Normal 2 40 3 6" xfId="26552"/>
    <cellStyle name="Normal 2 40 4" xfId="26553"/>
    <cellStyle name="Normal 2 40 4 2" xfId="26554"/>
    <cellStyle name="Normal 2 40 4 2 2" xfId="26555"/>
    <cellStyle name="Normal 2 40 4 3" xfId="26556"/>
    <cellStyle name="Normal 2 40 4 4" xfId="26557"/>
    <cellStyle name="Normal 2 40 4 5" xfId="26558"/>
    <cellStyle name="Normal 2 40 4 6" xfId="26559"/>
    <cellStyle name="Normal 2 40 5" xfId="26560"/>
    <cellStyle name="Normal 2 40 5 2" xfId="26561"/>
    <cellStyle name="Normal 2 40 5 3" xfId="26562"/>
    <cellStyle name="Normal 2 40 5 4" xfId="26563"/>
    <cellStyle name="Normal 2 40 5 5" xfId="26564"/>
    <cellStyle name="Normal 2 40 6" xfId="26565"/>
    <cellStyle name="Normal 2 40 6 2" xfId="26566"/>
    <cellStyle name="Normal 2 40 6 3" xfId="26567"/>
    <cellStyle name="Normal 2 40 7" xfId="26568"/>
    <cellStyle name="Normal 2 40 7 2" xfId="26569"/>
    <cellStyle name="Normal 2 40 8" xfId="26570"/>
    <cellStyle name="Normal 2 40 9" xfId="26571"/>
    <cellStyle name="Normal 2 41" xfId="26572"/>
    <cellStyle name="Normal 2 41 10" xfId="26573"/>
    <cellStyle name="Normal 2 41 2" xfId="26574"/>
    <cellStyle name="Normal 2 41 2 2" xfId="26575"/>
    <cellStyle name="Normal 2 41 2 2 2" xfId="26576"/>
    <cellStyle name="Normal 2 41 2 2 3" xfId="26577"/>
    <cellStyle name="Normal 2 41 2 3" xfId="26578"/>
    <cellStyle name="Normal 2 41 2 4" xfId="26579"/>
    <cellStyle name="Normal 2 41 2 5" xfId="26580"/>
    <cellStyle name="Normal 2 41 2 6" xfId="26581"/>
    <cellStyle name="Normal 2 41 3" xfId="26582"/>
    <cellStyle name="Normal 2 41 3 2" xfId="26583"/>
    <cellStyle name="Normal 2 41 3 2 2" xfId="26584"/>
    <cellStyle name="Normal 2 41 3 2 3" xfId="26585"/>
    <cellStyle name="Normal 2 41 3 3" xfId="26586"/>
    <cellStyle name="Normal 2 41 3 4" xfId="26587"/>
    <cellStyle name="Normal 2 41 3 5" xfId="26588"/>
    <cellStyle name="Normal 2 41 3 6" xfId="26589"/>
    <cellStyle name="Normal 2 41 4" xfId="26590"/>
    <cellStyle name="Normal 2 41 4 2" xfId="26591"/>
    <cellStyle name="Normal 2 41 4 2 2" xfId="26592"/>
    <cellStyle name="Normal 2 41 4 3" xfId="26593"/>
    <cellStyle name="Normal 2 41 4 4" xfId="26594"/>
    <cellStyle name="Normal 2 41 4 5" xfId="26595"/>
    <cellStyle name="Normal 2 41 4 6" xfId="26596"/>
    <cellStyle name="Normal 2 41 5" xfId="26597"/>
    <cellStyle name="Normal 2 41 5 2" xfId="26598"/>
    <cellStyle name="Normal 2 41 5 3" xfId="26599"/>
    <cellStyle name="Normal 2 41 5 4" xfId="26600"/>
    <cellStyle name="Normal 2 41 5 5" xfId="26601"/>
    <cellStyle name="Normal 2 41 6" xfId="26602"/>
    <cellStyle name="Normal 2 41 6 2" xfId="26603"/>
    <cellStyle name="Normal 2 41 6 3" xfId="26604"/>
    <cellStyle name="Normal 2 41 7" xfId="26605"/>
    <cellStyle name="Normal 2 41 7 2" xfId="26606"/>
    <cellStyle name="Normal 2 41 8" xfId="26607"/>
    <cellStyle name="Normal 2 41 9" xfId="26608"/>
    <cellStyle name="Normal 2 42" xfId="26609"/>
    <cellStyle name="Normal 2 42 10" xfId="26610"/>
    <cellStyle name="Normal 2 42 2" xfId="26611"/>
    <cellStyle name="Normal 2 42 2 2" xfId="26612"/>
    <cellStyle name="Normal 2 42 2 2 2" xfId="26613"/>
    <cellStyle name="Normal 2 42 2 2 3" xfId="26614"/>
    <cellStyle name="Normal 2 42 2 3" xfId="26615"/>
    <cellStyle name="Normal 2 42 2 4" xfId="26616"/>
    <cellStyle name="Normal 2 42 2 5" xfId="26617"/>
    <cellStyle name="Normal 2 42 2 6" xfId="26618"/>
    <cellStyle name="Normal 2 42 3" xfId="26619"/>
    <cellStyle name="Normal 2 42 3 2" xfId="26620"/>
    <cellStyle name="Normal 2 42 3 2 2" xfId="26621"/>
    <cellStyle name="Normal 2 42 3 2 3" xfId="26622"/>
    <cellStyle name="Normal 2 42 3 3" xfId="26623"/>
    <cellStyle name="Normal 2 42 3 4" xfId="26624"/>
    <cellStyle name="Normal 2 42 3 5" xfId="26625"/>
    <cellStyle name="Normal 2 42 3 6" xfId="26626"/>
    <cellStyle name="Normal 2 42 4" xfId="26627"/>
    <cellStyle name="Normal 2 42 4 2" xfId="26628"/>
    <cellStyle name="Normal 2 42 4 2 2" xfId="26629"/>
    <cellStyle name="Normal 2 42 4 3" xfId="26630"/>
    <cellStyle name="Normal 2 42 4 4" xfId="26631"/>
    <cellStyle name="Normal 2 42 4 5" xfId="26632"/>
    <cellStyle name="Normal 2 42 4 6" xfId="26633"/>
    <cellStyle name="Normal 2 42 5" xfId="26634"/>
    <cellStyle name="Normal 2 42 5 2" xfId="26635"/>
    <cellStyle name="Normal 2 42 5 3" xfId="26636"/>
    <cellStyle name="Normal 2 42 5 4" xfId="26637"/>
    <cellStyle name="Normal 2 42 5 5" xfId="26638"/>
    <cellStyle name="Normal 2 42 6" xfId="26639"/>
    <cellStyle name="Normal 2 42 6 2" xfId="26640"/>
    <cellStyle name="Normal 2 42 6 3" xfId="26641"/>
    <cellStyle name="Normal 2 42 7" xfId="26642"/>
    <cellStyle name="Normal 2 42 7 2" xfId="26643"/>
    <cellStyle name="Normal 2 42 8" xfId="26644"/>
    <cellStyle name="Normal 2 42 9" xfId="26645"/>
    <cellStyle name="Normal 2 43" xfId="26646"/>
    <cellStyle name="Normal 2 43 10" xfId="26647"/>
    <cellStyle name="Normal 2 43 2" xfId="26648"/>
    <cellStyle name="Normal 2 43 2 2" xfId="26649"/>
    <cellStyle name="Normal 2 43 2 2 2" xfId="26650"/>
    <cellStyle name="Normal 2 43 2 2 3" xfId="26651"/>
    <cellStyle name="Normal 2 43 2 3" xfId="26652"/>
    <cellStyle name="Normal 2 43 2 4" xfId="26653"/>
    <cellStyle name="Normal 2 43 2 5" xfId="26654"/>
    <cellStyle name="Normal 2 43 2 6" xfId="26655"/>
    <cellStyle name="Normal 2 43 3" xfId="26656"/>
    <cellStyle name="Normal 2 43 3 2" xfId="26657"/>
    <cellStyle name="Normal 2 43 3 2 2" xfId="26658"/>
    <cellStyle name="Normal 2 43 3 2 3" xfId="26659"/>
    <cellStyle name="Normal 2 43 3 3" xfId="26660"/>
    <cellStyle name="Normal 2 43 3 4" xfId="26661"/>
    <cellStyle name="Normal 2 43 3 5" xfId="26662"/>
    <cellStyle name="Normal 2 43 3 6" xfId="26663"/>
    <cellStyle name="Normal 2 43 4" xfId="26664"/>
    <cellStyle name="Normal 2 43 4 2" xfId="26665"/>
    <cellStyle name="Normal 2 43 4 2 2" xfId="26666"/>
    <cellStyle name="Normal 2 43 4 3" xfId="26667"/>
    <cellStyle name="Normal 2 43 4 4" xfId="26668"/>
    <cellStyle name="Normal 2 43 4 5" xfId="26669"/>
    <cellStyle name="Normal 2 43 4 6" xfId="26670"/>
    <cellStyle name="Normal 2 43 5" xfId="26671"/>
    <cellStyle name="Normal 2 43 5 2" xfId="26672"/>
    <cellStyle name="Normal 2 43 5 3" xfId="26673"/>
    <cellStyle name="Normal 2 43 5 4" xfId="26674"/>
    <cellStyle name="Normal 2 43 5 5" xfId="26675"/>
    <cellStyle name="Normal 2 43 6" xfId="26676"/>
    <cellStyle name="Normal 2 43 6 2" xfId="26677"/>
    <cellStyle name="Normal 2 43 6 3" xfId="26678"/>
    <cellStyle name="Normal 2 43 7" xfId="26679"/>
    <cellStyle name="Normal 2 43 7 2" xfId="26680"/>
    <cellStyle name="Normal 2 43 8" xfId="26681"/>
    <cellStyle name="Normal 2 43 9" xfId="26682"/>
    <cellStyle name="Normal 2 44" xfId="26683"/>
    <cellStyle name="Normal 2 44 10" xfId="26684"/>
    <cellStyle name="Normal 2 44 2" xfId="26685"/>
    <cellStyle name="Normal 2 44 2 2" xfId="26686"/>
    <cellStyle name="Normal 2 44 2 2 2" xfId="26687"/>
    <cellStyle name="Normal 2 44 2 2 3" xfId="26688"/>
    <cellStyle name="Normal 2 44 2 3" xfId="26689"/>
    <cellStyle name="Normal 2 44 2 4" xfId="26690"/>
    <cellStyle name="Normal 2 44 2 5" xfId="26691"/>
    <cellStyle name="Normal 2 44 2 6" xfId="26692"/>
    <cellStyle name="Normal 2 44 3" xfId="26693"/>
    <cellStyle name="Normal 2 44 3 2" xfId="26694"/>
    <cellStyle name="Normal 2 44 3 2 2" xfId="26695"/>
    <cellStyle name="Normal 2 44 3 2 3" xfId="26696"/>
    <cellStyle name="Normal 2 44 3 3" xfId="26697"/>
    <cellStyle name="Normal 2 44 3 4" xfId="26698"/>
    <cellStyle name="Normal 2 44 3 5" xfId="26699"/>
    <cellStyle name="Normal 2 44 3 6" xfId="26700"/>
    <cellStyle name="Normal 2 44 4" xfId="26701"/>
    <cellStyle name="Normal 2 44 4 2" xfId="26702"/>
    <cellStyle name="Normal 2 44 4 2 2" xfId="26703"/>
    <cellStyle name="Normal 2 44 4 3" xfId="26704"/>
    <cellStyle name="Normal 2 44 4 4" xfId="26705"/>
    <cellStyle name="Normal 2 44 4 5" xfId="26706"/>
    <cellStyle name="Normal 2 44 4 6" xfId="26707"/>
    <cellStyle name="Normal 2 44 5" xfId="26708"/>
    <cellStyle name="Normal 2 44 5 2" xfId="26709"/>
    <cellStyle name="Normal 2 44 5 3" xfId="26710"/>
    <cellStyle name="Normal 2 44 5 4" xfId="26711"/>
    <cellStyle name="Normal 2 44 5 5" xfId="26712"/>
    <cellStyle name="Normal 2 44 6" xfId="26713"/>
    <cellStyle name="Normal 2 44 6 2" xfId="26714"/>
    <cellStyle name="Normal 2 44 6 3" xfId="26715"/>
    <cellStyle name="Normal 2 44 7" xfId="26716"/>
    <cellStyle name="Normal 2 44 7 2" xfId="26717"/>
    <cellStyle name="Normal 2 44 8" xfId="26718"/>
    <cellStyle name="Normal 2 44 9" xfId="26719"/>
    <cellStyle name="Normal 2 45" xfId="26720"/>
    <cellStyle name="Normal 2 45 10" xfId="26721"/>
    <cellStyle name="Normal 2 45 2" xfId="26722"/>
    <cellStyle name="Normal 2 45 2 2" xfId="26723"/>
    <cellStyle name="Normal 2 45 2 2 2" xfId="26724"/>
    <cellStyle name="Normal 2 45 2 2 3" xfId="26725"/>
    <cellStyle name="Normal 2 45 2 3" xfId="26726"/>
    <cellStyle name="Normal 2 45 2 4" xfId="26727"/>
    <cellStyle name="Normal 2 45 2 5" xfId="26728"/>
    <cellStyle name="Normal 2 45 2 6" xfId="26729"/>
    <cellStyle name="Normal 2 45 3" xfId="26730"/>
    <cellStyle name="Normal 2 45 3 2" xfId="26731"/>
    <cellStyle name="Normal 2 45 3 2 2" xfId="26732"/>
    <cellStyle name="Normal 2 45 3 2 3" xfId="26733"/>
    <cellStyle name="Normal 2 45 3 3" xfId="26734"/>
    <cellStyle name="Normal 2 45 3 4" xfId="26735"/>
    <cellStyle name="Normal 2 45 3 5" xfId="26736"/>
    <cellStyle name="Normal 2 45 3 6" xfId="26737"/>
    <cellStyle name="Normal 2 45 4" xfId="26738"/>
    <cellStyle name="Normal 2 45 4 2" xfId="26739"/>
    <cellStyle name="Normal 2 45 4 2 2" xfId="26740"/>
    <cellStyle name="Normal 2 45 4 3" xfId="26741"/>
    <cellStyle name="Normal 2 45 4 4" xfId="26742"/>
    <cellStyle name="Normal 2 45 4 5" xfId="26743"/>
    <cellStyle name="Normal 2 45 4 6" xfId="26744"/>
    <cellStyle name="Normal 2 45 5" xfId="26745"/>
    <cellStyle name="Normal 2 45 5 2" xfId="26746"/>
    <cellStyle name="Normal 2 45 5 3" xfId="26747"/>
    <cellStyle name="Normal 2 45 5 4" xfId="26748"/>
    <cellStyle name="Normal 2 45 5 5" xfId="26749"/>
    <cellStyle name="Normal 2 45 6" xfId="26750"/>
    <cellStyle name="Normal 2 45 6 2" xfId="26751"/>
    <cellStyle name="Normal 2 45 6 3" xfId="26752"/>
    <cellStyle name="Normal 2 45 7" xfId="26753"/>
    <cellStyle name="Normal 2 45 7 2" xfId="26754"/>
    <cellStyle name="Normal 2 45 8" xfId="26755"/>
    <cellStyle name="Normal 2 45 9" xfId="26756"/>
    <cellStyle name="Normal 2 46" xfId="26757"/>
    <cellStyle name="Normal 2 46 10" xfId="26758"/>
    <cellStyle name="Normal 2 46 2" xfId="26759"/>
    <cellStyle name="Normal 2 46 2 2" xfId="26760"/>
    <cellStyle name="Normal 2 46 2 2 2" xfId="26761"/>
    <cellStyle name="Normal 2 46 2 2 3" xfId="26762"/>
    <cellStyle name="Normal 2 46 2 3" xfId="26763"/>
    <cellStyle name="Normal 2 46 2 4" xfId="26764"/>
    <cellStyle name="Normal 2 46 2 5" xfId="26765"/>
    <cellStyle name="Normal 2 46 2 6" xfId="26766"/>
    <cellStyle name="Normal 2 46 3" xfId="26767"/>
    <cellStyle name="Normal 2 46 3 2" xfId="26768"/>
    <cellStyle name="Normal 2 46 3 2 2" xfId="26769"/>
    <cellStyle name="Normal 2 46 3 2 3" xfId="26770"/>
    <cellStyle name="Normal 2 46 3 3" xfId="26771"/>
    <cellStyle name="Normal 2 46 3 4" xfId="26772"/>
    <cellStyle name="Normal 2 46 3 5" xfId="26773"/>
    <cellStyle name="Normal 2 46 3 6" xfId="26774"/>
    <cellStyle name="Normal 2 46 4" xfId="26775"/>
    <cellStyle name="Normal 2 46 4 2" xfId="26776"/>
    <cellStyle name="Normal 2 46 4 2 2" xfId="26777"/>
    <cellStyle name="Normal 2 46 4 3" xfId="26778"/>
    <cellStyle name="Normal 2 46 4 4" xfId="26779"/>
    <cellStyle name="Normal 2 46 4 5" xfId="26780"/>
    <cellStyle name="Normal 2 46 4 6" xfId="26781"/>
    <cellStyle name="Normal 2 46 5" xfId="26782"/>
    <cellStyle name="Normal 2 46 5 2" xfId="26783"/>
    <cellStyle name="Normal 2 46 5 3" xfId="26784"/>
    <cellStyle name="Normal 2 46 5 4" xfId="26785"/>
    <cellStyle name="Normal 2 46 5 5" xfId="26786"/>
    <cellStyle name="Normal 2 46 6" xfId="26787"/>
    <cellStyle name="Normal 2 46 6 2" xfId="26788"/>
    <cellStyle name="Normal 2 46 6 3" xfId="26789"/>
    <cellStyle name="Normal 2 46 7" xfId="26790"/>
    <cellStyle name="Normal 2 46 7 2" xfId="26791"/>
    <cellStyle name="Normal 2 46 8" xfId="26792"/>
    <cellStyle name="Normal 2 46 9" xfId="26793"/>
    <cellStyle name="Normal 2 47" xfId="26794"/>
    <cellStyle name="Normal 2 47 10" xfId="26795"/>
    <cellStyle name="Normal 2 47 2" xfId="26796"/>
    <cellStyle name="Normal 2 47 2 2" xfId="26797"/>
    <cellStyle name="Normal 2 47 2 2 2" xfId="26798"/>
    <cellStyle name="Normal 2 47 2 2 3" xfId="26799"/>
    <cellStyle name="Normal 2 47 2 3" xfId="26800"/>
    <cellStyle name="Normal 2 47 2 4" xfId="26801"/>
    <cellStyle name="Normal 2 47 2 5" xfId="26802"/>
    <cellStyle name="Normal 2 47 2 6" xfId="26803"/>
    <cellStyle name="Normal 2 47 3" xfId="26804"/>
    <cellStyle name="Normal 2 47 3 2" xfId="26805"/>
    <cellStyle name="Normal 2 47 3 2 2" xfId="26806"/>
    <cellStyle name="Normal 2 47 3 2 3" xfId="26807"/>
    <cellStyle name="Normal 2 47 3 3" xfId="26808"/>
    <cellStyle name="Normal 2 47 3 4" xfId="26809"/>
    <cellStyle name="Normal 2 47 3 5" xfId="26810"/>
    <cellStyle name="Normal 2 47 3 6" xfId="26811"/>
    <cellStyle name="Normal 2 47 4" xfId="26812"/>
    <cellStyle name="Normal 2 47 4 2" xfId="26813"/>
    <cellStyle name="Normal 2 47 4 2 2" xfId="26814"/>
    <cellStyle name="Normal 2 47 4 3" xfId="26815"/>
    <cellStyle name="Normal 2 47 4 4" xfId="26816"/>
    <cellStyle name="Normal 2 47 4 5" xfId="26817"/>
    <cellStyle name="Normal 2 47 4 6" xfId="26818"/>
    <cellStyle name="Normal 2 47 5" xfId="26819"/>
    <cellStyle name="Normal 2 47 5 2" xfId="26820"/>
    <cellStyle name="Normal 2 47 5 3" xfId="26821"/>
    <cellStyle name="Normal 2 47 5 4" xfId="26822"/>
    <cellStyle name="Normal 2 47 5 5" xfId="26823"/>
    <cellStyle name="Normal 2 47 6" xfId="26824"/>
    <cellStyle name="Normal 2 47 6 2" xfId="26825"/>
    <cellStyle name="Normal 2 47 6 3" xfId="26826"/>
    <cellStyle name="Normal 2 47 7" xfId="26827"/>
    <cellStyle name="Normal 2 47 7 2" xfId="26828"/>
    <cellStyle name="Normal 2 47 8" xfId="26829"/>
    <cellStyle name="Normal 2 47 9" xfId="26830"/>
    <cellStyle name="Normal 2 48" xfId="26831"/>
    <cellStyle name="Normal 2 48 10" xfId="26832"/>
    <cellStyle name="Normal 2 48 2" xfId="26833"/>
    <cellStyle name="Normal 2 48 2 2" xfId="26834"/>
    <cellStyle name="Normal 2 48 2 2 2" xfId="26835"/>
    <cellStyle name="Normal 2 48 2 2 3" xfId="26836"/>
    <cellStyle name="Normal 2 48 2 3" xfId="26837"/>
    <cellStyle name="Normal 2 48 2 4" xfId="26838"/>
    <cellStyle name="Normal 2 48 2 5" xfId="26839"/>
    <cellStyle name="Normal 2 48 2 6" xfId="26840"/>
    <cellStyle name="Normal 2 48 3" xfId="26841"/>
    <cellStyle name="Normal 2 48 3 2" xfId="26842"/>
    <cellStyle name="Normal 2 48 3 2 2" xfId="26843"/>
    <cellStyle name="Normal 2 48 3 2 3" xfId="26844"/>
    <cellStyle name="Normal 2 48 3 3" xfId="26845"/>
    <cellStyle name="Normal 2 48 3 4" xfId="26846"/>
    <cellStyle name="Normal 2 48 3 5" xfId="26847"/>
    <cellStyle name="Normal 2 48 3 6" xfId="26848"/>
    <cellStyle name="Normal 2 48 4" xfId="26849"/>
    <cellStyle name="Normal 2 48 4 2" xfId="26850"/>
    <cellStyle name="Normal 2 48 4 2 2" xfId="26851"/>
    <cellStyle name="Normal 2 48 4 3" xfId="26852"/>
    <cellStyle name="Normal 2 48 4 4" xfId="26853"/>
    <cellStyle name="Normal 2 48 4 5" xfId="26854"/>
    <cellStyle name="Normal 2 48 4 6" xfId="26855"/>
    <cellStyle name="Normal 2 48 5" xfId="26856"/>
    <cellStyle name="Normal 2 48 5 2" xfId="26857"/>
    <cellStyle name="Normal 2 48 5 3" xfId="26858"/>
    <cellStyle name="Normal 2 48 5 4" xfId="26859"/>
    <cellStyle name="Normal 2 48 5 5" xfId="26860"/>
    <cellStyle name="Normal 2 48 6" xfId="26861"/>
    <cellStyle name="Normal 2 48 6 2" xfId="26862"/>
    <cellStyle name="Normal 2 48 6 3" xfId="26863"/>
    <cellStyle name="Normal 2 48 7" xfId="26864"/>
    <cellStyle name="Normal 2 48 7 2" xfId="26865"/>
    <cellStyle name="Normal 2 48 8" xfId="26866"/>
    <cellStyle name="Normal 2 48 9" xfId="26867"/>
    <cellStyle name="Normal 2 49" xfId="26868"/>
    <cellStyle name="Normal 2 49 10" xfId="26869"/>
    <cellStyle name="Normal 2 49 2" xfId="26870"/>
    <cellStyle name="Normal 2 49 2 2" xfId="26871"/>
    <cellStyle name="Normal 2 49 2 2 2" xfId="26872"/>
    <cellStyle name="Normal 2 49 2 2 3" xfId="26873"/>
    <cellStyle name="Normal 2 49 2 3" xfId="26874"/>
    <cellStyle name="Normal 2 49 2 4" xfId="26875"/>
    <cellStyle name="Normal 2 49 2 5" xfId="26876"/>
    <cellStyle name="Normal 2 49 2 6" xfId="26877"/>
    <cellStyle name="Normal 2 49 3" xfId="26878"/>
    <cellStyle name="Normal 2 49 3 2" xfId="26879"/>
    <cellStyle name="Normal 2 49 3 2 2" xfId="26880"/>
    <cellStyle name="Normal 2 49 3 2 3" xfId="26881"/>
    <cellStyle name="Normal 2 49 3 3" xfId="26882"/>
    <cellStyle name="Normal 2 49 3 4" xfId="26883"/>
    <cellStyle name="Normal 2 49 3 5" xfId="26884"/>
    <cellStyle name="Normal 2 49 3 6" xfId="26885"/>
    <cellStyle name="Normal 2 49 4" xfId="26886"/>
    <cellStyle name="Normal 2 49 4 2" xfId="26887"/>
    <cellStyle name="Normal 2 49 4 2 2" xfId="26888"/>
    <cellStyle name="Normal 2 49 4 3" xfId="26889"/>
    <cellStyle name="Normal 2 49 4 4" xfId="26890"/>
    <cellStyle name="Normal 2 49 4 5" xfId="26891"/>
    <cellStyle name="Normal 2 49 4 6" xfId="26892"/>
    <cellStyle name="Normal 2 49 5" xfId="26893"/>
    <cellStyle name="Normal 2 49 5 2" xfId="26894"/>
    <cellStyle name="Normal 2 49 5 3" xfId="26895"/>
    <cellStyle name="Normal 2 49 5 4" xfId="26896"/>
    <cellStyle name="Normal 2 49 5 5" xfId="26897"/>
    <cellStyle name="Normal 2 49 6" xfId="26898"/>
    <cellStyle name="Normal 2 49 6 2" xfId="26899"/>
    <cellStyle name="Normal 2 49 6 3" xfId="26900"/>
    <cellStyle name="Normal 2 49 7" xfId="26901"/>
    <cellStyle name="Normal 2 49 7 2" xfId="26902"/>
    <cellStyle name="Normal 2 49 8" xfId="26903"/>
    <cellStyle name="Normal 2 49 9" xfId="26904"/>
    <cellStyle name="Normal 2 5" xfId="26905"/>
    <cellStyle name="Normal 2 5 2" xfId="26906"/>
    <cellStyle name="Normal 2 5 2 10" xfId="26907"/>
    <cellStyle name="Normal 2 5 2 10 10" xfId="26908"/>
    <cellStyle name="Normal 2 5 2 10 2" xfId="26909"/>
    <cellStyle name="Normal 2 5 2 10 2 2" xfId="26910"/>
    <cellStyle name="Normal 2 5 2 10 2 2 2" xfId="26911"/>
    <cellStyle name="Normal 2 5 2 10 2 2 3" xfId="26912"/>
    <cellStyle name="Normal 2 5 2 10 2 3" xfId="26913"/>
    <cellStyle name="Normal 2 5 2 10 2 4" xfId="26914"/>
    <cellStyle name="Normal 2 5 2 10 2 5" xfId="26915"/>
    <cellStyle name="Normal 2 5 2 10 2 6" xfId="26916"/>
    <cellStyle name="Normal 2 5 2 10 3" xfId="26917"/>
    <cellStyle name="Normal 2 5 2 10 3 2" xfId="26918"/>
    <cellStyle name="Normal 2 5 2 10 3 2 2" xfId="26919"/>
    <cellStyle name="Normal 2 5 2 10 3 2 3" xfId="26920"/>
    <cellStyle name="Normal 2 5 2 10 3 3" xfId="26921"/>
    <cellStyle name="Normal 2 5 2 10 3 4" xfId="26922"/>
    <cellStyle name="Normal 2 5 2 10 3 5" xfId="26923"/>
    <cellStyle name="Normal 2 5 2 10 3 6" xfId="26924"/>
    <cellStyle name="Normal 2 5 2 10 4" xfId="26925"/>
    <cellStyle name="Normal 2 5 2 10 4 2" xfId="26926"/>
    <cellStyle name="Normal 2 5 2 10 4 2 2" xfId="26927"/>
    <cellStyle name="Normal 2 5 2 10 4 3" xfId="26928"/>
    <cellStyle name="Normal 2 5 2 10 4 4" xfId="26929"/>
    <cellStyle name="Normal 2 5 2 10 4 5" xfId="26930"/>
    <cellStyle name="Normal 2 5 2 10 5" xfId="26931"/>
    <cellStyle name="Normal 2 5 2 10 5 2" xfId="26932"/>
    <cellStyle name="Normal 2 5 2 10 5 3" xfId="26933"/>
    <cellStyle name="Normal 2 5 2 10 5 4" xfId="26934"/>
    <cellStyle name="Normal 2 5 2 10 6" xfId="26935"/>
    <cellStyle name="Normal 2 5 2 10 6 2" xfId="26936"/>
    <cellStyle name="Normal 2 5 2 10 7" xfId="26937"/>
    <cellStyle name="Normal 2 5 2 10 8" xfId="26938"/>
    <cellStyle name="Normal 2 5 2 10 9" xfId="26939"/>
    <cellStyle name="Normal 2 5 2 11" xfId="26940"/>
    <cellStyle name="Normal 2 5 2 11 10" xfId="26941"/>
    <cellStyle name="Normal 2 5 2 11 2" xfId="26942"/>
    <cellStyle name="Normal 2 5 2 11 2 2" xfId="26943"/>
    <cellStyle name="Normal 2 5 2 11 2 2 2" xfId="26944"/>
    <cellStyle name="Normal 2 5 2 11 2 2 3" xfId="26945"/>
    <cellStyle name="Normal 2 5 2 11 2 3" xfId="26946"/>
    <cellStyle name="Normal 2 5 2 11 2 4" xfId="26947"/>
    <cellStyle name="Normal 2 5 2 11 2 5" xfId="26948"/>
    <cellStyle name="Normal 2 5 2 11 2 6" xfId="26949"/>
    <cellStyle name="Normal 2 5 2 11 3" xfId="26950"/>
    <cellStyle name="Normal 2 5 2 11 3 2" xfId="26951"/>
    <cellStyle name="Normal 2 5 2 11 3 2 2" xfId="26952"/>
    <cellStyle name="Normal 2 5 2 11 3 2 3" xfId="26953"/>
    <cellStyle name="Normal 2 5 2 11 3 3" xfId="26954"/>
    <cellStyle name="Normal 2 5 2 11 3 4" xfId="26955"/>
    <cellStyle name="Normal 2 5 2 11 3 5" xfId="26956"/>
    <cellStyle name="Normal 2 5 2 11 3 6" xfId="26957"/>
    <cellStyle name="Normal 2 5 2 11 4" xfId="26958"/>
    <cellStyle name="Normal 2 5 2 11 4 2" xfId="26959"/>
    <cellStyle name="Normal 2 5 2 11 4 2 2" xfId="26960"/>
    <cellStyle name="Normal 2 5 2 11 4 3" xfId="26961"/>
    <cellStyle name="Normal 2 5 2 11 4 4" xfId="26962"/>
    <cellStyle name="Normal 2 5 2 11 4 5" xfId="26963"/>
    <cellStyle name="Normal 2 5 2 11 5" xfId="26964"/>
    <cellStyle name="Normal 2 5 2 11 5 2" xfId="26965"/>
    <cellStyle name="Normal 2 5 2 11 5 3" xfId="26966"/>
    <cellStyle name="Normal 2 5 2 11 5 4" xfId="26967"/>
    <cellStyle name="Normal 2 5 2 11 6" xfId="26968"/>
    <cellStyle name="Normal 2 5 2 11 6 2" xfId="26969"/>
    <cellStyle name="Normal 2 5 2 11 7" xfId="26970"/>
    <cellStyle name="Normal 2 5 2 11 8" xfId="26971"/>
    <cellStyle name="Normal 2 5 2 11 9" xfId="26972"/>
    <cellStyle name="Normal 2 5 2 12" xfId="26973"/>
    <cellStyle name="Normal 2 5 2 12 10" xfId="26974"/>
    <cellStyle name="Normal 2 5 2 12 2" xfId="26975"/>
    <cellStyle name="Normal 2 5 2 12 2 2" xfId="26976"/>
    <cellStyle name="Normal 2 5 2 12 2 2 2" xfId="26977"/>
    <cellStyle name="Normal 2 5 2 12 2 2 3" xfId="26978"/>
    <cellStyle name="Normal 2 5 2 12 2 3" xfId="26979"/>
    <cellStyle name="Normal 2 5 2 12 2 4" xfId="26980"/>
    <cellStyle name="Normal 2 5 2 12 2 5" xfId="26981"/>
    <cellStyle name="Normal 2 5 2 12 2 6" xfId="26982"/>
    <cellStyle name="Normal 2 5 2 12 3" xfId="26983"/>
    <cellStyle name="Normal 2 5 2 12 3 2" xfId="26984"/>
    <cellStyle name="Normal 2 5 2 12 3 2 2" xfId="26985"/>
    <cellStyle name="Normal 2 5 2 12 3 2 3" xfId="26986"/>
    <cellStyle name="Normal 2 5 2 12 3 3" xfId="26987"/>
    <cellStyle name="Normal 2 5 2 12 3 4" xfId="26988"/>
    <cellStyle name="Normal 2 5 2 12 3 5" xfId="26989"/>
    <cellStyle name="Normal 2 5 2 12 3 6" xfId="26990"/>
    <cellStyle name="Normal 2 5 2 12 4" xfId="26991"/>
    <cellStyle name="Normal 2 5 2 12 4 2" xfId="26992"/>
    <cellStyle name="Normal 2 5 2 12 4 2 2" xfId="26993"/>
    <cellStyle name="Normal 2 5 2 12 4 3" xfId="26994"/>
    <cellStyle name="Normal 2 5 2 12 4 4" xfId="26995"/>
    <cellStyle name="Normal 2 5 2 12 4 5" xfId="26996"/>
    <cellStyle name="Normal 2 5 2 12 5" xfId="26997"/>
    <cellStyle name="Normal 2 5 2 12 5 2" xfId="26998"/>
    <cellStyle name="Normal 2 5 2 12 5 3" xfId="26999"/>
    <cellStyle name="Normal 2 5 2 12 5 4" xfId="27000"/>
    <cellStyle name="Normal 2 5 2 12 6" xfId="27001"/>
    <cellStyle name="Normal 2 5 2 12 6 2" xfId="27002"/>
    <cellStyle name="Normal 2 5 2 12 7" xfId="27003"/>
    <cellStyle name="Normal 2 5 2 12 8" xfId="27004"/>
    <cellStyle name="Normal 2 5 2 12 9" xfId="27005"/>
    <cellStyle name="Normal 2 5 2 13" xfId="27006"/>
    <cellStyle name="Normal 2 5 2 13 2" xfId="27007"/>
    <cellStyle name="Normal 2 5 2 13 2 2" xfId="27008"/>
    <cellStyle name="Normal 2 5 2 13 2 2 2" xfId="27009"/>
    <cellStyle name="Normal 2 5 2 13 2 2 3" xfId="27010"/>
    <cellStyle name="Normal 2 5 2 13 2 3" xfId="27011"/>
    <cellStyle name="Normal 2 5 2 13 2 4" xfId="27012"/>
    <cellStyle name="Normal 2 5 2 13 2 5" xfId="27013"/>
    <cellStyle name="Normal 2 5 2 13 2 6" xfId="27014"/>
    <cellStyle name="Normal 2 5 2 13 3" xfId="27015"/>
    <cellStyle name="Normal 2 5 2 13 3 2" xfId="27016"/>
    <cellStyle name="Normal 2 5 2 13 3 2 2" xfId="27017"/>
    <cellStyle name="Normal 2 5 2 13 3 3" xfId="27018"/>
    <cellStyle name="Normal 2 5 2 13 3 4" xfId="27019"/>
    <cellStyle name="Normal 2 5 2 13 3 5" xfId="27020"/>
    <cellStyle name="Normal 2 5 2 13 4" xfId="27021"/>
    <cellStyle name="Normal 2 5 2 13 4 2" xfId="27022"/>
    <cellStyle name="Normal 2 5 2 13 4 3" xfId="27023"/>
    <cellStyle name="Normal 2 5 2 13 4 4" xfId="27024"/>
    <cellStyle name="Normal 2 5 2 13 5" xfId="27025"/>
    <cellStyle name="Normal 2 5 2 13 5 2" xfId="27026"/>
    <cellStyle name="Normal 2 5 2 13 6" xfId="27027"/>
    <cellStyle name="Normal 2 5 2 13 7" xfId="27028"/>
    <cellStyle name="Normal 2 5 2 13 8" xfId="27029"/>
    <cellStyle name="Normal 2 5 2 13 9" xfId="27030"/>
    <cellStyle name="Normal 2 5 2 14" xfId="27031"/>
    <cellStyle name="Normal 2 5 2 14 2" xfId="27032"/>
    <cellStyle name="Normal 2 5 2 14 2 2" xfId="27033"/>
    <cellStyle name="Normal 2 5 2 14 2 2 2" xfId="27034"/>
    <cellStyle name="Normal 2 5 2 14 2 2 3" xfId="27035"/>
    <cellStyle name="Normal 2 5 2 14 2 3" xfId="27036"/>
    <cellStyle name="Normal 2 5 2 14 2 4" xfId="27037"/>
    <cellStyle name="Normal 2 5 2 14 2 5" xfId="27038"/>
    <cellStyle name="Normal 2 5 2 14 2 6" xfId="27039"/>
    <cellStyle name="Normal 2 5 2 14 3" xfId="27040"/>
    <cellStyle name="Normal 2 5 2 14 3 2" xfId="27041"/>
    <cellStyle name="Normal 2 5 2 14 3 2 2" xfId="27042"/>
    <cellStyle name="Normal 2 5 2 14 3 3" xfId="27043"/>
    <cellStyle name="Normal 2 5 2 14 3 4" xfId="27044"/>
    <cellStyle name="Normal 2 5 2 14 3 5" xfId="27045"/>
    <cellStyle name="Normal 2 5 2 14 4" xfId="27046"/>
    <cellStyle name="Normal 2 5 2 14 4 2" xfId="27047"/>
    <cellStyle name="Normal 2 5 2 14 4 3" xfId="27048"/>
    <cellStyle name="Normal 2 5 2 14 4 4" xfId="27049"/>
    <cellStyle name="Normal 2 5 2 14 5" xfId="27050"/>
    <cellStyle name="Normal 2 5 2 14 5 2" xfId="27051"/>
    <cellStyle name="Normal 2 5 2 14 6" xfId="27052"/>
    <cellStyle name="Normal 2 5 2 14 7" xfId="27053"/>
    <cellStyle name="Normal 2 5 2 14 8" xfId="27054"/>
    <cellStyle name="Normal 2 5 2 14 9" xfId="27055"/>
    <cellStyle name="Normal 2 5 2 15" xfId="27056"/>
    <cellStyle name="Normal 2 5 2 15 2" xfId="27057"/>
    <cellStyle name="Normal 2 5 2 15 2 2" xfId="27058"/>
    <cellStyle name="Normal 2 5 2 15 2 3" xfId="27059"/>
    <cellStyle name="Normal 2 5 2 15 3" xfId="27060"/>
    <cellStyle name="Normal 2 5 2 15 4" xfId="27061"/>
    <cellStyle name="Normal 2 5 2 15 5" xfId="27062"/>
    <cellStyle name="Normal 2 5 2 15 6" xfId="27063"/>
    <cellStyle name="Normal 2 5 2 16" xfId="27064"/>
    <cellStyle name="Normal 2 5 2 16 2" xfId="27065"/>
    <cellStyle name="Normal 2 5 2 16 2 2" xfId="27066"/>
    <cellStyle name="Normal 2 5 2 16 3" xfId="27067"/>
    <cellStyle name="Normal 2 5 2 16 4" xfId="27068"/>
    <cellStyle name="Normal 2 5 2 16 5" xfId="27069"/>
    <cellStyle name="Normal 2 5 2 17" xfId="27070"/>
    <cellStyle name="Normal 2 5 2 17 2" xfId="27071"/>
    <cellStyle name="Normal 2 5 2 17 2 2" xfId="27072"/>
    <cellStyle name="Normal 2 5 2 17 3" xfId="27073"/>
    <cellStyle name="Normal 2 5 2 17 4" xfId="27074"/>
    <cellStyle name="Normal 2 5 2 17 5" xfId="27075"/>
    <cellStyle name="Normal 2 5 2 18" xfId="27076"/>
    <cellStyle name="Normal 2 5 2 18 2" xfId="27077"/>
    <cellStyle name="Normal 2 5 2 19" xfId="27078"/>
    <cellStyle name="Normal 2 5 2 2" xfId="27079"/>
    <cellStyle name="Normal 2 5 2 2 10" xfId="27080"/>
    <cellStyle name="Normal 2 5 2 2 11" xfId="27081"/>
    <cellStyle name="Normal 2 5 2 2 2" xfId="27082"/>
    <cellStyle name="Normal 2 5 2 2 2 2" xfId="27083"/>
    <cellStyle name="Normal 2 5 2 2 2 2 2" xfId="27084"/>
    <cellStyle name="Normal 2 5 2 2 2 2 2 2" xfId="27085"/>
    <cellStyle name="Normal 2 5 2 2 2 2 2 3" xfId="27086"/>
    <cellStyle name="Normal 2 5 2 2 2 2 3" xfId="27087"/>
    <cellStyle name="Normal 2 5 2 2 2 2 4" xfId="27088"/>
    <cellStyle name="Normal 2 5 2 2 2 2 5" xfId="27089"/>
    <cellStyle name="Normal 2 5 2 2 2 2 6" xfId="27090"/>
    <cellStyle name="Normal 2 5 2 2 2 3" xfId="27091"/>
    <cellStyle name="Normal 2 5 2 2 2 3 2" xfId="27092"/>
    <cellStyle name="Normal 2 5 2 2 2 3 2 2" xfId="27093"/>
    <cellStyle name="Normal 2 5 2 2 2 3 3" xfId="27094"/>
    <cellStyle name="Normal 2 5 2 2 2 3 4" xfId="27095"/>
    <cellStyle name="Normal 2 5 2 2 2 3 5" xfId="27096"/>
    <cellStyle name="Normal 2 5 2 2 2 4" xfId="27097"/>
    <cellStyle name="Normal 2 5 2 2 2 4 2" xfId="27098"/>
    <cellStyle name="Normal 2 5 2 2 2 4 3" xfId="27099"/>
    <cellStyle name="Normal 2 5 2 2 2 4 4" xfId="27100"/>
    <cellStyle name="Normal 2 5 2 2 2 5" xfId="27101"/>
    <cellStyle name="Normal 2 5 2 2 2 5 2" xfId="27102"/>
    <cellStyle name="Normal 2 5 2 2 2 6" xfId="27103"/>
    <cellStyle name="Normal 2 5 2 2 2 7" xfId="27104"/>
    <cellStyle name="Normal 2 5 2 2 2 8" xfId="27105"/>
    <cellStyle name="Normal 2 5 2 2 2 9" xfId="27106"/>
    <cellStyle name="Normal 2 5 2 2 3" xfId="27107"/>
    <cellStyle name="Normal 2 5 2 2 3 2" xfId="27108"/>
    <cellStyle name="Normal 2 5 2 2 3 2 2" xfId="27109"/>
    <cellStyle name="Normal 2 5 2 2 3 2 2 2" xfId="27110"/>
    <cellStyle name="Normal 2 5 2 2 3 2 2 3" xfId="27111"/>
    <cellStyle name="Normal 2 5 2 2 3 2 3" xfId="27112"/>
    <cellStyle name="Normal 2 5 2 2 3 2 4" xfId="27113"/>
    <cellStyle name="Normal 2 5 2 2 3 2 5" xfId="27114"/>
    <cellStyle name="Normal 2 5 2 2 3 2 6" xfId="27115"/>
    <cellStyle name="Normal 2 5 2 2 3 3" xfId="27116"/>
    <cellStyle name="Normal 2 5 2 2 3 3 2" xfId="27117"/>
    <cellStyle name="Normal 2 5 2 2 3 3 2 2" xfId="27118"/>
    <cellStyle name="Normal 2 5 2 2 3 3 3" xfId="27119"/>
    <cellStyle name="Normal 2 5 2 2 3 3 4" xfId="27120"/>
    <cellStyle name="Normal 2 5 2 2 3 3 5" xfId="27121"/>
    <cellStyle name="Normal 2 5 2 2 3 4" xfId="27122"/>
    <cellStyle name="Normal 2 5 2 2 3 4 2" xfId="27123"/>
    <cellStyle name="Normal 2 5 2 2 3 4 3" xfId="27124"/>
    <cellStyle name="Normal 2 5 2 2 3 4 4" xfId="27125"/>
    <cellStyle name="Normal 2 5 2 2 3 5" xfId="27126"/>
    <cellStyle name="Normal 2 5 2 2 3 5 2" xfId="27127"/>
    <cellStyle name="Normal 2 5 2 2 3 6" xfId="27128"/>
    <cellStyle name="Normal 2 5 2 2 3 7" xfId="27129"/>
    <cellStyle name="Normal 2 5 2 2 3 8" xfId="27130"/>
    <cellStyle name="Normal 2 5 2 2 3 9" xfId="27131"/>
    <cellStyle name="Normal 2 5 2 2 4" xfId="27132"/>
    <cellStyle name="Normal 2 5 2 2 4 2" xfId="27133"/>
    <cellStyle name="Normal 2 5 2 2 4 2 2" xfId="27134"/>
    <cellStyle name="Normal 2 5 2 2 4 2 3" xfId="27135"/>
    <cellStyle name="Normal 2 5 2 2 4 3" xfId="27136"/>
    <cellStyle name="Normal 2 5 2 2 4 4" xfId="27137"/>
    <cellStyle name="Normal 2 5 2 2 4 5" xfId="27138"/>
    <cellStyle name="Normal 2 5 2 2 4 6" xfId="27139"/>
    <cellStyle name="Normal 2 5 2 2 5" xfId="27140"/>
    <cellStyle name="Normal 2 5 2 2 5 2" xfId="27141"/>
    <cellStyle name="Normal 2 5 2 2 5 2 2" xfId="27142"/>
    <cellStyle name="Normal 2 5 2 2 5 3" xfId="27143"/>
    <cellStyle name="Normal 2 5 2 2 5 4" xfId="27144"/>
    <cellStyle name="Normal 2 5 2 2 5 5" xfId="27145"/>
    <cellStyle name="Normal 2 5 2 2 6" xfId="27146"/>
    <cellStyle name="Normal 2 5 2 2 6 2" xfId="27147"/>
    <cellStyle name="Normal 2 5 2 2 6 3" xfId="27148"/>
    <cellStyle name="Normal 2 5 2 2 6 4" xfId="27149"/>
    <cellStyle name="Normal 2 5 2 2 7" xfId="27150"/>
    <cellStyle name="Normal 2 5 2 2 7 2" xfId="27151"/>
    <cellStyle name="Normal 2 5 2 2 8" xfId="27152"/>
    <cellStyle name="Normal 2 5 2 2 9" xfId="27153"/>
    <cellStyle name="Normal 2 5 2 20" xfId="27154"/>
    <cellStyle name="Normal 2 5 2 21" xfId="27155"/>
    <cellStyle name="Normal 2 5 2 22" xfId="27156"/>
    <cellStyle name="Normal 2 5 2 3" xfId="27157"/>
    <cellStyle name="Normal 2 5 2 3 10" xfId="27158"/>
    <cellStyle name="Normal 2 5 2 3 11" xfId="27159"/>
    <cellStyle name="Normal 2 5 2 3 2" xfId="27160"/>
    <cellStyle name="Normal 2 5 2 3 2 2" xfId="27161"/>
    <cellStyle name="Normal 2 5 2 3 2 2 2" xfId="27162"/>
    <cellStyle name="Normal 2 5 2 3 2 2 2 2" xfId="27163"/>
    <cellStyle name="Normal 2 5 2 3 2 2 2 3" xfId="27164"/>
    <cellStyle name="Normal 2 5 2 3 2 2 3" xfId="27165"/>
    <cellStyle name="Normal 2 5 2 3 2 2 4" xfId="27166"/>
    <cellStyle name="Normal 2 5 2 3 2 2 5" xfId="27167"/>
    <cellStyle name="Normal 2 5 2 3 2 2 6" xfId="27168"/>
    <cellStyle name="Normal 2 5 2 3 2 3" xfId="27169"/>
    <cellStyle name="Normal 2 5 2 3 2 3 2" xfId="27170"/>
    <cellStyle name="Normal 2 5 2 3 2 3 2 2" xfId="27171"/>
    <cellStyle name="Normal 2 5 2 3 2 3 3" xfId="27172"/>
    <cellStyle name="Normal 2 5 2 3 2 3 4" xfId="27173"/>
    <cellStyle name="Normal 2 5 2 3 2 3 5" xfId="27174"/>
    <cellStyle name="Normal 2 5 2 3 2 4" xfId="27175"/>
    <cellStyle name="Normal 2 5 2 3 2 4 2" xfId="27176"/>
    <cellStyle name="Normal 2 5 2 3 2 4 3" xfId="27177"/>
    <cellStyle name="Normal 2 5 2 3 2 4 4" xfId="27178"/>
    <cellStyle name="Normal 2 5 2 3 2 5" xfId="27179"/>
    <cellStyle name="Normal 2 5 2 3 2 5 2" xfId="27180"/>
    <cellStyle name="Normal 2 5 2 3 2 6" xfId="27181"/>
    <cellStyle name="Normal 2 5 2 3 2 7" xfId="27182"/>
    <cellStyle name="Normal 2 5 2 3 2 8" xfId="27183"/>
    <cellStyle name="Normal 2 5 2 3 2 9" xfId="27184"/>
    <cellStyle name="Normal 2 5 2 3 3" xfId="27185"/>
    <cellStyle name="Normal 2 5 2 3 3 2" xfId="27186"/>
    <cellStyle name="Normal 2 5 2 3 3 2 2" xfId="27187"/>
    <cellStyle name="Normal 2 5 2 3 3 2 2 2" xfId="27188"/>
    <cellStyle name="Normal 2 5 2 3 3 2 2 3" xfId="27189"/>
    <cellStyle name="Normal 2 5 2 3 3 2 3" xfId="27190"/>
    <cellStyle name="Normal 2 5 2 3 3 2 4" xfId="27191"/>
    <cellStyle name="Normal 2 5 2 3 3 2 5" xfId="27192"/>
    <cellStyle name="Normal 2 5 2 3 3 2 6" xfId="27193"/>
    <cellStyle name="Normal 2 5 2 3 3 3" xfId="27194"/>
    <cellStyle name="Normal 2 5 2 3 3 3 2" xfId="27195"/>
    <cellStyle name="Normal 2 5 2 3 3 3 2 2" xfId="27196"/>
    <cellStyle name="Normal 2 5 2 3 3 3 3" xfId="27197"/>
    <cellStyle name="Normal 2 5 2 3 3 3 4" xfId="27198"/>
    <cellStyle name="Normal 2 5 2 3 3 3 5" xfId="27199"/>
    <cellStyle name="Normal 2 5 2 3 3 4" xfId="27200"/>
    <cellStyle name="Normal 2 5 2 3 3 4 2" xfId="27201"/>
    <cellStyle name="Normal 2 5 2 3 3 4 3" xfId="27202"/>
    <cellStyle name="Normal 2 5 2 3 3 4 4" xfId="27203"/>
    <cellStyle name="Normal 2 5 2 3 3 5" xfId="27204"/>
    <cellStyle name="Normal 2 5 2 3 3 5 2" xfId="27205"/>
    <cellStyle name="Normal 2 5 2 3 3 6" xfId="27206"/>
    <cellStyle name="Normal 2 5 2 3 3 7" xfId="27207"/>
    <cellStyle name="Normal 2 5 2 3 3 8" xfId="27208"/>
    <cellStyle name="Normal 2 5 2 3 3 9" xfId="27209"/>
    <cellStyle name="Normal 2 5 2 3 4" xfId="27210"/>
    <cellStyle name="Normal 2 5 2 3 4 2" xfId="27211"/>
    <cellStyle name="Normal 2 5 2 3 4 2 2" xfId="27212"/>
    <cellStyle name="Normal 2 5 2 3 4 2 3" xfId="27213"/>
    <cellStyle name="Normal 2 5 2 3 4 3" xfId="27214"/>
    <cellStyle name="Normal 2 5 2 3 4 4" xfId="27215"/>
    <cellStyle name="Normal 2 5 2 3 4 5" xfId="27216"/>
    <cellStyle name="Normal 2 5 2 3 4 6" xfId="27217"/>
    <cellStyle name="Normal 2 5 2 3 5" xfId="27218"/>
    <cellStyle name="Normal 2 5 2 3 5 2" xfId="27219"/>
    <cellStyle name="Normal 2 5 2 3 5 2 2" xfId="27220"/>
    <cellStyle name="Normal 2 5 2 3 5 3" xfId="27221"/>
    <cellStyle name="Normal 2 5 2 3 5 4" xfId="27222"/>
    <cellStyle name="Normal 2 5 2 3 5 5" xfId="27223"/>
    <cellStyle name="Normal 2 5 2 3 6" xfId="27224"/>
    <cellStyle name="Normal 2 5 2 3 6 2" xfId="27225"/>
    <cellStyle name="Normal 2 5 2 3 6 3" xfId="27226"/>
    <cellStyle name="Normal 2 5 2 3 6 4" xfId="27227"/>
    <cellStyle name="Normal 2 5 2 3 7" xfId="27228"/>
    <cellStyle name="Normal 2 5 2 3 7 2" xfId="27229"/>
    <cellStyle name="Normal 2 5 2 3 8" xfId="27230"/>
    <cellStyle name="Normal 2 5 2 3 9" xfId="27231"/>
    <cellStyle name="Normal 2 5 2 4" xfId="27232"/>
    <cellStyle name="Normal 2 5 2 4 10" xfId="27233"/>
    <cellStyle name="Normal 2 5 2 4 11" xfId="27234"/>
    <cellStyle name="Normal 2 5 2 4 2" xfId="27235"/>
    <cellStyle name="Normal 2 5 2 4 2 2" xfId="27236"/>
    <cellStyle name="Normal 2 5 2 4 2 2 2" xfId="27237"/>
    <cellStyle name="Normal 2 5 2 4 2 2 2 2" xfId="27238"/>
    <cellStyle name="Normal 2 5 2 4 2 2 2 3" xfId="27239"/>
    <cellStyle name="Normal 2 5 2 4 2 2 3" xfId="27240"/>
    <cellStyle name="Normal 2 5 2 4 2 2 4" xfId="27241"/>
    <cellStyle name="Normal 2 5 2 4 2 2 5" xfId="27242"/>
    <cellStyle name="Normal 2 5 2 4 2 2 6" xfId="27243"/>
    <cellStyle name="Normal 2 5 2 4 2 3" xfId="27244"/>
    <cellStyle name="Normal 2 5 2 4 2 3 2" xfId="27245"/>
    <cellStyle name="Normal 2 5 2 4 2 3 2 2" xfId="27246"/>
    <cellStyle name="Normal 2 5 2 4 2 3 3" xfId="27247"/>
    <cellStyle name="Normal 2 5 2 4 2 3 4" xfId="27248"/>
    <cellStyle name="Normal 2 5 2 4 2 3 5" xfId="27249"/>
    <cellStyle name="Normal 2 5 2 4 2 4" xfId="27250"/>
    <cellStyle name="Normal 2 5 2 4 2 4 2" xfId="27251"/>
    <cellStyle name="Normal 2 5 2 4 2 4 3" xfId="27252"/>
    <cellStyle name="Normal 2 5 2 4 2 4 4" xfId="27253"/>
    <cellStyle name="Normal 2 5 2 4 2 5" xfId="27254"/>
    <cellStyle name="Normal 2 5 2 4 2 5 2" xfId="27255"/>
    <cellStyle name="Normal 2 5 2 4 2 6" xfId="27256"/>
    <cellStyle name="Normal 2 5 2 4 2 7" xfId="27257"/>
    <cellStyle name="Normal 2 5 2 4 2 8" xfId="27258"/>
    <cellStyle name="Normal 2 5 2 4 2 9" xfId="27259"/>
    <cellStyle name="Normal 2 5 2 4 3" xfId="27260"/>
    <cellStyle name="Normal 2 5 2 4 3 2" xfId="27261"/>
    <cellStyle name="Normal 2 5 2 4 3 2 2" xfId="27262"/>
    <cellStyle name="Normal 2 5 2 4 3 2 2 2" xfId="27263"/>
    <cellStyle name="Normal 2 5 2 4 3 2 2 3" xfId="27264"/>
    <cellStyle name="Normal 2 5 2 4 3 2 3" xfId="27265"/>
    <cellStyle name="Normal 2 5 2 4 3 2 4" xfId="27266"/>
    <cellStyle name="Normal 2 5 2 4 3 2 5" xfId="27267"/>
    <cellStyle name="Normal 2 5 2 4 3 2 6" xfId="27268"/>
    <cellStyle name="Normal 2 5 2 4 3 3" xfId="27269"/>
    <cellStyle name="Normal 2 5 2 4 3 3 2" xfId="27270"/>
    <cellStyle name="Normal 2 5 2 4 3 3 2 2" xfId="27271"/>
    <cellStyle name="Normal 2 5 2 4 3 3 3" xfId="27272"/>
    <cellStyle name="Normal 2 5 2 4 3 3 4" xfId="27273"/>
    <cellStyle name="Normal 2 5 2 4 3 3 5" xfId="27274"/>
    <cellStyle name="Normal 2 5 2 4 3 4" xfId="27275"/>
    <cellStyle name="Normal 2 5 2 4 3 4 2" xfId="27276"/>
    <cellStyle name="Normal 2 5 2 4 3 4 3" xfId="27277"/>
    <cellStyle name="Normal 2 5 2 4 3 4 4" xfId="27278"/>
    <cellStyle name="Normal 2 5 2 4 3 5" xfId="27279"/>
    <cellStyle name="Normal 2 5 2 4 3 5 2" xfId="27280"/>
    <cellStyle name="Normal 2 5 2 4 3 6" xfId="27281"/>
    <cellStyle name="Normal 2 5 2 4 3 7" xfId="27282"/>
    <cellStyle name="Normal 2 5 2 4 3 8" xfId="27283"/>
    <cellStyle name="Normal 2 5 2 4 3 9" xfId="27284"/>
    <cellStyle name="Normal 2 5 2 4 4" xfId="27285"/>
    <cellStyle name="Normal 2 5 2 4 4 2" xfId="27286"/>
    <cellStyle name="Normal 2 5 2 4 4 2 2" xfId="27287"/>
    <cellStyle name="Normal 2 5 2 4 4 2 3" xfId="27288"/>
    <cellStyle name="Normal 2 5 2 4 4 3" xfId="27289"/>
    <cellStyle name="Normal 2 5 2 4 4 4" xfId="27290"/>
    <cellStyle name="Normal 2 5 2 4 4 5" xfId="27291"/>
    <cellStyle name="Normal 2 5 2 4 4 6" xfId="27292"/>
    <cellStyle name="Normal 2 5 2 4 5" xfId="27293"/>
    <cellStyle name="Normal 2 5 2 4 5 2" xfId="27294"/>
    <cellStyle name="Normal 2 5 2 4 5 2 2" xfId="27295"/>
    <cellStyle name="Normal 2 5 2 4 5 3" xfId="27296"/>
    <cellStyle name="Normal 2 5 2 4 5 4" xfId="27297"/>
    <cellStyle name="Normal 2 5 2 4 5 5" xfId="27298"/>
    <cellStyle name="Normal 2 5 2 4 6" xfId="27299"/>
    <cellStyle name="Normal 2 5 2 4 6 2" xfId="27300"/>
    <cellStyle name="Normal 2 5 2 4 6 3" xfId="27301"/>
    <cellStyle name="Normal 2 5 2 4 6 4" xfId="27302"/>
    <cellStyle name="Normal 2 5 2 4 7" xfId="27303"/>
    <cellStyle name="Normal 2 5 2 4 7 2" xfId="27304"/>
    <cellStyle name="Normal 2 5 2 4 8" xfId="27305"/>
    <cellStyle name="Normal 2 5 2 4 9" xfId="27306"/>
    <cellStyle name="Normal 2 5 2 5" xfId="27307"/>
    <cellStyle name="Normal 2 5 2 5 10" xfId="27308"/>
    <cellStyle name="Normal 2 5 2 5 11" xfId="27309"/>
    <cellStyle name="Normal 2 5 2 5 2" xfId="27310"/>
    <cellStyle name="Normal 2 5 2 5 2 2" xfId="27311"/>
    <cellStyle name="Normal 2 5 2 5 2 2 2" xfId="27312"/>
    <cellStyle name="Normal 2 5 2 5 2 2 2 2" xfId="27313"/>
    <cellStyle name="Normal 2 5 2 5 2 2 2 3" xfId="27314"/>
    <cellStyle name="Normal 2 5 2 5 2 2 3" xfId="27315"/>
    <cellStyle name="Normal 2 5 2 5 2 2 4" xfId="27316"/>
    <cellStyle name="Normal 2 5 2 5 2 2 5" xfId="27317"/>
    <cellStyle name="Normal 2 5 2 5 2 2 6" xfId="27318"/>
    <cellStyle name="Normal 2 5 2 5 2 3" xfId="27319"/>
    <cellStyle name="Normal 2 5 2 5 2 3 2" xfId="27320"/>
    <cellStyle name="Normal 2 5 2 5 2 3 2 2" xfId="27321"/>
    <cellStyle name="Normal 2 5 2 5 2 3 3" xfId="27322"/>
    <cellStyle name="Normal 2 5 2 5 2 3 4" xfId="27323"/>
    <cellStyle name="Normal 2 5 2 5 2 3 5" xfId="27324"/>
    <cellStyle name="Normal 2 5 2 5 2 4" xfId="27325"/>
    <cellStyle name="Normal 2 5 2 5 2 4 2" xfId="27326"/>
    <cellStyle name="Normal 2 5 2 5 2 4 3" xfId="27327"/>
    <cellStyle name="Normal 2 5 2 5 2 4 4" xfId="27328"/>
    <cellStyle name="Normal 2 5 2 5 2 5" xfId="27329"/>
    <cellStyle name="Normal 2 5 2 5 2 5 2" xfId="27330"/>
    <cellStyle name="Normal 2 5 2 5 2 6" xfId="27331"/>
    <cellStyle name="Normal 2 5 2 5 2 7" xfId="27332"/>
    <cellStyle name="Normal 2 5 2 5 2 8" xfId="27333"/>
    <cellStyle name="Normal 2 5 2 5 2 9" xfId="27334"/>
    <cellStyle name="Normal 2 5 2 5 3" xfId="27335"/>
    <cellStyle name="Normal 2 5 2 5 3 2" xfId="27336"/>
    <cellStyle name="Normal 2 5 2 5 3 2 2" xfId="27337"/>
    <cellStyle name="Normal 2 5 2 5 3 2 2 2" xfId="27338"/>
    <cellStyle name="Normal 2 5 2 5 3 2 2 3" xfId="27339"/>
    <cellStyle name="Normal 2 5 2 5 3 2 3" xfId="27340"/>
    <cellStyle name="Normal 2 5 2 5 3 2 4" xfId="27341"/>
    <cellStyle name="Normal 2 5 2 5 3 2 5" xfId="27342"/>
    <cellStyle name="Normal 2 5 2 5 3 2 6" xfId="27343"/>
    <cellStyle name="Normal 2 5 2 5 3 3" xfId="27344"/>
    <cellStyle name="Normal 2 5 2 5 3 3 2" xfId="27345"/>
    <cellStyle name="Normal 2 5 2 5 3 3 2 2" xfId="27346"/>
    <cellStyle name="Normal 2 5 2 5 3 3 3" xfId="27347"/>
    <cellStyle name="Normal 2 5 2 5 3 3 4" xfId="27348"/>
    <cellStyle name="Normal 2 5 2 5 3 3 5" xfId="27349"/>
    <cellStyle name="Normal 2 5 2 5 3 4" xfId="27350"/>
    <cellStyle name="Normal 2 5 2 5 3 4 2" xfId="27351"/>
    <cellStyle name="Normal 2 5 2 5 3 4 3" xfId="27352"/>
    <cellStyle name="Normal 2 5 2 5 3 4 4" xfId="27353"/>
    <cellStyle name="Normal 2 5 2 5 3 5" xfId="27354"/>
    <cellStyle name="Normal 2 5 2 5 3 5 2" xfId="27355"/>
    <cellStyle name="Normal 2 5 2 5 3 6" xfId="27356"/>
    <cellStyle name="Normal 2 5 2 5 3 7" xfId="27357"/>
    <cellStyle name="Normal 2 5 2 5 3 8" xfId="27358"/>
    <cellStyle name="Normal 2 5 2 5 3 9" xfId="27359"/>
    <cellStyle name="Normal 2 5 2 5 4" xfId="27360"/>
    <cellStyle name="Normal 2 5 2 5 4 2" xfId="27361"/>
    <cellStyle name="Normal 2 5 2 5 4 2 2" xfId="27362"/>
    <cellStyle name="Normal 2 5 2 5 4 2 3" xfId="27363"/>
    <cellStyle name="Normal 2 5 2 5 4 3" xfId="27364"/>
    <cellStyle name="Normal 2 5 2 5 4 4" xfId="27365"/>
    <cellStyle name="Normal 2 5 2 5 4 5" xfId="27366"/>
    <cellStyle name="Normal 2 5 2 5 4 6" xfId="27367"/>
    <cellStyle name="Normal 2 5 2 5 5" xfId="27368"/>
    <cellStyle name="Normal 2 5 2 5 5 2" xfId="27369"/>
    <cellStyle name="Normal 2 5 2 5 5 2 2" xfId="27370"/>
    <cellStyle name="Normal 2 5 2 5 5 3" xfId="27371"/>
    <cellStyle name="Normal 2 5 2 5 5 4" xfId="27372"/>
    <cellStyle name="Normal 2 5 2 5 5 5" xfId="27373"/>
    <cellStyle name="Normal 2 5 2 5 6" xfId="27374"/>
    <cellStyle name="Normal 2 5 2 5 6 2" xfId="27375"/>
    <cellStyle name="Normal 2 5 2 5 6 3" xfId="27376"/>
    <cellStyle name="Normal 2 5 2 5 6 4" xfId="27377"/>
    <cellStyle name="Normal 2 5 2 5 7" xfId="27378"/>
    <cellStyle name="Normal 2 5 2 5 7 2" xfId="27379"/>
    <cellStyle name="Normal 2 5 2 5 8" xfId="27380"/>
    <cellStyle name="Normal 2 5 2 5 9" xfId="27381"/>
    <cellStyle name="Normal 2 5 2 6" xfId="27382"/>
    <cellStyle name="Normal 2 5 2 6 10" xfId="27383"/>
    <cellStyle name="Normal 2 5 2 6 11" xfId="27384"/>
    <cellStyle name="Normal 2 5 2 6 2" xfId="27385"/>
    <cellStyle name="Normal 2 5 2 6 2 2" xfId="27386"/>
    <cellStyle name="Normal 2 5 2 6 2 2 2" xfId="27387"/>
    <cellStyle name="Normal 2 5 2 6 2 2 2 2" xfId="27388"/>
    <cellStyle name="Normal 2 5 2 6 2 2 2 3" xfId="27389"/>
    <cellStyle name="Normal 2 5 2 6 2 2 3" xfId="27390"/>
    <cellStyle name="Normal 2 5 2 6 2 2 4" xfId="27391"/>
    <cellStyle name="Normal 2 5 2 6 2 2 5" xfId="27392"/>
    <cellStyle name="Normal 2 5 2 6 2 2 6" xfId="27393"/>
    <cellStyle name="Normal 2 5 2 6 2 3" xfId="27394"/>
    <cellStyle name="Normal 2 5 2 6 2 3 2" xfId="27395"/>
    <cellStyle name="Normal 2 5 2 6 2 3 2 2" xfId="27396"/>
    <cellStyle name="Normal 2 5 2 6 2 3 3" xfId="27397"/>
    <cellStyle name="Normal 2 5 2 6 2 3 4" xfId="27398"/>
    <cellStyle name="Normal 2 5 2 6 2 3 5" xfId="27399"/>
    <cellStyle name="Normal 2 5 2 6 2 4" xfId="27400"/>
    <cellStyle name="Normal 2 5 2 6 2 4 2" xfId="27401"/>
    <cellStyle name="Normal 2 5 2 6 2 4 3" xfId="27402"/>
    <cellStyle name="Normal 2 5 2 6 2 4 4" xfId="27403"/>
    <cellStyle name="Normal 2 5 2 6 2 5" xfId="27404"/>
    <cellStyle name="Normal 2 5 2 6 2 5 2" xfId="27405"/>
    <cellStyle name="Normal 2 5 2 6 2 6" xfId="27406"/>
    <cellStyle name="Normal 2 5 2 6 2 7" xfId="27407"/>
    <cellStyle name="Normal 2 5 2 6 2 8" xfId="27408"/>
    <cellStyle name="Normal 2 5 2 6 2 9" xfId="27409"/>
    <cellStyle name="Normal 2 5 2 6 3" xfId="27410"/>
    <cellStyle name="Normal 2 5 2 6 3 2" xfId="27411"/>
    <cellStyle name="Normal 2 5 2 6 3 2 2" xfId="27412"/>
    <cellStyle name="Normal 2 5 2 6 3 2 2 2" xfId="27413"/>
    <cellStyle name="Normal 2 5 2 6 3 2 2 3" xfId="27414"/>
    <cellStyle name="Normal 2 5 2 6 3 2 3" xfId="27415"/>
    <cellStyle name="Normal 2 5 2 6 3 2 4" xfId="27416"/>
    <cellStyle name="Normal 2 5 2 6 3 2 5" xfId="27417"/>
    <cellStyle name="Normal 2 5 2 6 3 2 6" xfId="27418"/>
    <cellStyle name="Normal 2 5 2 6 3 3" xfId="27419"/>
    <cellStyle name="Normal 2 5 2 6 3 3 2" xfId="27420"/>
    <cellStyle name="Normal 2 5 2 6 3 3 2 2" xfId="27421"/>
    <cellStyle name="Normal 2 5 2 6 3 3 3" xfId="27422"/>
    <cellStyle name="Normal 2 5 2 6 3 3 4" xfId="27423"/>
    <cellStyle name="Normal 2 5 2 6 3 3 5" xfId="27424"/>
    <cellStyle name="Normal 2 5 2 6 3 4" xfId="27425"/>
    <cellStyle name="Normal 2 5 2 6 3 4 2" xfId="27426"/>
    <cellStyle name="Normal 2 5 2 6 3 4 3" xfId="27427"/>
    <cellStyle name="Normal 2 5 2 6 3 4 4" xfId="27428"/>
    <cellStyle name="Normal 2 5 2 6 3 5" xfId="27429"/>
    <cellStyle name="Normal 2 5 2 6 3 5 2" xfId="27430"/>
    <cellStyle name="Normal 2 5 2 6 3 6" xfId="27431"/>
    <cellStyle name="Normal 2 5 2 6 3 7" xfId="27432"/>
    <cellStyle name="Normal 2 5 2 6 3 8" xfId="27433"/>
    <cellStyle name="Normal 2 5 2 6 3 9" xfId="27434"/>
    <cellStyle name="Normal 2 5 2 6 4" xfId="27435"/>
    <cellStyle name="Normal 2 5 2 6 4 2" xfId="27436"/>
    <cellStyle name="Normal 2 5 2 6 4 2 2" xfId="27437"/>
    <cellStyle name="Normal 2 5 2 6 4 2 3" xfId="27438"/>
    <cellStyle name="Normal 2 5 2 6 4 3" xfId="27439"/>
    <cellStyle name="Normal 2 5 2 6 4 4" xfId="27440"/>
    <cellStyle name="Normal 2 5 2 6 4 5" xfId="27441"/>
    <cellStyle name="Normal 2 5 2 6 4 6" xfId="27442"/>
    <cellStyle name="Normal 2 5 2 6 5" xfId="27443"/>
    <cellStyle name="Normal 2 5 2 6 5 2" xfId="27444"/>
    <cellStyle name="Normal 2 5 2 6 5 2 2" xfId="27445"/>
    <cellStyle name="Normal 2 5 2 6 5 3" xfId="27446"/>
    <cellStyle name="Normal 2 5 2 6 5 4" xfId="27447"/>
    <cellStyle name="Normal 2 5 2 6 5 5" xfId="27448"/>
    <cellStyle name="Normal 2 5 2 6 6" xfId="27449"/>
    <cellStyle name="Normal 2 5 2 6 6 2" xfId="27450"/>
    <cellStyle name="Normal 2 5 2 6 6 3" xfId="27451"/>
    <cellStyle name="Normal 2 5 2 6 6 4" xfId="27452"/>
    <cellStyle name="Normal 2 5 2 6 7" xfId="27453"/>
    <cellStyle name="Normal 2 5 2 6 7 2" xfId="27454"/>
    <cellStyle name="Normal 2 5 2 6 8" xfId="27455"/>
    <cellStyle name="Normal 2 5 2 6 9" xfId="27456"/>
    <cellStyle name="Normal 2 5 2 7" xfId="27457"/>
    <cellStyle name="Normal 2 5 2 7 10" xfId="27458"/>
    <cellStyle name="Normal 2 5 2 7 11" xfId="27459"/>
    <cellStyle name="Normal 2 5 2 7 2" xfId="27460"/>
    <cellStyle name="Normal 2 5 2 7 2 2" xfId="27461"/>
    <cellStyle name="Normal 2 5 2 7 2 2 2" xfId="27462"/>
    <cellStyle name="Normal 2 5 2 7 2 2 2 2" xfId="27463"/>
    <cellStyle name="Normal 2 5 2 7 2 2 2 3" xfId="27464"/>
    <cellStyle name="Normal 2 5 2 7 2 2 3" xfId="27465"/>
    <cellStyle name="Normal 2 5 2 7 2 2 4" xfId="27466"/>
    <cellStyle name="Normal 2 5 2 7 2 2 5" xfId="27467"/>
    <cellStyle name="Normal 2 5 2 7 2 2 6" xfId="27468"/>
    <cellStyle name="Normal 2 5 2 7 2 3" xfId="27469"/>
    <cellStyle name="Normal 2 5 2 7 2 3 2" xfId="27470"/>
    <cellStyle name="Normal 2 5 2 7 2 3 2 2" xfId="27471"/>
    <cellStyle name="Normal 2 5 2 7 2 3 3" xfId="27472"/>
    <cellStyle name="Normal 2 5 2 7 2 3 4" xfId="27473"/>
    <cellStyle name="Normal 2 5 2 7 2 3 5" xfId="27474"/>
    <cellStyle name="Normal 2 5 2 7 2 4" xfId="27475"/>
    <cellStyle name="Normal 2 5 2 7 2 4 2" xfId="27476"/>
    <cellStyle name="Normal 2 5 2 7 2 4 3" xfId="27477"/>
    <cellStyle name="Normal 2 5 2 7 2 4 4" xfId="27478"/>
    <cellStyle name="Normal 2 5 2 7 2 5" xfId="27479"/>
    <cellStyle name="Normal 2 5 2 7 2 5 2" xfId="27480"/>
    <cellStyle name="Normal 2 5 2 7 2 6" xfId="27481"/>
    <cellStyle name="Normal 2 5 2 7 2 7" xfId="27482"/>
    <cellStyle name="Normal 2 5 2 7 2 8" xfId="27483"/>
    <cellStyle name="Normal 2 5 2 7 2 9" xfId="27484"/>
    <cellStyle name="Normal 2 5 2 7 3" xfId="27485"/>
    <cellStyle name="Normal 2 5 2 7 3 2" xfId="27486"/>
    <cellStyle name="Normal 2 5 2 7 3 2 2" xfId="27487"/>
    <cellStyle name="Normal 2 5 2 7 3 2 2 2" xfId="27488"/>
    <cellStyle name="Normal 2 5 2 7 3 2 2 3" xfId="27489"/>
    <cellStyle name="Normal 2 5 2 7 3 2 3" xfId="27490"/>
    <cellStyle name="Normal 2 5 2 7 3 2 4" xfId="27491"/>
    <cellStyle name="Normal 2 5 2 7 3 2 5" xfId="27492"/>
    <cellStyle name="Normal 2 5 2 7 3 2 6" xfId="27493"/>
    <cellStyle name="Normal 2 5 2 7 3 3" xfId="27494"/>
    <cellStyle name="Normal 2 5 2 7 3 3 2" xfId="27495"/>
    <cellStyle name="Normal 2 5 2 7 3 3 2 2" xfId="27496"/>
    <cellStyle name="Normal 2 5 2 7 3 3 3" xfId="27497"/>
    <cellStyle name="Normal 2 5 2 7 3 3 4" xfId="27498"/>
    <cellStyle name="Normal 2 5 2 7 3 3 5" xfId="27499"/>
    <cellStyle name="Normal 2 5 2 7 3 4" xfId="27500"/>
    <cellStyle name="Normal 2 5 2 7 3 4 2" xfId="27501"/>
    <cellStyle name="Normal 2 5 2 7 3 4 3" xfId="27502"/>
    <cellStyle name="Normal 2 5 2 7 3 4 4" xfId="27503"/>
    <cellStyle name="Normal 2 5 2 7 3 5" xfId="27504"/>
    <cellStyle name="Normal 2 5 2 7 3 5 2" xfId="27505"/>
    <cellStyle name="Normal 2 5 2 7 3 6" xfId="27506"/>
    <cellStyle name="Normal 2 5 2 7 3 7" xfId="27507"/>
    <cellStyle name="Normal 2 5 2 7 3 8" xfId="27508"/>
    <cellStyle name="Normal 2 5 2 7 3 9" xfId="27509"/>
    <cellStyle name="Normal 2 5 2 7 4" xfId="27510"/>
    <cellStyle name="Normal 2 5 2 7 4 2" xfId="27511"/>
    <cellStyle name="Normal 2 5 2 7 4 2 2" xfId="27512"/>
    <cellStyle name="Normal 2 5 2 7 4 2 3" xfId="27513"/>
    <cellStyle name="Normal 2 5 2 7 4 3" xfId="27514"/>
    <cellStyle name="Normal 2 5 2 7 4 4" xfId="27515"/>
    <cellStyle name="Normal 2 5 2 7 4 5" xfId="27516"/>
    <cellStyle name="Normal 2 5 2 7 4 6" xfId="27517"/>
    <cellStyle name="Normal 2 5 2 7 5" xfId="27518"/>
    <cellStyle name="Normal 2 5 2 7 5 2" xfId="27519"/>
    <cellStyle name="Normal 2 5 2 7 5 2 2" xfId="27520"/>
    <cellStyle name="Normal 2 5 2 7 5 3" xfId="27521"/>
    <cellStyle name="Normal 2 5 2 7 5 4" xfId="27522"/>
    <cellStyle name="Normal 2 5 2 7 5 5" xfId="27523"/>
    <cellStyle name="Normal 2 5 2 7 6" xfId="27524"/>
    <cellStyle name="Normal 2 5 2 7 6 2" xfId="27525"/>
    <cellStyle name="Normal 2 5 2 7 6 3" xfId="27526"/>
    <cellStyle name="Normal 2 5 2 7 6 4" xfId="27527"/>
    <cellStyle name="Normal 2 5 2 7 7" xfId="27528"/>
    <cellStyle name="Normal 2 5 2 7 7 2" xfId="27529"/>
    <cellStyle name="Normal 2 5 2 7 8" xfId="27530"/>
    <cellStyle name="Normal 2 5 2 7 9" xfId="27531"/>
    <cellStyle name="Normal 2 5 2 8" xfId="27532"/>
    <cellStyle name="Normal 2 5 2 8 10" xfId="27533"/>
    <cellStyle name="Normal 2 5 2 8 2" xfId="27534"/>
    <cellStyle name="Normal 2 5 2 8 2 2" xfId="27535"/>
    <cellStyle name="Normal 2 5 2 8 2 2 2" xfId="27536"/>
    <cellStyle name="Normal 2 5 2 8 2 2 3" xfId="27537"/>
    <cellStyle name="Normal 2 5 2 8 2 3" xfId="27538"/>
    <cellStyle name="Normal 2 5 2 8 2 4" xfId="27539"/>
    <cellStyle name="Normal 2 5 2 8 2 5" xfId="27540"/>
    <cellStyle name="Normal 2 5 2 8 2 6" xfId="27541"/>
    <cellStyle name="Normal 2 5 2 8 3" xfId="27542"/>
    <cellStyle name="Normal 2 5 2 8 3 2" xfId="27543"/>
    <cellStyle name="Normal 2 5 2 8 3 2 2" xfId="27544"/>
    <cellStyle name="Normal 2 5 2 8 3 2 3" xfId="27545"/>
    <cellStyle name="Normal 2 5 2 8 3 3" xfId="27546"/>
    <cellStyle name="Normal 2 5 2 8 3 4" xfId="27547"/>
    <cellStyle name="Normal 2 5 2 8 3 5" xfId="27548"/>
    <cellStyle name="Normal 2 5 2 8 3 6" xfId="27549"/>
    <cellStyle name="Normal 2 5 2 8 4" xfId="27550"/>
    <cellStyle name="Normal 2 5 2 8 4 2" xfId="27551"/>
    <cellStyle name="Normal 2 5 2 8 4 2 2" xfId="27552"/>
    <cellStyle name="Normal 2 5 2 8 4 3" xfId="27553"/>
    <cellStyle name="Normal 2 5 2 8 4 4" xfId="27554"/>
    <cellStyle name="Normal 2 5 2 8 4 5" xfId="27555"/>
    <cellStyle name="Normal 2 5 2 8 5" xfId="27556"/>
    <cellStyle name="Normal 2 5 2 8 5 2" xfId="27557"/>
    <cellStyle name="Normal 2 5 2 8 5 3" xfId="27558"/>
    <cellStyle name="Normal 2 5 2 8 5 4" xfId="27559"/>
    <cellStyle name="Normal 2 5 2 8 6" xfId="27560"/>
    <cellStyle name="Normal 2 5 2 8 6 2" xfId="27561"/>
    <cellStyle name="Normal 2 5 2 8 7" xfId="27562"/>
    <cellStyle name="Normal 2 5 2 8 8" xfId="27563"/>
    <cellStyle name="Normal 2 5 2 8 9" xfId="27564"/>
    <cellStyle name="Normal 2 5 2 9" xfId="27565"/>
    <cellStyle name="Normal 2 5 2 9 10" xfId="27566"/>
    <cellStyle name="Normal 2 5 2 9 2" xfId="27567"/>
    <cellStyle name="Normal 2 5 2 9 2 2" xfId="27568"/>
    <cellStyle name="Normal 2 5 2 9 2 2 2" xfId="27569"/>
    <cellStyle name="Normal 2 5 2 9 2 2 3" xfId="27570"/>
    <cellStyle name="Normal 2 5 2 9 2 3" xfId="27571"/>
    <cellStyle name="Normal 2 5 2 9 2 4" xfId="27572"/>
    <cellStyle name="Normal 2 5 2 9 2 5" xfId="27573"/>
    <cellStyle name="Normal 2 5 2 9 2 6" xfId="27574"/>
    <cellStyle name="Normal 2 5 2 9 3" xfId="27575"/>
    <cellStyle name="Normal 2 5 2 9 3 2" xfId="27576"/>
    <cellStyle name="Normal 2 5 2 9 3 2 2" xfId="27577"/>
    <cellStyle name="Normal 2 5 2 9 3 2 3" xfId="27578"/>
    <cellStyle name="Normal 2 5 2 9 3 3" xfId="27579"/>
    <cellStyle name="Normal 2 5 2 9 3 4" xfId="27580"/>
    <cellStyle name="Normal 2 5 2 9 3 5" xfId="27581"/>
    <cellStyle name="Normal 2 5 2 9 3 6" xfId="27582"/>
    <cellStyle name="Normal 2 5 2 9 4" xfId="27583"/>
    <cellStyle name="Normal 2 5 2 9 4 2" xfId="27584"/>
    <cellStyle name="Normal 2 5 2 9 4 2 2" xfId="27585"/>
    <cellStyle name="Normal 2 5 2 9 4 3" xfId="27586"/>
    <cellStyle name="Normal 2 5 2 9 4 4" xfId="27587"/>
    <cellStyle name="Normal 2 5 2 9 4 5" xfId="27588"/>
    <cellStyle name="Normal 2 5 2 9 5" xfId="27589"/>
    <cellStyle name="Normal 2 5 2 9 5 2" xfId="27590"/>
    <cellStyle name="Normal 2 5 2 9 5 3" xfId="27591"/>
    <cellStyle name="Normal 2 5 2 9 5 4" xfId="27592"/>
    <cellStyle name="Normal 2 5 2 9 6" xfId="27593"/>
    <cellStyle name="Normal 2 5 2 9 6 2" xfId="27594"/>
    <cellStyle name="Normal 2 5 2 9 7" xfId="27595"/>
    <cellStyle name="Normal 2 5 2 9 8" xfId="27596"/>
    <cellStyle name="Normal 2 5 2 9 9" xfId="27597"/>
    <cellStyle name="Normal 2 5 3" xfId="27598"/>
    <cellStyle name="Normal 2 5 3 2" xfId="27599"/>
    <cellStyle name="Normal 2 5 4" xfId="27600"/>
    <cellStyle name="Normal 2 5 4 2" xfId="27601"/>
    <cellStyle name="Normal 2 5 5" xfId="27602"/>
    <cellStyle name="Normal 2 5 6" xfId="27603"/>
    <cellStyle name="Normal 2 5 7" xfId="27604"/>
    <cellStyle name="Normal 2 5 8" xfId="27605"/>
    <cellStyle name="Normal 2 5 9" xfId="27606"/>
    <cellStyle name="Normal 2 50" xfId="27607"/>
    <cellStyle name="Normal 2 50 10" xfId="27608"/>
    <cellStyle name="Normal 2 50 2" xfId="27609"/>
    <cellStyle name="Normal 2 50 2 2" xfId="27610"/>
    <cellStyle name="Normal 2 50 2 2 2" xfId="27611"/>
    <cellStyle name="Normal 2 50 2 2 3" xfId="27612"/>
    <cellStyle name="Normal 2 50 2 3" xfId="27613"/>
    <cellStyle name="Normal 2 50 2 4" xfId="27614"/>
    <cellStyle name="Normal 2 50 2 5" xfId="27615"/>
    <cellStyle name="Normal 2 50 2 6" xfId="27616"/>
    <cellStyle name="Normal 2 50 3" xfId="27617"/>
    <cellStyle name="Normal 2 50 3 2" xfId="27618"/>
    <cellStyle name="Normal 2 50 3 2 2" xfId="27619"/>
    <cellStyle name="Normal 2 50 3 2 3" xfId="27620"/>
    <cellStyle name="Normal 2 50 3 3" xfId="27621"/>
    <cellStyle name="Normal 2 50 3 4" xfId="27622"/>
    <cellStyle name="Normal 2 50 3 5" xfId="27623"/>
    <cellStyle name="Normal 2 50 3 6" xfId="27624"/>
    <cellStyle name="Normal 2 50 4" xfId="27625"/>
    <cellStyle name="Normal 2 50 4 2" xfId="27626"/>
    <cellStyle name="Normal 2 50 4 2 2" xfId="27627"/>
    <cellStyle name="Normal 2 50 4 3" xfId="27628"/>
    <cellStyle name="Normal 2 50 4 4" xfId="27629"/>
    <cellStyle name="Normal 2 50 4 5" xfId="27630"/>
    <cellStyle name="Normal 2 50 5" xfId="27631"/>
    <cellStyle name="Normal 2 50 5 2" xfId="27632"/>
    <cellStyle name="Normal 2 50 5 3" xfId="27633"/>
    <cellStyle name="Normal 2 50 5 4" xfId="27634"/>
    <cellStyle name="Normal 2 50 6" xfId="27635"/>
    <cellStyle name="Normal 2 50 6 2" xfId="27636"/>
    <cellStyle name="Normal 2 50 7" xfId="27637"/>
    <cellStyle name="Normal 2 50 8" xfId="27638"/>
    <cellStyle name="Normal 2 50 9" xfId="27639"/>
    <cellStyle name="Normal 2 51" xfId="27640"/>
    <cellStyle name="Normal 2 51 10" xfId="27641"/>
    <cellStyle name="Normal 2 51 2" xfId="27642"/>
    <cellStyle name="Normal 2 51 2 2" xfId="27643"/>
    <cellStyle name="Normal 2 51 2 2 2" xfId="27644"/>
    <cellStyle name="Normal 2 51 2 2 3" xfId="27645"/>
    <cellStyle name="Normal 2 51 2 3" xfId="27646"/>
    <cellStyle name="Normal 2 51 2 4" xfId="27647"/>
    <cellStyle name="Normal 2 51 2 5" xfId="27648"/>
    <cellStyle name="Normal 2 51 2 6" xfId="27649"/>
    <cellStyle name="Normal 2 51 3" xfId="27650"/>
    <cellStyle name="Normal 2 51 3 2" xfId="27651"/>
    <cellStyle name="Normal 2 51 3 2 2" xfId="27652"/>
    <cellStyle name="Normal 2 51 3 2 3" xfId="27653"/>
    <cellStyle name="Normal 2 51 3 3" xfId="27654"/>
    <cellStyle name="Normal 2 51 3 4" xfId="27655"/>
    <cellStyle name="Normal 2 51 3 5" xfId="27656"/>
    <cellStyle name="Normal 2 51 3 6" xfId="27657"/>
    <cellStyle name="Normal 2 51 4" xfId="27658"/>
    <cellStyle name="Normal 2 51 4 2" xfId="27659"/>
    <cellStyle name="Normal 2 51 4 2 2" xfId="27660"/>
    <cellStyle name="Normal 2 51 4 3" xfId="27661"/>
    <cellStyle name="Normal 2 51 4 4" xfId="27662"/>
    <cellStyle name="Normal 2 51 4 5" xfId="27663"/>
    <cellStyle name="Normal 2 51 5" xfId="27664"/>
    <cellStyle name="Normal 2 51 5 2" xfId="27665"/>
    <cellStyle name="Normal 2 51 5 3" xfId="27666"/>
    <cellStyle name="Normal 2 51 5 4" xfId="27667"/>
    <cellStyle name="Normal 2 51 6" xfId="27668"/>
    <cellStyle name="Normal 2 51 6 2" xfId="27669"/>
    <cellStyle name="Normal 2 51 7" xfId="27670"/>
    <cellStyle name="Normal 2 51 8" xfId="27671"/>
    <cellStyle name="Normal 2 51 9" xfId="27672"/>
    <cellStyle name="Normal 2 52" xfId="27673"/>
    <cellStyle name="Normal 2 52 10" xfId="27674"/>
    <cellStyle name="Normal 2 52 2" xfId="27675"/>
    <cellStyle name="Normal 2 52 2 2" xfId="27676"/>
    <cellStyle name="Normal 2 52 2 2 2" xfId="27677"/>
    <cellStyle name="Normal 2 52 2 2 3" xfId="27678"/>
    <cellStyle name="Normal 2 52 2 3" xfId="27679"/>
    <cellStyle name="Normal 2 52 2 4" xfId="27680"/>
    <cellStyle name="Normal 2 52 2 5" xfId="27681"/>
    <cellStyle name="Normal 2 52 2 6" xfId="27682"/>
    <cellStyle name="Normal 2 52 3" xfId="27683"/>
    <cellStyle name="Normal 2 52 3 2" xfId="27684"/>
    <cellStyle name="Normal 2 52 3 2 2" xfId="27685"/>
    <cellStyle name="Normal 2 52 3 2 3" xfId="27686"/>
    <cellStyle name="Normal 2 52 3 3" xfId="27687"/>
    <cellStyle name="Normal 2 52 3 4" xfId="27688"/>
    <cellStyle name="Normal 2 52 3 5" xfId="27689"/>
    <cellStyle name="Normal 2 52 3 6" xfId="27690"/>
    <cellStyle name="Normal 2 52 4" xfId="27691"/>
    <cellStyle name="Normal 2 52 4 2" xfId="27692"/>
    <cellStyle name="Normal 2 52 4 2 2" xfId="27693"/>
    <cellStyle name="Normal 2 52 4 3" xfId="27694"/>
    <cellStyle name="Normal 2 52 4 4" xfId="27695"/>
    <cellStyle name="Normal 2 52 4 5" xfId="27696"/>
    <cellStyle name="Normal 2 52 5" xfId="27697"/>
    <cellStyle name="Normal 2 52 5 2" xfId="27698"/>
    <cellStyle name="Normal 2 52 5 3" xfId="27699"/>
    <cellStyle name="Normal 2 52 5 4" xfId="27700"/>
    <cellStyle name="Normal 2 52 6" xfId="27701"/>
    <cellStyle name="Normal 2 52 6 2" xfId="27702"/>
    <cellStyle name="Normal 2 52 7" xfId="27703"/>
    <cellStyle name="Normal 2 52 8" xfId="27704"/>
    <cellStyle name="Normal 2 52 9" xfId="27705"/>
    <cellStyle name="Normal 2 53" xfId="27706"/>
    <cellStyle name="Normal 2 53 10" xfId="27707"/>
    <cellStyle name="Normal 2 53 2" xfId="27708"/>
    <cellStyle name="Normal 2 53 2 2" xfId="27709"/>
    <cellStyle name="Normal 2 53 2 2 2" xfId="27710"/>
    <cellStyle name="Normal 2 53 2 2 3" xfId="27711"/>
    <cellStyle name="Normal 2 53 2 3" xfId="27712"/>
    <cellStyle name="Normal 2 53 2 4" xfId="27713"/>
    <cellStyle name="Normal 2 53 2 5" xfId="27714"/>
    <cellStyle name="Normal 2 53 2 6" xfId="27715"/>
    <cellStyle name="Normal 2 53 3" xfId="27716"/>
    <cellStyle name="Normal 2 53 3 2" xfId="27717"/>
    <cellStyle name="Normal 2 53 3 2 2" xfId="27718"/>
    <cellStyle name="Normal 2 53 3 2 3" xfId="27719"/>
    <cellStyle name="Normal 2 53 3 3" xfId="27720"/>
    <cellStyle name="Normal 2 53 3 4" xfId="27721"/>
    <cellStyle name="Normal 2 53 3 5" xfId="27722"/>
    <cellStyle name="Normal 2 53 3 6" xfId="27723"/>
    <cellStyle name="Normal 2 53 4" xfId="27724"/>
    <cellStyle name="Normal 2 53 4 2" xfId="27725"/>
    <cellStyle name="Normal 2 53 4 2 2" xfId="27726"/>
    <cellStyle name="Normal 2 53 4 3" xfId="27727"/>
    <cellStyle name="Normal 2 53 4 4" xfId="27728"/>
    <cellStyle name="Normal 2 53 4 5" xfId="27729"/>
    <cellStyle name="Normal 2 53 5" xfId="27730"/>
    <cellStyle name="Normal 2 53 5 2" xfId="27731"/>
    <cellStyle name="Normal 2 53 5 3" xfId="27732"/>
    <cellStyle name="Normal 2 53 5 4" xfId="27733"/>
    <cellStyle name="Normal 2 53 6" xfId="27734"/>
    <cellStyle name="Normal 2 53 6 2" xfId="27735"/>
    <cellStyle name="Normal 2 53 7" xfId="27736"/>
    <cellStyle name="Normal 2 53 8" xfId="27737"/>
    <cellStyle name="Normal 2 53 9" xfId="27738"/>
    <cellStyle name="Normal 2 54" xfId="27739"/>
    <cellStyle name="Normal 2 54 10" xfId="27740"/>
    <cellStyle name="Normal 2 54 2" xfId="27741"/>
    <cellStyle name="Normal 2 54 2 2" xfId="27742"/>
    <cellStyle name="Normal 2 54 2 2 2" xfId="27743"/>
    <cellStyle name="Normal 2 54 2 2 3" xfId="27744"/>
    <cellStyle name="Normal 2 54 2 3" xfId="27745"/>
    <cellStyle name="Normal 2 54 2 4" xfId="27746"/>
    <cellStyle name="Normal 2 54 2 5" xfId="27747"/>
    <cellStyle name="Normal 2 54 2 6" xfId="27748"/>
    <cellStyle name="Normal 2 54 3" xfId="27749"/>
    <cellStyle name="Normal 2 54 3 2" xfId="27750"/>
    <cellStyle name="Normal 2 54 3 2 2" xfId="27751"/>
    <cellStyle name="Normal 2 54 3 2 3" xfId="27752"/>
    <cellStyle name="Normal 2 54 3 3" xfId="27753"/>
    <cellStyle name="Normal 2 54 3 4" xfId="27754"/>
    <cellStyle name="Normal 2 54 3 5" xfId="27755"/>
    <cellStyle name="Normal 2 54 3 6" xfId="27756"/>
    <cellStyle name="Normal 2 54 4" xfId="27757"/>
    <cellStyle name="Normal 2 54 4 2" xfId="27758"/>
    <cellStyle name="Normal 2 54 4 2 2" xfId="27759"/>
    <cellStyle name="Normal 2 54 4 3" xfId="27760"/>
    <cellStyle name="Normal 2 54 4 4" xfId="27761"/>
    <cellStyle name="Normal 2 54 4 5" xfId="27762"/>
    <cellStyle name="Normal 2 54 5" xfId="27763"/>
    <cellStyle name="Normal 2 54 5 2" xfId="27764"/>
    <cellStyle name="Normal 2 54 5 3" xfId="27765"/>
    <cellStyle name="Normal 2 54 5 4" xfId="27766"/>
    <cellStyle name="Normal 2 54 6" xfId="27767"/>
    <cellStyle name="Normal 2 54 6 2" xfId="27768"/>
    <cellStyle name="Normal 2 54 7" xfId="27769"/>
    <cellStyle name="Normal 2 54 8" xfId="27770"/>
    <cellStyle name="Normal 2 54 9" xfId="27771"/>
    <cellStyle name="Normal 2 55" xfId="27772"/>
    <cellStyle name="Normal 2 55 10" xfId="27773"/>
    <cellStyle name="Normal 2 55 2" xfId="27774"/>
    <cellStyle name="Normal 2 55 2 2" xfId="27775"/>
    <cellStyle name="Normal 2 55 2 2 2" xfId="27776"/>
    <cellStyle name="Normal 2 55 2 2 3" xfId="27777"/>
    <cellStyle name="Normal 2 55 2 3" xfId="27778"/>
    <cellStyle name="Normal 2 55 2 4" xfId="27779"/>
    <cellStyle name="Normal 2 55 2 5" xfId="27780"/>
    <cellStyle name="Normal 2 55 2 6" xfId="27781"/>
    <cellStyle name="Normal 2 55 3" xfId="27782"/>
    <cellStyle name="Normal 2 55 3 2" xfId="27783"/>
    <cellStyle name="Normal 2 55 3 2 2" xfId="27784"/>
    <cellStyle name="Normal 2 55 3 2 3" xfId="27785"/>
    <cellStyle name="Normal 2 55 3 3" xfId="27786"/>
    <cellStyle name="Normal 2 55 3 4" xfId="27787"/>
    <cellStyle name="Normal 2 55 3 5" xfId="27788"/>
    <cellStyle name="Normal 2 55 3 6" xfId="27789"/>
    <cellStyle name="Normal 2 55 4" xfId="27790"/>
    <cellStyle name="Normal 2 55 4 2" xfId="27791"/>
    <cellStyle name="Normal 2 55 4 2 2" xfId="27792"/>
    <cellStyle name="Normal 2 55 4 3" xfId="27793"/>
    <cellStyle name="Normal 2 55 4 4" xfId="27794"/>
    <cellStyle name="Normal 2 55 4 5" xfId="27795"/>
    <cellStyle name="Normal 2 55 5" xfId="27796"/>
    <cellStyle name="Normal 2 55 5 2" xfId="27797"/>
    <cellStyle name="Normal 2 55 5 3" xfId="27798"/>
    <cellStyle name="Normal 2 55 5 4" xfId="27799"/>
    <cellStyle name="Normal 2 55 6" xfId="27800"/>
    <cellStyle name="Normal 2 55 6 2" xfId="27801"/>
    <cellStyle name="Normal 2 55 7" xfId="27802"/>
    <cellStyle name="Normal 2 55 8" xfId="27803"/>
    <cellStyle name="Normal 2 55 9" xfId="27804"/>
    <cellStyle name="Normal 2 56" xfId="27805"/>
    <cellStyle name="Normal 2 56 10" xfId="27806"/>
    <cellStyle name="Normal 2 56 2" xfId="27807"/>
    <cellStyle name="Normal 2 56 2 2" xfId="27808"/>
    <cellStyle name="Normal 2 56 2 2 2" xfId="27809"/>
    <cellStyle name="Normal 2 56 2 2 3" xfId="27810"/>
    <cellStyle name="Normal 2 56 2 3" xfId="27811"/>
    <cellStyle name="Normal 2 56 2 4" xfId="27812"/>
    <cellStyle name="Normal 2 56 2 5" xfId="27813"/>
    <cellStyle name="Normal 2 56 2 6" xfId="27814"/>
    <cellStyle name="Normal 2 56 3" xfId="27815"/>
    <cellStyle name="Normal 2 56 3 2" xfId="27816"/>
    <cellStyle name="Normal 2 56 3 2 2" xfId="27817"/>
    <cellStyle name="Normal 2 56 3 2 3" xfId="27818"/>
    <cellStyle name="Normal 2 56 3 3" xfId="27819"/>
    <cellStyle name="Normal 2 56 3 4" xfId="27820"/>
    <cellStyle name="Normal 2 56 3 5" xfId="27821"/>
    <cellStyle name="Normal 2 56 3 6" xfId="27822"/>
    <cellStyle name="Normal 2 56 4" xfId="27823"/>
    <cellStyle name="Normal 2 56 4 2" xfId="27824"/>
    <cellStyle name="Normal 2 56 4 2 2" xfId="27825"/>
    <cellStyle name="Normal 2 56 4 3" xfId="27826"/>
    <cellStyle name="Normal 2 56 4 4" xfId="27827"/>
    <cellStyle name="Normal 2 56 4 5" xfId="27828"/>
    <cellStyle name="Normal 2 56 5" xfId="27829"/>
    <cellStyle name="Normal 2 56 5 2" xfId="27830"/>
    <cellStyle name="Normal 2 56 5 3" xfId="27831"/>
    <cellStyle name="Normal 2 56 5 4" xfId="27832"/>
    <cellStyle name="Normal 2 56 6" xfId="27833"/>
    <cellStyle name="Normal 2 56 6 2" xfId="27834"/>
    <cellStyle name="Normal 2 56 7" xfId="27835"/>
    <cellStyle name="Normal 2 56 8" xfId="27836"/>
    <cellStyle name="Normal 2 56 9" xfId="27837"/>
    <cellStyle name="Normal 2 57" xfId="27838"/>
    <cellStyle name="Normal 2 57 10" xfId="27839"/>
    <cellStyle name="Normal 2 57 2" xfId="27840"/>
    <cellStyle name="Normal 2 57 2 2" xfId="27841"/>
    <cellStyle name="Normal 2 57 2 2 2" xfId="27842"/>
    <cellStyle name="Normal 2 57 2 2 3" xfId="27843"/>
    <cellStyle name="Normal 2 57 2 3" xfId="27844"/>
    <cellStyle name="Normal 2 57 2 4" xfId="27845"/>
    <cellStyle name="Normal 2 57 2 5" xfId="27846"/>
    <cellStyle name="Normal 2 57 2 6" xfId="27847"/>
    <cellStyle name="Normal 2 57 3" xfId="27848"/>
    <cellStyle name="Normal 2 57 3 2" xfId="27849"/>
    <cellStyle name="Normal 2 57 3 2 2" xfId="27850"/>
    <cellStyle name="Normal 2 57 3 2 3" xfId="27851"/>
    <cellStyle name="Normal 2 57 3 3" xfId="27852"/>
    <cellStyle name="Normal 2 57 3 4" xfId="27853"/>
    <cellStyle name="Normal 2 57 3 5" xfId="27854"/>
    <cellStyle name="Normal 2 57 3 6" xfId="27855"/>
    <cellStyle name="Normal 2 57 4" xfId="27856"/>
    <cellStyle name="Normal 2 57 4 2" xfId="27857"/>
    <cellStyle name="Normal 2 57 4 2 2" xfId="27858"/>
    <cellStyle name="Normal 2 57 4 3" xfId="27859"/>
    <cellStyle name="Normal 2 57 4 4" xfId="27860"/>
    <cellStyle name="Normal 2 57 4 5" xfId="27861"/>
    <cellStyle name="Normal 2 57 5" xfId="27862"/>
    <cellStyle name="Normal 2 57 5 2" xfId="27863"/>
    <cellStyle name="Normal 2 57 5 3" xfId="27864"/>
    <cellStyle name="Normal 2 57 5 4" xfId="27865"/>
    <cellStyle name="Normal 2 57 6" xfId="27866"/>
    <cellStyle name="Normal 2 57 6 2" xfId="27867"/>
    <cellStyle name="Normal 2 57 7" xfId="27868"/>
    <cellStyle name="Normal 2 57 8" xfId="27869"/>
    <cellStyle name="Normal 2 57 9" xfId="27870"/>
    <cellStyle name="Normal 2 58" xfId="27871"/>
    <cellStyle name="Normal 2 58 10" xfId="27872"/>
    <cellStyle name="Normal 2 58 2" xfId="27873"/>
    <cellStyle name="Normal 2 58 2 2" xfId="27874"/>
    <cellStyle name="Normal 2 58 2 2 2" xfId="27875"/>
    <cellStyle name="Normal 2 58 2 2 3" xfId="27876"/>
    <cellStyle name="Normal 2 58 2 3" xfId="27877"/>
    <cellStyle name="Normal 2 58 2 4" xfId="27878"/>
    <cellStyle name="Normal 2 58 2 5" xfId="27879"/>
    <cellStyle name="Normal 2 58 2 6" xfId="27880"/>
    <cellStyle name="Normal 2 58 3" xfId="27881"/>
    <cellStyle name="Normal 2 58 3 2" xfId="27882"/>
    <cellStyle name="Normal 2 58 3 2 2" xfId="27883"/>
    <cellStyle name="Normal 2 58 3 2 3" xfId="27884"/>
    <cellStyle name="Normal 2 58 3 3" xfId="27885"/>
    <cellStyle name="Normal 2 58 3 4" xfId="27886"/>
    <cellStyle name="Normal 2 58 3 5" xfId="27887"/>
    <cellStyle name="Normal 2 58 3 6" xfId="27888"/>
    <cellStyle name="Normal 2 58 4" xfId="27889"/>
    <cellStyle name="Normal 2 58 4 2" xfId="27890"/>
    <cellStyle name="Normal 2 58 4 2 2" xfId="27891"/>
    <cellStyle name="Normal 2 58 4 3" xfId="27892"/>
    <cellStyle name="Normal 2 58 4 4" xfId="27893"/>
    <cellStyle name="Normal 2 58 4 5" xfId="27894"/>
    <cellStyle name="Normal 2 58 5" xfId="27895"/>
    <cellStyle name="Normal 2 58 5 2" xfId="27896"/>
    <cellStyle name="Normal 2 58 5 3" xfId="27897"/>
    <cellStyle name="Normal 2 58 5 4" xfId="27898"/>
    <cellStyle name="Normal 2 58 6" xfId="27899"/>
    <cellStyle name="Normal 2 58 6 2" xfId="27900"/>
    <cellStyle name="Normal 2 58 7" xfId="27901"/>
    <cellStyle name="Normal 2 58 8" xfId="27902"/>
    <cellStyle name="Normal 2 58 9" xfId="27903"/>
    <cellStyle name="Normal 2 59" xfId="27904"/>
    <cellStyle name="Normal 2 59 10" xfId="27905"/>
    <cellStyle name="Normal 2 59 2" xfId="27906"/>
    <cellStyle name="Normal 2 59 2 2" xfId="27907"/>
    <cellStyle name="Normal 2 59 2 2 2" xfId="27908"/>
    <cellStyle name="Normal 2 59 2 2 3" xfId="27909"/>
    <cellStyle name="Normal 2 59 2 3" xfId="27910"/>
    <cellStyle name="Normal 2 59 2 4" xfId="27911"/>
    <cellStyle name="Normal 2 59 2 5" xfId="27912"/>
    <cellStyle name="Normal 2 59 2 6" xfId="27913"/>
    <cellStyle name="Normal 2 59 3" xfId="27914"/>
    <cellStyle name="Normal 2 59 3 2" xfId="27915"/>
    <cellStyle name="Normal 2 59 3 2 2" xfId="27916"/>
    <cellStyle name="Normal 2 59 3 2 3" xfId="27917"/>
    <cellStyle name="Normal 2 59 3 3" xfId="27918"/>
    <cellStyle name="Normal 2 59 3 4" xfId="27919"/>
    <cellStyle name="Normal 2 59 3 5" xfId="27920"/>
    <cellStyle name="Normal 2 59 3 6" xfId="27921"/>
    <cellStyle name="Normal 2 59 4" xfId="27922"/>
    <cellStyle name="Normal 2 59 4 2" xfId="27923"/>
    <cellStyle name="Normal 2 59 4 2 2" xfId="27924"/>
    <cellStyle name="Normal 2 59 4 3" xfId="27925"/>
    <cellStyle name="Normal 2 59 4 4" xfId="27926"/>
    <cellStyle name="Normal 2 59 4 5" xfId="27927"/>
    <cellStyle name="Normal 2 59 5" xfId="27928"/>
    <cellStyle name="Normal 2 59 5 2" xfId="27929"/>
    <cellStyle name="Normal 2 59 5 3" xfId="27930"/>
    <cellStyle name="Normal 2 59 5 4" xfId="27931"/>
    <cellStyle name="Normal 2 59 6" xfId="27932"/>
    <cellStyle name="Normal 2 59 6 2" xfId="27933"/>
    <cellStyle name="Normal 2 59 7" xfId="27934"/>
    <cellStyle name="Normal 2 59 8" xfId="27935"/>
    <cellStyle name="Normal 2 59 9" xfId="27936"/>
    <cellStyle name="Normal 2 6" xfId="27937"/>
    <cellStyle name="Normal 2 6 10" xfId="27938"/>
    <cellStyle name="Normal 2 6 10 10" xfId="27939"/>
    <cellStyle name="Normal 2 6 10 11" xfId="27940"/>
    <cellStyle name="Normal 2 6 10 2" xfId="27941"/>
    <cellStyle name="Normal 2 6 10 2 2" xfId="27942"/>
    <cellStyle name="Normal 2 6 10 2 2 2" xfId="27943"/>
    <cellStyle name="Normal 2 6 10 2 2 2 2" xfId="27944"/>
    <cellStyle name="Normal 2 6 10 2 2 2 3" xfId="27945"/>
    <cellStyle name="Normal 2 6 10 2 2 3" xfId="27946"/>
    <cellStyle name="Normal 2 6 10 2 2 4" xfId="27947"/>
    <cellStyle name="Normal 2 6 10 2 2 5" xfId="27948"/>
    <cellStyle name="Normal 2 6 10 2 2 6" xfId="27949"/>
    <cellStyle name="Normal 2 6 10 2 3" xfId="27950"/>
    <cellStyle name="Normal 2 6 10 2 3 2" xfId="27951"/>
    <cellStyle name="Normal 2 6 10 2 3 2 2" xfId="27952"/>
    <cellStyle name="Normal 2 6 10 2 3 3" xfId="27953"/>
    <cellStyle name="Normal 2 6 10 2 3 4" xfId="27954"/>
    <cellStyle name="Normal 2 6 10 2 3 5" xfId="27955"/>
    <cellStyle name="Normal 2 6 10 2 4" xfId="27956"/>
    <cellStyle name="Normal 2 6 10 2 4 2" xfId="27957"/>
    <cellStyle name="Normal 2 6 10 2 4 3" xfId="27958"/>
    <cellStyle name="Normal 2 6 10 2 4 4" xfId="27959"/>
    <cellStyle name="Normal 2 6 10 2 5" xfId="27960"/>
    <cellStyle name="Normal 2 6 10 2 5 2" xfId="27961"/>
    <cellStyle name="Normal 2 6 10 2 6" xfId="27962"/>
    <cellStyle name="Normal 2 6 10 2 7" xfId="27963"/>
    <cellStyle name="Normal 2 6 10 2 8" xfId="27964"/>
    <cellStyle name="Normal 2 6 10 2 9" xfId="27965"/>
    <cellStyle name="Normal 2 6 10 3" xfId="27966"/>
    <cellStyle name="Normal 2 6 10 3 2" xfId="27967"/>
    <cellStyle name="Normal 2 6 10 3 2 2" xfId="27968"/>
    <cellStyle name="Normal 2 6 10 3 2 2 2" xfId="27969"/>
    <cellStyle name="Normal 2 6 10 3 2 2 3" xfId="27970"/>
    <cellStyle name="Normal 2 6 10 3 2 3" xfId="27971"/>
    <cellStyle name="Normal 2 6 10 3 2 4" xfId="27972"/>
    <cellStyle name="Normal 2 6 10 3 2 5" xfId="27973"/>
    <cellStyle name="Normal 2 6 10 3 2 6" xfId="27974"/>
    <cellStyle name="Normal 2 6 10 3 3" xfId="27975"/>
    <cellStyle name="Normal 2 6 10 3 3 2" xfId="27976"/>
    <cellStyle name="Normal 2 6 10 3 3 2 2" xfId="27977"/>
    <cellStyle name="Normal 2 6 10 3 3 3" xfId="27978"/>
    <cellStyle name="Normal 2 6 10 3 3 4" xfId="27979"/>
    <cellStyle name="Normal 2 6 10 3 3 5" xfId="27980"/>
    <cellStyle name="Normal 2 6 10 3 4" xfId="27981"/>
    <cellStyle name="Normal 2 6 10 3 4 2" xfId="27982"/>
    <cellStyle name="Normal 2 6 10 3 4 3" xfId="27983"/>
    <cellStyle name="Normal 2 6 10 3 4 4" xfId="27984"/>
    <cellStyle name="Normal 2 6 10 3 5" xfId="27985"/>
    <cellStyle name="Normal 2 6 10 3 5 2" xfId="27986"/>
    <cellStyle name="Normal 2 6 10 3 6" xfId="27987"/>
    <cellStyle name="Normal 2 6 10 3 7" xfId="27988"/>
    <cellStyle name="Normal 2 6 10 3 8" xfId="27989"/>
    <cellStyle name="Normal 2 6 10 3 9" xfId="27990"/>
    <cellStyle name="Normal 2 6 10 4" xfId="27991"/>
    <cellStyle name="Normal 2 6 10 4 2" xfId="27992"/>
    <cellStyle name="Normal 2 6 10 4 2 2" xfId="27993"/>
    <cellStyle name="Normal 2 6 10 4 2 3" xfId="27994"/>
    <cellStyle name="Normal 2 6 10 4 3" xfId="27995"/>
    <cellStyle name="Normal 2 6 10 4 4" xfId="27996"/>
    <cellStyle name="Normal 2 6 10 4 5" xfId="27997"/>
    <cellStyle name="Normal 2 6 10 4 6" xfId="27998"/>
    <cellStyle name="Normal 2 6 10 5" xfId="27999"/>
    <cellStyle name="Normal 2 6 10 5 2" xfId="28000"/>
    <cellStyle name="Normal 2 6 10 5 2 2" xfId="28001"/>
    <cellStyle name="Normal 2 6 10 5 3" xfId="28002"/>
    <cellStyle name="Normal 2 6 10 5 4" xfId="28003"/>
    <cellStyle name="Normal 2 6 10 5 5" xfId="28004"/>
    <cellStyle name="Normal 2 6 10 6" xfId="28005"/>
    <cellStyle name="Normal 2 6 10 6 2" xfId="28006"/>
    <cellStyle name="Normal 2 6 10 6 3" xfId="28007"/>
    <cellStyle name="Normal 2 6 10 6 4" xfId="28008"/>
    <cellStyle name="Normal 2 6 10 7" xfId="28009"/>
    <cellStyle name="Normal 2 6 10 7 2" xfId="28010"/>
    <cellStyle name="Normal 2 6 10 8" xfId="28011"/>
    <cellStyle name="Normal 2 6 10 9" xfId="28012"/>
    <cellStyle name="Normal 2 6 11" xfId="28013"/>
    <cellStyle name="Normal 2 6 11 10" xfId="28014"/>
    <cellStyle name="Normal 2 6 11 2" xfId="28015"/>
    <cellStyle name="Normal 2 6 11 2 2" xfId="28016"/>
    <cellStyle name="Normal 2 6 11 2 2 2" xfId="28017"/>
    <cellStyle name="Normal 2 6 11 2 2 3" xfId="28018"/>
    <cellStyle name="Normal 2 6 11 2 3" xfId="28019"/>
    <cellStyle name="Normal 2 6 11 2 4" xfId="28020"/>
    <cellStyle name="Normal 2 6 11 2 5" xfId="28021"/>
    <cellStyle name="Normal 2 6 11 2 6" xfId="28022"/>
    <cellStyle name="Normal 2 6 11 3" xfId="28023"/>
    <cellStyle name="Normal 2 6 11 3 2" xfId="28024"/>
    <cellStyle name="Normal 2 6 11 3 2 2" xfId="28025"/>
    <cellStyle name="Normal 2 6 11 3 2 3" xfId="28026"/>
    <cellStyle name="Normal 2 6 11 3 3" xfId="28027"/>
    <cellStyle name="Normal 2 6 11 3 4" xfId="28028"/>
    <cellStyle name="Normal 2 6 11 3 5" xfId="28029"/>
    <cellStyle name="Normal 2 6 11 3 6" xfId="28030"/>
    <cellStyle name="Normal 2 6 11 4" xfId="28031"/>
    <cellStyle name="Normal 2 6 11 4 2" xfId="28032"/>
    <cellStyle name="Normal 2 6 11 4 2 2" xfId="28033"/>
    <cellStyle name="Normal 2 6 11 4 3" xfId="28034"/>
    <cellStyle name="Normal 2 6 11 4 4" xfId="28035"/>
    <cellStyle name="Normal 2 6 11 4 5" xfId="28036"/>
    <cellStyle name="Normal 2 6 11 5" xfId="28037"/>
    <cellStyle name="Normal 2 6 11 5 2" xfId="28038"/>
    <cellStyle name="Normal 2 6 11 5 3" xfId="28039"/>
    <cellStyle name="Normal 2 6 11 5 4" xfId="28040"/>
    <cellStyle name="Normal 2 6 11 6" xfId="28041"/>
    <cellStyle name="Normal 2 6 11 6 2" xfId="28042"/>
    <cellStyle name="Normal 2 6 11 7" xfId="28043"/>
    <cellStyle name="Normal 2 6 11 8" xfId="28044"/>
    <cellStyle name="Normal 2 6 11 9" xfId="28045"/>
    <cellStyle name="Normal 2 6 12" xfId="28046"/>
    <cellStyle name="Normal 2 6 12 10" xfId="28047"/>
    <cellStyle name="Normal 2 6 12 2" xfId="28048"/>
    <cellStyle name="Normal 2 6 12 2 2" xfId="28049"/>
    <cellStyle name="Normal 2 6 12 2 2 2" xfId="28050"/>
    <cellStyle name="Normal 2 6 12 2 2 3" xfId="28051"/>
    <cellStyle name="Normal 2 6 12 2 3" xfId="28052"/>
    <cellStyle name="Normal 2 6 12 2 4" xfId="28053"/>
    <cellStyle name="Normal 2 6 12 2 5" xfId="28054"/>
    <cellStyle name="Normal 2 6 12 2 6" xfId="28055"/>
    <cellStyle name="Normal 2 6 12 3" xfId="28056"/>
    <cellStyle name="Normal 2 6 12 3 2" xfId="28057"/>
    <cellStyle name="Normal 2 6 12 3 2 2" xfId="28058"/>
    <cellStyle name="Normal 2 6 12 3 2 3" xfId="28059"/>
    <cellStyle name="Normal 2 6 12 3 3" xfId="28060"/>
    <cellStyle name="Normal 2 6 12 3 4" xfId="28061"/>
    <cellStyle name="Normal 2 6 12 3 5" xfId="28062"/>
    <cellStyle name="Normal 2 6 12 3 6" xfId="28063"/>
    <cellStyle name="Normal 2 6 12 4" xfId="28064"/>
    <cellStyle name="Normal 2 6 12 4 2" xfId="28065"/>
    <cellStyle name="Normal 2 6 12 4 2 2" xfId="28066"/>
    <cellStyle name="Normal 2 6 12 4 3" xfId="28067"/>
    <cellStyle name="Normal 2 6 12 4 4" xfId="28068"/>
    <cellStyle name="Normal 2 6 12 4 5" xfId="28069"/>
    <cellStyle name="Normal 2 6 12 5" xfId="28070"/>
    <cellStyle name="Normal 2 6 12 5 2" xfId="28071"/>
    <cellStyle name="Normal 2 6 12 5 3" xfId="28072"/>
    <cellStyle name="Normal 2 6 12 5 4" xfId="28073"/>
    <cellStyle name="Normal 2 6 12 6" xfId="28074"/>
    <cellStyle name="Normal 2 6 12 6 2" xfId="28075"/>
    <cellStyle name="Normal 2 6 12 7" xfId="28076"/>
    <cellStyle name="Normal 2 6 12 8" xfId="28077"/>
    <cellStyle name="Normal 2 6 12 9" xfId="28078"/>
    <cellStyle name="Normal 2 6 13" xfId="28079"/>
    <cellStyle name="Normal 2 6 13 10" xfId="28080"/>
    <cellStyle name="Normal 2 6 13 2" xfId="28081"/>
    <cellStyle name="Normal 2 6 13 2 2" xfId="28082"/>
    <cellStyle name="Normal 2 6 13 2 2 2" xfId="28083"/>
    <cellStyle name="Normal 2 6 13 2 2 3" xfId="28084"/>
    <cellStyle name="Normal 2 6 13 2 3" xfId="28085"/>
    <cellStyle name="Normal 2 6 13 2 4" xfId="28086"/>
    <cellStyle name="Normal 2 6 13 2 5" xfId="28087"/>
    <cellStyle name="Normal 2 6 13 2 6" xfId="28088"/>
    <cellStyle name="Normal 2 6 13 3" xfId="28089"/>
    <cellStyle name="Normal 2 6 13 3 2" xfId="28090"/>
    <cellStyle name="Normal 2 6 13 3 2 2" xfId="28091"/>
    <cellStyle name="Normal 2 6 13 3 2 3" xfId="28092"/>
    <cellStyle name="Normal 2 6 13 3 3" xfId="28093"/>
    <cellStyle name="Normal 2 6 13 3 4" xfId="28094"/>
    <cellStyle name="Normal 2 6 13 3 5" xfId="28095"/>
    <cellStyle name="Normal 2 6 13 3 6" xfId="28096"/>
    <cellStyle name="Normal 2 6 13 4" xfId="28097"/>
    <cellStyle name="Normal 2 6 13 4 2" xfId="28098"/>
    <cellStyle name="Normal 2 6 13 4 2 2" xfId="28099"/>
    <cellStyle name="Normal 2 6 13 4 3" xfId="28100"/>
    <cellStyle name="Normal 2 6 13 4 4" xfId="28101"/>
    <cellStyle name="Normal 2 6 13 4 5" xfId="28102"/>
    <cellStyle name="Normal 2 6 13 5" xfId="28103"/>
    <cellStyle name="Normal 2 6 13 5 2" xfId="28104"/>
    <cellStyle name="Normal 2 6 13 5 3" xfId="28105"/>
    <cellStyle name="Normal 2 6 13 5 4" xfId="28106"/>
    <cellStyle name="Normal 2 6 13 6" xfId="28107"/>
    <cellStyle name="Normal 2 6 13 6 2" xfId="28108"/>
    <cellStyle name="Normal 2 6 13 7" xfId="28109"/>
    <cellStyle name="Normal 2 6 13 8" xfId="28110"/>
    <cellStyle name="Normal 2 6 13 9" xfId="28111"/>
    <cellStyle name="Normal 2 6 14" xfId="28112"/>
    <cellStyle name="Normal 2 6 14 10" xfId="28113"/>
    <cellStyle name="Normal 2 6 14 2" xfId="28114"/>
    <cellStyle name="Normal 2 6 14 2 2" xfId="28115"/>
    <cellStyle name="Normal 2 6 14 2 2 2" xfId="28116"/>
    <cellStyle name="Normal 2 6 14 2 2 3" xfId="28117"/>
    <cellStyle name="Normal 2 6 14 2 3" xfId="28118"/>
    <cellStyle name="Normal 2 6 14 2 4" xfId="28119"/>
    <cellStyle name="Normal 2 6 14 2 5" xfId="28120"/>
    <cellStyle name="Normal 2 6 14 2 6" xfId="28121"/>
    <cellStyle name="Normal 2 6 14 3" xfId="28122"/>
    <cellStyle name="Normal 2 6 14 3 2" xfId="28123"/>
    <cellStyle name="Normal 2 6 14 3 2 2" xfId="28124"/>
    <cellStyle name="Normal 2 6 14 3 2 3" xfId="28125"/>
    <cellStyle name="Normal 2 6 14 3 3" xfId="28126"/>
    <cellStyle name="Normal 2 6 14 3 4" xfId="28127"/>
    <cellStyle name="Normal 2 6 14 3 5" xfId="28128"/>
    <cellStyle name="Normal 2 6 14 3 6" xfId="28129"/>
    <cellStyle name="Normal 2 6 14 4" xfId="28130"/>
    <cellStyle name="Normal 2 6 14 4 2" xfId="28131"/>
    <cellStyle name="Normal 2 6 14 4 2 2" xfId="28132"/>
    <cellStyle name="Normal 2 6 14 4 3" xfId="28133"/>
    <cellStyle name="Normal 2 6 14 4 4" xfId="28134"/>
    <cellStyle name="Normal 2 6 14 4 5" xfId="28135"/>
    <cellStyle name="Normal 2 6 14 5" xfId="28136"/>
    <cellStyle name="Normal 2 6 14 5 2" xfId="28137"/>
    <cellStyle name="Normal 2 6 14 5 3" xfId="28138"/>
    <cellStyle name="Normal 2 6 14 5 4" xfId="28139"/>
    <cellStyle name="Normal 2 6 14 6" xfId="28140"/>
    <cellStyle name="Normal 2 6 14 6 2" xfId="28141"/>
    <cellStyle name="Normal 2 6 14 7" xfId="28142"/>
    <cellStyle name="Normal 2 6 14 8" xfId="28143"/>
    <cellStyle name="Normal 2 6 14 9" xfId="28144"/>
    <cellStyle name="Normal 2 6 15" xfId="28145"/>
    <cellStyle name="Normal 2 6 15 10" xfId="28146"/>
    <cellStyle name="Normal 2 6 15 2" xfId="28147"/>
    <cellStyle name="Normal 2 6 15 2 2" xfId="28148"/>
    <cellStyle name="Normal 2 6 15 2 2 2" xfId="28149"/>
    <cellStyle name="Normal 2 6 15 2 2 3" xfId="28150"/>
    <cellStyle name="Normal 2 6 15 2 3" xfId="28151"/>
    <cellStyle name="Normal 2 6 15 2 4" xfId="28152"/>
    <cellStyle name="Normal 2 6 15 2 5" xfId="28153"/>
    <cellStyle name="Normal 2 6 15 2 6" xfId="28154"/>
    <cellStyle name="Normal 2 6 15 3" xfId="28155"/>
    <cellStyle name="Normal 2 6 15 3 2" xfId="28156"/>
    <cellStyle name="Normal 2 6 15 3 2 2" xfId="28157"/>
    <cellStyle name="Normal 2 6 15 3 2 3" xfId="28158"/>
    <cellStyle name="Normal 2 6 15 3 3" xfId="28159"/>
    <cellStyle name="Normal 2 6 15 3 4" xfId="28160"/>
    <cellStyle name="Normal 2 6 15 3 5" xfId="28161"/>
    <cellStyle name="Normal 2 6 15 3 6" xfId="28162"/>
    <cellStyle name="Normal 2 6 15 4" xfId="28163"/>
    <cellStyle name="Normal 2 6 15 4 2" xfId="28164"/>
    <cellStyle name="Normal 2 6 15 4 2 2" xfId="28165"/>
    <cellStyle name="Normal 2 6 15 4 3" xfId="28166"/>
    <cellStyle name="Normal 2 6 15 4 4" xfId="28167"/>
    <cellStyle name="Normal 2 6 15 4 5" xfId="28168"/>
    <cellStyle name="Normal 2 6 15 5" xfId="28169"/>
    <cellStyle name="Normal 2 6 15 5 2" xfId="28170"/>
    <cellStyle name="Normal 2 6 15 5 3" xfId="28171"/>
    <cellStyle name="Normal 2 6 15 5 4" xfId="28172"/>
    <cellStyle name="Normal 2 6 15 6" xfId="28173"/>
    <cellStyle name="Normal 2 6 15 6 2" xfId="28174"/>
    <cellStyle name="Normal 2 6 15 7" xfId="28175"/>
    <cellStyle name="Normal 2 6 15 8" xfId="28176"/>
    <cellStyle name="Normal 2 6 15 9" xfId="28177"/>
    <cellStyle name="Normal 2 6 16" xfId="28178"/>
    <cellStyle name="Normal 2 6 16 10" xfId="28179"/>
    <cellStyle name="Normal 2 6 16 2" xfId="28180"/>
    <cellStyle name="Normal 2 6 16 2 2" xfId="28181"/>
    <cellStyle name="Normal 2 6 16 2 2 2" xfId="28182"/>
    <cellStyle name="Normal 2 6 16 2 2 3" xfId="28183"/>
    <cellStyle name="Normal 2 6 16 2 3" xfId="28184"/>
    <cellStyle name="Normal 2 6 16 2 4" xfId="28185"/>
    <cellStyle name="Normal 2 6 16 2 5" xfId="28186"/>
    <cellStyle name="Normal 2 6 16 2 6" xfId="28187"/>
    <cellStyle name="Normal 2 6 16 3" xfId="28188"/>
    <cellStyle name="Normal 2 6 16 3 2" xfId="28189"/>
    <cellStyle name="Normal 2 6 16 3 2 2" xfId="28190"/>
    <cellStyle name="Normal 2 6 16 3 2 3" xfId="28191"/>
    <cellStyle name="Normal 2 6 16 3 3" xfId="28192"/>
    <cellStyle name="Normal 2 6 16 3 4" xfId="28193"/>
    <cellStyle name="Normal 2 6 16 3 5" xfId="28194"/>
    <cellStyle name="Normal 2 6 16 3 6" xfId="28195"/>
    <cellStyle name="Normal 2 6 16 4" xfId="28196"/>
    <cellStyle name="Normal 2 6 16 4 2" xfId="28197"/>
    <cellStyle name="Normal 2 6 16 4 2 2" xfId="28198"/>
    <cellStyle name="Normal 2 6 16 4 3" xfId="28199"/>
    <cellStyle name="Normal 2 6 16 4 4" xfId="28200"/>
    <cellStyle name="Normal 2 6 16 4 5" xfId="28201"/>
    <cellStyle name="Normal 2 6 16 5" xfId="28202"/>
    <cellStyle name="Normal 2 6 16 5 2" xfId="28203"/>
    <cellStyle name="Normal 2 6 16 5 3" xfId="28204"/>
    <cellStyle name="Normal 2 6 16 5 4" xfId="28205"/>
    <cellStyle name="Normal 2 6 16 6" xfId="28206"/>
    <cellStyle name="Normal 2 6 16 6 2" xfId="28207"/>
    <cellStyle name="Normal 2 6 16 7" xfId="28208"/>
    <cellStyle name="Normal 2 6 16 8" xfId="28209"/>
    <cellStyle name="Normal 2 6 16 9" xfId="28210"/>
    <cellStyle name="Normal 2 6 17" xfId="28211"/>
    <cellStyle name="Normal 2 6 17 10" xfId="28212"/>
    <cellStyle name="Normal 2 6 17 2" xfId="28213"/>
    <cellStyle name="Normal 2 6 17 2 2" xfId="28214"/>
    <cellStyle name="Normal 2 6 17 2 2 2" xfId="28215"/>
    <cellStyle name="Normal 2 6 17 2 2 3" xfId="28216"/>
    <cellStyle name="Normal 2 6 17 2 3" xfId="28217"/>
    <cellStyle name="Normal 2 6 17 2 4" xfId="28218"/>
    <cellStyle name="Normal 2 6 17 2 5" xfId="28219"/>
    <cellStyle name="Normal 2 6 17 2 6" xfId="28220"/>
    <cellStyle name="Normal 2 6 17 3" xfId="28221"/>
    <cellStyle name="Normal 2 6 17 3 2" xfId="28222"/>
    <cellStyle name="Normal 2 6 17 3 2 2" xfId="28223"/>
    <cellStyle name="Normal 2 6 17 3 2 3" xfId="28224"/>
    <cellStyle name="Normal 2 6 17 3 3" xfId="28225"/>
    <cellStyle name="Normal 2 6 17 3 4" xfId="28226"/>
    <cellStyle name="Normal 2 6 17 3 5" xfId="28227"/>
    <cellStyle name="Normal 2 6 17 3 6" xfId="28228"/>
    <cellStyle name="Normal 2 6 17 4" xfId="28229"/>
    <cellStyle name="Normal 2 6 17 4 2" xfId="28230"/>
    <cellStyle name="Normal 2 6 17 4 2 2" xfId="28231"/>
    <cellStyle name="Normal 2 6 17 4 3" xfId="28232"/>
    <cellStyle name="Normal 2 6 17 4 4" xfId="28233"/>
    <cellStyle name="Normal 2 6 17 4 5" xfId="28234"/>
    <cellStyle name="Normal 2 6 17 5" xfId="28235"/>
    <cellStyle name="Normal 2 6 17 5 2" xfId="28236"/>
    <cellStyle name="Normal 2 6 17 5 3" xfId="28237"/>
    <cellStyle name="Normal 2 6 17 5 4" xfId="28238"/>
    <cellStyle name="Normal 2 6 17 6" xfId="28239"/>
    <cellStyle name="Normal 2 6 17 6 2" xfId="28240"/>
    <cellStyle name="Normal 2 6 17 7" xfId="28241"/>
    <cellStyle name="Normal 2 6 17 8" xfId="28242"/>
    <cellStyle name="Normal 2 6 17 9" xfId="28243"/>
    <cellStyle name="Normal 2 6 18" xfId="28244"/>
    <cellStyle name="Normal 2 6 18 10" xfId="28245"/>
    <cellStyle name="Normal 2 6 18 2" xfId="28246"/>
    <cellStyle name="Normal 2 6 18 2 2" xfId="28247"/>
    <cellStyle name="Normal 2 6 18 2 2 2" xfId="28248"/>
    <cellStyle name="Normal 2 6 18 2 2 3" xfId="28249"/>
    <cellStyle name="Normal 2 6 18 2 3" xfId="28250"/>
    <cellStyle name="Normal 2 6 18 2 4" xfId="28251"/>
    <cellStyle name="Normal 2 6 18 2 5" xfId="28252"/>
    <cellStyle name="Normal 2 6 18 2 6" xfId="28253"/>
    <cellStyle name="Normal 2 6 18 3" xfId="28254"/>
    <cellStyle name="Normal 2 6 18 3 2" xfId="28255"/>
    <cellStyle name="Normal 2 6 18 3 2 2" xfId="28256"/>
    <cellStyle name="Normal 2 6 18 3 2 3" xfId="28257"/>
    <cellStyle name="Normal 2 6 18 3 3" xfId="28258"/>
    <cellStyle name="Normal 2 6 18 3 4" xfId="28259"/>
    <cellStyle name="Normal 2 6 18 3 5" xfId="28260"/>
    <cellStyle name="Normal 2 6 18 3 6" xfId="28261"/>
    <cellStyle name="Normal 2 6 18 4" xfId="28262"/>
    <cellStyle name="Normal 2 6 18 4 2" xfId="28263"/>
    <cellStyle name="Normal 2 6 18 4 2 2" xfId="28264"/>
    <cellStyle name="Normal 2 6 18 4 3" xfId="28265"/>
    <cellStyle name="Normal 2 6 18 4 4" xfId="28266"/>
    <cellStyle name="Normal 2 6 18 4 5" xfId="28267"/>
    <cellStyle name="Normal 2 6 18 5" xfId="28268"/>
    <cellStyle name="Normal 2 6 18 5 2" xfId="28269"/>
    <cellStyle name="Normal 2 6 18 5 3" xfId="28270"/>
    <cellStyle name="Normal 2 6 18 5 4" xfId="28271"/>
    <cellStyle name="Normal 2 6 18 6" xfId="28272"/>
    <cellStyle name="Normal 2 6 18 6 2" xfId="28273"/>
    <cellStyle name="Normal 2 6 18 7" xfId="28274"/>
    <cellStyle name="Normal 2 6 18 8" xfId="28275"/>
    <cellStyle name="Normal 2 6 18 9" xfId="28276"/>
    <cellStyle name="Normal 2 6 19" xfId="28277"/>
    <cellStyle name="Normal 2 6 19 10" xfId="28278"/>
    <cellStyle name="Normal 2 6 19 2" xfId="28279"/>
    <cellStyle name="Normal 2 6 19 2 2" xfId="28280"/>
    <cellStyle name="Normal 2 6 19 2 2 2" xfId="28281"/>
    <cellStyle name="Normal 2 6 19 2 2 3" xfId="28282"/>
    <cellStyle name="Normal 2 6 19 2 3" xfId="28283"/>
    <cellStyle name="Normal 2 6 19 2 4" xfId="28284"/>
    <cellStyle name="Normal 2 6 19 2 5" xfId="28285"/>
    <cellStyle name="Normal 2 6 19 2 6" xfId="28286"/>
    <cellStyle name="Normal 2 6 19 3" xfId="28287"/>
    <cellStyle name="Normal 2 6 19 3 2" xfId="28288"/>
    <cellStyle name="Normal 2 6 19 3 2 2" xfId="28289"/>
    <cellStyle name="Normal 2 6 19 3 2 3" xfId="28290"/>
    <cellStyle name="Normal 2 6 19 3 3" xfId="28291"/>
    <cellStyle name="Normal 2 6 19 3 4" xfId="28292"/>
    <cellStyle name="Normal 2 6 19 3 5" xfId="28293"/>
    <cellStyle name="Normal 2 6 19 3 6" xfId="28294"/>
    <cellStyle name="Normal 2 6 19 4" xfId="28295"/>
    <cellStyle name="Normal 2 6 19 4 2" xfId="28296"/>
    <cellStyle name="Normal 2 6 19 4 2 2" xfId="28297"/>
    <cellStyle name="Normal 2 6 19 4 3" xfId="28298"/>
    <cellStyle name="Normal 2 6 19 4 4" xfId="28299"/>
    <cellStyle name="Normal 2 6 19 4 5" xfId="28300"/>
    <cellStyle name="Normal 2 6 19 5" xfId="28301"/>
    <cellStyle name="Normal 2 6 19 5 2" xfId="28302"/>
    <cellStyle name="Normal 2 6 19 5 3" xfId="28303"/>
    <cellStyle name="Normal 2 6 19 5 4" xfId="28304"/>
    <cellStyle name="Normal 2 6 19 6" xfId="28305"/>
    <cellStyle name="Normal 2 6 19 6 2" xfId="28306"/>
    <cellStyle name="Normal 2 6 19 7" xfId="28307"/>
    <cellStyle name="Normal 2 6 19 8" xfId="28308"/>
    <cellStyle name="Normal 2 6 19 9" xfId="28309"/>
    <cellStyle name="Normal 2 6 2" xfId="28310"/>
    <cellStyle name="Normal 2 6 2 10" xfId="28311"/>
    <cellStyle name="Normal 2 6 2 10 10" xfId="28312"/>
    <cellStyle name="Normal 2 6 2 10 2" xfId="28313"/>
    <cellStyle name="Normal 2 6 2 10 2 2" xfId="28314"/>
    <cellStyle name="Normal 2 6 2 10 2 2 2" xfId="28315"/>
    <cellStyle name="Normal 2 6 2 10 2 2 3" xfId="28316"/>
    <cellStyle name="Normal 2 6 2 10 2 3" xfId="28317"/>
    <cellStyle name="Normal 2 6 2 10 2 4" xfId="28318"/>
    <cellStyle name="Normal 2 6 2 10 2 5" xfId="28319"/>
    <cellStyle name="Normal 2 6 2 10 2 6" xfId="28320"/>
    <cellStyle name="Normal 2 6 2 10 3" xfId="28321"/>
    <cellStyle name="Normal 2 6 2 10 3 2" xfId="28322"/>
    <cellStyle name="Normal 2 6 2 10 3 2 2" xfId="28323"/>
    <cellStyle name="Normal 2 6 2 10 3 2 3" xfId="28324"/>
    <cellStyle name="Normal 2 6 2 10 3 3" xfId="28325"/>
    <cellStyle name="Normal 2 6 2 10 3 4" xfId="28326"/>
    <cellStyle name="Normal 2 6 2 10 3 5" xfId="28327"/>
    <cellStyle name="Normal 2 6 2 10 3 6" xfId="28328"/>
    <cellStyle name="Normal 2 6 2 10 4" xfId="28329"/>
    <cellStyle name="Normal 2 6 2 10 4 2" xfId="28330"/>
    <cellStyle name="Normal 2 6 2 10 4 2 2" xfId="28331"/>
    <cellStyle name="Normal 2 6 2 10 4 3" xfId="28332"/>
    <cellStyle name="Normal 2 6 2 10 4 4" xfId="28333"/>
    <cellStyle name="Normal 2 6 2 10 4 5" xfId="28334"/>
    <cellStyle name="Normal 2 6 2 10 5" xfId="28335"/>
    <cellStyle name="Normal 2 6 2 10 5 2" xfId="28336"/>
    <cellStyle name="Normal 2 6 2 10 5 3" xfId="28337"/>
    <cellStyle name="Normal 2 6 2 10 5 4" xfId="28338"/>
    <cellStyle name="Normal 2 6 2 10 6" xfId="28339"/>
    <cellStyle name="Normal 2 6 2 10 6 2" xfId="28340"/>
    <cellStyle name="Normal 2 6 2 10 7" xfId="28341"/>
    <cellStyle name="Normal 2 6 2 10 8" xfId="28342"/>
    <cellStyle name="Normal 2 6 2 10 9" xfId="28343"/>
    <cellStyle name="Normal 2 6 2 11" xfId="28344"/>
    <cellStyle name="Normal 2 6 2 11 10" xfId="28345"/>
    <cellStyle name="Normal 2 6 2 11 2" xfId="28346"/>
    <cellStyle name="Normal 2 6 2 11 2 2" xfId="28347"/>
    <cellStyle name="Normal 2 6 2 11 2 2 2" xfId="28348"/>
    <cellStyle name="Normal 2 6 2 11 2 2 3" xfId="28349"/>
    <cellStyle name="Normal 2 6 2 11 2 3" xfId="28350"/>
    <cellStyle name="Normal 2 6 2 11 2 4" xfId="28351"/>
    <cellStyle name="Normal 2 6 2 11 2 5" xfId="28352"/>
    <cellStyle name="Normal 2 6 2 11 2 6" xfId="28353"/>
    <cellStyle name="Normal 2 6 2 11 3" xfId="28354"/>
    <cellStyle name="Normal 2 6 2 11 3 2" xfId="28355"/>
    <cellStyle name="Normal 2 6 2 11 3 2 2" xfId="28356"/>
    <cellStyle name="Normal 2 6 2 11 3 2 3" xfId="28357"/>
    <cellStyle name="Normal 2 6 2 11 3 3" xfId="28358"/>
    <cellStyle name="Normal 2 6 2 11 3 4" xfId="28359"/>
    <cellStyle name="Normal 2 6 2 11 3 5" xfId="28360"/>
    <cellStyle name="Normal 2 6 2 11 3 6" xfId="28361"/>
    <cellStyle name="Normal 2 6 2 11 4" xfId="28362"/>
    <cellStyle name="Normal 2 6 2 11 4 2" xfId="28363"/>
    <cellStyle name="Normal 2 6 2 11 4 2 2" xfId="28364"/>
    <cellStyle name="Normal 2 6 2 11 4 3" xfId="28365"/>
    <cellStyle name="Normal 2 6 2 11 4 4" xfId="28366"/>
    <cellStyle name="Normal 2 6 2 11 4 5" xfId="28367"/>
    <cellStyle name="Normal 2 6 2 11 5" xfId="28368"/>
    <cellStyle name="Normal 2 6 2 11 5 2" xfId="28369"/>
    <cellStyle name="Normal 2 6 2 11 5 3" xfId="28370"/>
    <cellStyle name="Normal 2 6 2 11 5 4" xfId="28371"/>
    <cellStyle name="Normal 2 6 2 11 6" xfId="28372"/>
    <cellStyle name="Normal 2 6 2 11 6 2" xfId="28373"/>
    <cellStyle name="Normal 2 6 2 11 7" xfId="28374"/>
    <cellStyle name="Normal 2 6 2 11 8" xfId="28375"/>
    <cellStyle name="Normal 2 6 2 11 9" xfId="28376"/>
    <cellStyle name="Normal 2 6 2 12" xfId="28377"/>
    <cellStyle name="Normal 2 6 2 12 10" xfId="28378"/>
    <cellStyle name="Normal 2 6 2 12 2" xfId="28379"/>
    <cellStyle name="Normal 2 6 2 12 2 2" xfId="28380"/>
    <cellStyle name="Normal 2 6 2 12 2 2 2" xfId="28381"/>
    <cellStyle name="Normal 2 6 2 12 2 2 3" xfId="28382"/>
    <cellStyle name="Normal 2 6 2 12 2 3" xfId="28383"/>
    <cellStyle name="Normal 2 6 2 12 2 4" xfId="28384"/>
    <cellStyle name="Normal 2 6 2 12 2 5" xfId="28385"/>
    <cellStyle name="Normal 2 6 2 12 2 6" xfId="28386"/>
    <cellStyle name="Normal 2 6 2 12 3" xfId="28387"/>
    <cellStyle name="Normal 2 6 2 12 3 2" xfId="28388"/>
    <cellStyle name="Normal 2 6 2 12 3 2 2" xfId="28389"/>
    <cellStyle name="Normal 2 6 2 12 3 2 3" xfId="28390"/>
    <cellStyle name="Normal 2 6 2 12 3 3" xfId="28391"/>
    <cellStyle name="Normal 2 6 2 12 3 4" xfId="28392"/>
    <cellStyle name="Normal 2 6 2 12 3 5" xfId="28393"/>
    <cellStyle name="Normal 2 6 2 12 3 6" xfId="28394"/>
    <cellStyle name="Normal 2 6 2 12 4" xfId="28395"/>
    <cellStyle name="Normal 2 6 2 12 4 2" xfId="28396"/>
    <cellStyle name="Normal 2 6 2 12 4 2 2" xfId="28397"/>
    <cellStyle name="Normal 2 6 2 12 4 3" xfId="28398"/>
    <cellStyle name="Normal 2 6 2 12 4 4" xfId="28399"/>
    <cellStyle name="Normal 2 6 2 12 4 5" xfId="28400"/>
    <cellStyle name="Normal 2 6 2 12 5" xfId="28401"/>
    <cellStyle name="Normal 2 6 2 12 5 2" xfId="28402"/>
    <cellStyle name="Normal 2 6 2 12 5 3" xfId="28403"/>
    <cellStyle name="Normal 2 6 2 12 5 4" xfId="28404"/>
    <cellStyle name="Normal 2 6 2 12 6" xfId="28405"/>
    <cellStyle name="Normal 2 6 2 12 6 2" xfId="28406"/>
    <cellStyle name="Normal 2 6 2 12 7" xfId="28407"/>
    <cellStyle name="Normal 2 6 2 12 8" xfId="28408"/>
    <cellStyle name="Normal 2 6 2 12 9" xfId="28409"/>
    <cellStyle name="Normal 2 6 2 13" xfId="28410"/>
    <cellStyle name="Normal 2 6 2 13 2" xfId="28411"/>
    <cellStyle name="Normal 2 6 2 13 2 2" xfId="28412"/>
    <cellStyle name="Normal 2 6 2 13 2 2 2" xfId="28413"/>
    <cellStyle name="Normal 2 6 2 13 2 2 3" xfId="28414"/>
    <cellStyle name="Normal 2 6 2 13 2 3" xfId="28415"/>
    <cellStyle name="Normal 2 6 2 13 2 4" xfId="28416"/>
    <cellStyle name="Normal 2 6 2 13 2 5" xfId="28417"/>
    <cellStyle name="Normal 2 6 2 13 2 6" xfId="28418"/>
    <cellStyle name="Normal 2 6 2 13 3" xfId="28419"/>
    <cellStyle name="Normal 2 6 2 13 3 2" xfId="28420"/>
    <cellStyle name="Normal 2 6 2 13 3 2 2" xfId="28421"/>
    <cellStyle name="Normal 2 6 2 13 3 3" xfId="28422"/>
    <cellStyle name="Normal 2 6 2 13 3 4" xfId="28423"/>
    <cellStyle name="Normal 2 6 2 13 3 5" xfId="28424"/>
    <cellStyle name="Normal 2 6 2 13 4" xfId="28425"/>
    <cellStyle name="Normal 2 6 2 13 4 2" xfId="28426"/>
    <cellStyle name="Normal 2 6 2 13 4 3" xfId="28427"/>
    <cellStyle name="Normal 2 6 2 13 4 4" xfId="28428"/>
    <cellStyle name="Normal 2 6 2 13 5" xfId="28429"/>
    <cellStyle name="Normal 2 6 2 13 5 2" xfId="28430"/>
    <cellStyle name="Normal 2 6 2 13 6" xfId="28431"/>
    <cellStyle name="Normal 2 6 2 13 7" xfId="28432"/>
    <cellStyle name="Normal 2 6 2 13 8" xfId="28433"/>
    <cellStyle name="Normal 2 6 2 13 9" xfId="28434"/>
    <cellStyle name="Normal 2 6 2 14" xfId="28435"/>
    <cellStyle name="Normal 2 6 2 14 2" xfId="28436"/>
    <cellStyle name="Normal 2 6 2 14 2 2" xfId="28437"/>
    <cellStyle name="Normal 2 6 2 14 2 2 2" xfId="28438"/>
    <cellStyle name="Normal 2 6 2 14 2 2 3" xfId="28439"/>
    <cellStyle name="Normal 2 6 2 14 2 3" xfId="28440"/>
    <cellStyle name="Normal 2 6 2 14 2 4" xfId="28441"/>
    <cellStyle name="Normal 2 6 2 14 2 5" xfId="28442"/>
    <cellStyle name="Normal 2 6 2 14 2 6" xfId="28443"/>
    <cellStyle name="Normal 2 6 2 14 3" xfId="28444"/>
    <cellStyle name="Normal 2 6 2 14 3 2" xfId="28445"/>
    <cellStyle name="Normal 2 6 2 14 3 2 2" xfId="28446"/>
    <cellStyle name="Normal 2 6 2 14 3 3" xfId="28447"/>
    <cellStyle name="Normal 2 6 2 14 3 4" xfId="28448"/>
    <cellStyle name="Normal 2 6 2 14 3 5" xfId="28449"/>
    <cellStyle name="Normal 2 6 2 14 4" xfId="28450"/>
    <cellStyle name="Normal 2 6 2 14 4 2" xfId="28451"/>
    <cellStyle name="Normal 2 6 2 14 4 3" xfId="28452"/>
    <cellStyle name="Normal 2 6 2 14 4 4" xfId="28453"/>
    <cellStyle name="Normal 2 6 2 14 5" xfId="28454"/>
    <cellStyle name="Normal 2 6 2 14 5 2" xfId="28455"/>
    <cellStyle name="Normal 2 6 2 14 6" xfId="28456"/>
    <cellStyle name="Normal 2 6 2 14 7" xfId="28457"/>
    <cellStyle name="Normal 2 6 2 14 8" xfId="28458"/>
    <cellStyle name="Normal 2 6 2 14 9" xfId="28459"/>
    <cellStyle name="Normal 2 6 2 15" xfId="28460"/>
    <cellStyle name="Normal 2 6 2 15 2" xfId="28461"/>
    <cellStyle name="Normal 2 6 2 15 2 2" xfId="28462"/>
    <cellStyle name="Normal 2 6 2 15 2 3" xfId="28463"/>
    <cellStyle name="Normal 2 6 2 15 3" xfId="28464"/>
    <cellStyle name="Normal 2 6 2 15 4" xfId="28465"/>
    <cellStyle name="Normal 2 6 2 15 5" xfId="28466"/>
    <cellStyle name="Normal 2 6 2 15 6" xfId="28467"/>
    <cellStyle name="Normal 2 6 2 16" xfId="28468"/>
    <cellStyle name="Normal 2 6 2 16 2" xfId="28469"/>
    <cellStyle name="Normal 2 6 2 16 2 2" xfId="28470"/>
    <cellStyle name="Normal 2 6 2 16 3" xfId="28471"/>
    <cellStyle name="Normal 2 6 2 16 4" xfId="28472"/>
    <cellStyle name="Normal 2 6 2 16 5" xfId="28473"/>
    <cellStyle name="Normal 2 6 2 17" xfId="28474"/>
    <cellStyle name="Normal 2 6 2 17 2" xfId="28475"/>
    <cellStyle name="Normal 2 6 2 17 2 2" xfId="28476"/>
    <cellStyle name="Normal 2 6 2 17 3" xfId="28477"/>
    <cellStyle name="Normal 2 6 2 17 4" xfId="28478"/>
    <cellStyle name="Normal 2 6 2 17 5" xfId="28479"/>
    <cellStyle name="Normal 2 6 2 18" xfId="28480"/>
    <cellStyle name="Normal 2 6 2 18 2" xfId="28481"/>
    <cellStyle name="Normal 2 6 2 19" xfId="28482"/>
    <cellStyle name="Normal 2 6 2 2" xfId="28483"/>
    <cellStyle name="Normal 2 6 2 2 10" xfId="28484"/>
    <cellStyle name="Normal 2 6 2 2 11" xfId="28485"/>
    <cellStyle name="Normal 2 6 2 2 2" xfId="28486"/>
    <cellStyle name="Normal 2 6 2 2 2 2" xfId="28487"/>
    <cellStyle name="Normal 2 6 2 2 2 2 2" xfId="28488"/>
    <cellStyle name="Normal 2 6 2 2 2 2 2 2" xfId="28489"/>
    <cellStyle name="Normal 2 6 2 2 2 2 2 3" xfId="28490"/>
    <cellStyle name="Normal 2 6 2 2 2 2 3" xfId="28491"/>
    <cellStyle name="Normal 2 6 2 2 2 2 4" xfId="28492"/>
    <cellStyle name="Normal 2 6 2 2 2 2 5" xfId="28493"/>
    <cellStyle name="Normal 2 6 2 2 2 2 6" xfId="28494"/>
    <cellStyle name="Normal 2 6 2 2 2 3" xfId="28495"/>
    <cellStyle name="Normal 2 6 2 2 2 3 2" xfId="28496"/>
    <cellStyle name="Normal 2 6 2 2 2 3 2 2" xfId="28497"/>
    <cellStyle name="Normal 2 6 2 2 2 3 3" xfId="28498"/>
    <cellStyle name="Normal 2 6 2 2 2 3 4" xfId="28499"/>
    <cellStyle name="Normal 2 6 2 2 2 3 5" xfId="28500"/>
    <cellStyle name="Normal 2 6 2 2 2 4" xfId="28501"/>
    <cellStyle name="Normal 2 6 2 2 2 4 2" xfId="28502"/>
    <cellStyle name="Normal 2 6 2 2 2 4 3" xfId="28503"/>
    <cellStyle name="Normal 2 6 2 2 2 4 4" xfId="28504"/>
    <cellStyle name="Normal 2 6 2 2 2 5" xfId="28505"/>
    <cellStyle name="Normal 2 6 2 2 2 5 2" xfId="28506"/>
    <cellStyle name="Normal 2 6 2 2 2 6" xfId="28507"/>
    <cellStyle name="Normal 2 6 2 2 2 7" xfId="28508"/>
    <cellStyle name="Normal 2 6 2 2 2 8" xfId="28509"/>
    <cellStyle name="Normal 2 6 2 2 2 9" xfId="28510"/>
    <cellStyle name="Normal 2 6 2 2 3" xfId="28511"/>
    <cellStyle name="Normal 2 6 2 2 3 2" xfId="28512"/>
    <cellStyle name="Normal 2 6 2 2 3 2 2" xfId="28513"/>
    <cellStyle name="Normal 2 6 2 2 3 2 2 2" xfId="28514"/>
    <cellStyle name="Normal 2 6 2 2 3 2 2 3" xfId="28515"/>
    <cellStyle name="Normal 2 6 2 2 3 2 3" xfId="28516"/>
    <cellStyle name="Normal 2 6 2 2 3 2 4" xfId="28517"/>
    <cellStyle name="Normal 2 6 2 2 3 2 5" xfId="28518"/>
    <cellStyle name="Normal 2 6 2 2 3 2 6" xfId="28519"/>
    <cellStyle name="Normal 2 6 2 2 3 3" xfId="28520"/>
    <cellStyle name="Normal 2 6 2 2 3 3 2" xfId="28521"/>
    <cellStyle name="Normal 2 6 2 2 3 3 2 2" xfId="28522"/>
    <cellStyle name="Normal 2 6 2 2 3 3 3" xfId="28523"/>
    <cellStyle name="Normal 2 6 2 2 3 3 4" xfId="28524"/>
    <cellStyle name="Normal 2 6 2 2 3 3 5" xfId="28525"/>
    <cellStyle name="Normal 2 6 2 2 3 4" xfId="28526"/>
    <cellStyle name="Normal 2 6 2 2 3 4 2" xfId="28527"/>
    <cellStyle name="Normal 2 6 2 2 3 4 3" xfId="28528"/>
    <cellStyle name="Normal 2 6 2 2 3 4 4" xfId="28529"/>
    <cellStyle name="Normal 2 6 2 2 3 5" xfId="28530"/>
    <cellStyle name="Normal 2 6 2 2 3 5 2" xfId="28531"/>
    <cellStyle name="Normal 2 6 2 2 3 6" xfId="28532"/>
    <cellStyle name="Normal 2 6 2 2 3 7" xfId="28533"/>
    <cellStyle name="Normal 2 6 2 2 3 8" xfId="28534"/>
    <cellStyle name="Normal 2 6 2 2 3 9" xfId="28535"/>
    <cellStyle name="Normal 2 6 2 2 4" xfId="28536"/>
    <cellStyle name="Normal 2 6 2 2 4 2" xfId="28537"/>
    <cellStyle name="Normal 2 6 2 2 4 2 2" xfId="28538"/>
    <cellStyle name="Normal 2 6 2 2 4 2 3" xfId="28539"/>
    <cellStyle name="Normal 2 6 2 2 4 3" xfId="28540"/>
    <cellStyle name="Normal 2 6 2 2 4 4" xfId="28541"/>
    <cellStyle name="Normal 2 6 2 2 4 5" xfId="28542"/>
    <cellStyle name="Normal 2 6 2 2 4 6" xfId="28543"/>
    <cellStyle name="Normal 2 6 2 2 5" xfId="28544"/>
    <cellStyle name="Normal 2 6 2 2 5 2" xfId="28545"/>
    <cellStyle name="Normal 2 6 2 2 5 2 2" xfId="28546"/>
    <cellStyle name="Normal 2 6 2 2 5 3" xfId="28547"/>
    <cellStyle name="Normal 2 6 2 2 5 4" xfId="28548"/>
    <cellStyle name="Normal 2 6 2 2 5 5" xfId="28549"/>
    <cellStyle name="Normal 2 6 2 2 6" xfId="28550"/>
    <cellStyle name="Normal 2 6 2 2 6 2" xfId="28551"/>
    <cellStyle name="Normal 2 6 2 2 6 3" xfId="28552"/>
    <cellStyle name="Normal 2 6 2 2 6 4" xfId="28553"/>
    <cellStyle name="Normal 2 6 2 2 7" xfId="28554"/>
    <cellStyle name="Normal 2 6 2 2 7 2" xfId="28555"/>
    <cellStyle name="Normal 2 6 2 2 8" xfId="28556"/>
    <cellStyle name="Normal 2 6 2 2 9" xfId="28557"/>
    <cellStyle name="Normal 2 6 2 20" xfId="28558"/>
    <cellStyle name="Normal 2 6 2 21" xfId="28559"/>
    <cellStyle name="Normal 2 6 2 22" xfId="28560"/>
    <cellStyle name="Normal 2 6 2 3" xfId="28561"/>
    <cellStyle name="Normal 2 6 2 3 10" xfId="28562"/>
    <cellStyle name="Normal 2 6 2 3 11" xfId="28563"/>
    <cellStyle name="Normal 2 6 2 3 2" xfId="28564"/>
    <cellStyle name="Normal 2 6 2 3 2 2" xfId="28565"/>
    <cellStyle name="Normal 2 6 2 3 2 2 2" xfId="28566"/>
    <cellStyle name="Normal 2 6 2 3 2 2 2 2" xfId="28567"/>
    <cellStyle name="Normal 2 6 2 3 2 2 2 3" xfId="28568"/>
    <cellStyle name="Normal 2 6 2 3 2 2 3" xfId="28569"/>
    <cellStyle name="Normal 2 6 2 3 2 2 4" xfId="28570"/>
    <cellStyle name="Normal 2 6 2 3 2 2 5" xfId="28571"/>
    <cellStyle name="Normal 2 6 2 3 2 2 6" xfId="28572"/>
    <cellStyle name="Normal 2 6 2 3 2 3" xfId="28573"/>
    <cellStyle name="Normal 2 6 2 3 2 3 2" xfId="28574"/>
    <cellStyle name="Normal 2 6 2 3 2 3 2 2" xfId="28575"/>
    <cellStyle name="Normal 2 6 2 3 2 3 3" xfId="28576"/>
    <cellStyle name="Normal 2 6 2 3 2 3 4" xfId="28577"/>
    <cellStyle name="Normal 2 6 2 3 2 3 5" xfId="28578"/>
    <cellStyle name="Normal 2 6 2 3 2 4" xfId="28579"/>
    <cellStyle name="Normal 2 6 2 3 2 4 2" xfId="28580"/>
    <cellStyle name="Normal 2 6 2 3 2 4 3" xfId="28581"/>
    <cellStyle name="Normal 2 6 2 3 2 4 4" xfId="28582"/>
    <cellStyle name="Normal 2 6 2 3 2 5" xfId="28583"/>
    <cellStyle name="Normal 2 6 2 3 2 5 2" xfId="28584"/>
    <cellStyle name="Normal 2 6 2 3 2 6" xfId="28585"/>
    <cellStyle name="Normal 2 6 2 3 2 7" xfId="28586"/>
    <cellStyle name="Normal 2 6 2 3 2 8" xfId="28587"/>
    <cellStyle name="Normal 2 6 2 3 2 9" xfId="28588"/>
    <cellStyle name="Normal 2 6 2 3 3" xfId="28589"/>
    <cellStyle name="Normal 2 6 2 3 3 2" xfId="28590"/>
    <cellStyle name="Normal 2 6 2 3 3 2 2" xfId="28591"/>
    <cellStyle name="Normal 2 6 2 3 3 2 2 2" xfId="28592"/>
    <cellStyle name="Normal 2 6 2 3 3 2 2 3" xfId="28593"/>
    <cellStyle name="Normal 2 6 2 3 3 2 3" xfId="28594"/>
    <cellStyle name="Normal 2 6 2 3 3 2 4" xfId="28595"/>
    <cellStyle name="Normal 2 6 2 3 3 2 5" xfId="28596"/>
    <cellStyle name="Normal 2 6 2 3 3 2 6" xfId="28597"/>
    <cellStyle name="Normal 2 6 2 3 3 3" xfId="28598"/>
    <cellStyle name="Normal 2 6 2 3 3 3 2" xfId="28599"/>
    <cellStyle name="Normal 2 6 2 3 3 3 2 2" xfId="28600"/>
    <cellStyle name="Normal 2 6 2 3 3 3 3" xfId="28601"/>
    <cellStyle name="Normal 2 6 2 3 3 3 4" xfId="28602"/>
    <cellStyle name="Normal 2 6 2 3 3 3 5" xfId="28603"/>
    <cellStyle name="Normal 2 6 2 3 3 4" xfId="28604"/>
    <cellStyle name="Normal 2 6 2 3 3 4 2" xfId="28605"/>
    <cellStyle name="Normal 2 6 2 3 3 4 3" xfId="28606"/>
    <cellStyle name="Normal 2 6 2 3 3 4 4" xfId="28607"/>
    <cellStyle name="Normal 2 6 2 3 3 5" xfId="28608"/>
    <cellStyle name="Normal 2 6 2 3 3 5 2" xfId="28609"/>
    <cellStyle name="Normal 2 6 2 3 3 6" xfId="28610"/>
    <cellStyle name="Normal 2 6 2 3 3 7" xfId="28611"/>
    <cellStyle name="Normal 2 6 2 3 3 8" xfId="28612"/>
    <cellStyle name="Normal 2 6 2 3 3 9" xfId="28613"/>
    <cellStyle name="Normal 2 6 2 3 4" xfId="28614"/>
    <cellStyle name="Normal 2 6 2 3 4 2" xfId="28615"/>
    <cellStyle name="Normal 2 6 2 3 4 2 2" xfId="28616"/>
    <cellStyle name="Normal 2 6 2 3 4 2 3" xfId="28617"/>
    <cellStyle name="Normal 2 6 2 3 4 3" xfId="28618"/>
    <cellStyle name="Normal 2 6 2 3 4 4" xfId="28619"/>
    <cellStyle name="Normal 2 6 2 3 4 5" xfId="28620"/>
    <cellStyle name="Normal 2 6 2 3 4 6" xfId="28621"/>
    <cellStyle name="Normal 2 6 2 3 5" xfId="28622"/>
    <cellStyle name="Normal 2 6 2 3 5 2" xfId="28623"/>
    <cellStyle name="Normal 2 6 2 3 5 2 2" xfId="28624"/>
    <cellStyle name="Normal 2 6 2 3 5 3" xfId="28625"/>
    <cellStyle name="Normal 2 6 2 3 5 4" xfId="28626"/>
    <cellStyle name="Normal 2 6 2 3 5 5" xfId="28627"/>
    <cellStyle name="Normal 2 6 2 3 6" xfId="28628"/>
    <cellStyle name="Normal 2 6 2 3 6 2" xfId="28629"/>
    <cellStyle name="Normal 2 6 2 3 6 3" xfId="28630"/>
    <cellStyle name="Normal 2 6 2 3 6 4" xfId="28631"/>
    <cellStyle name="Normal 2 6 2 3 7" xfId="28632"/>
    <cellStyle name="Normal 2 6 2 3 7 2" xfId="28633"/>
    <cellStyle name="Normal 2 6 2 3 8" xfId="28634"/>
    <cellStyle name="Normal 2 6 2 3 9" xfId="28635"/>
    <cellStyle name="Normal 2 6 2 4" xfId="28636"/>
    <cellStyle name="Normal 2 6 2 4 10" xfId="28637"/>
    <cellStyle name="Normal 2 6 2 4 11" xfId="28638"/>
    <cellStyle name="Normal 2 6 2 4 2" xfId="28639"/>
    <cellStyle name="Normal 2 6 2 4 2 2" xfId="28640"/>
    <cellStyle name="Normal 2 6 2 4 2 2 2" xfId="28641"/>
    <cellStyle name="Normal 2 6 2 4 2 2 2 2" xfId="28642"/>
    <cellStyle name="Normal 2 6 2 4 2 2 2 3" xfId="28643"/>
    <cellStyle name="Normal 2 6 2 4 2 2 3" xfId="28644"/>
    <cellStyle name="Normal 2 6 2 4 2 2 4" xfId="28645"/>
    <cellStyle name="Normal 2 6 2 4 2 2 5" xfId="28646"/>
    <cellStyle name="Normal 2 6 2 4 2 2 6" xfId="28647"/>
    <cellStyle name="Normal 2 6 2 4 2 3" xfId="28648"/>
    <cellStyle name="Normal 2 6 2 4 2 3 2" xfId="28649"/>
    <cellStyle name="Normal 2 6 2 4 2 3 2 2" xfId="28650"/>
    <cellStyle name="Normal 2 6 2 4 2 3 3" xfId="28651"/>
    <cellStyle name="Normal 2 6 2 4 2 3 4" xfId="28652"/>
    <cellStyle name="Normal 2 6 2 4 2 3 5" xfId="28653"/>
    <cellStyle name="Normal 2 6 2 4 2 4" xfId="28654"/>
    <cellStyle name="Normal 2 6 2 4 2 4 2" xfId="28655"/>
    <cellStyle name="Normal 2 6 2 4 2 4 3" xfId="28656"/>
    <cellStyle name="Normal 2 6 2 4 2 4 4" xfId="28657"/>
    <cellStyle name="Normal 2 6 2 4 2 5" xfId="28658"/>
    <cellStyle name="Normal 2 6 2 4 2 5 2" xfId="28659"/>
    <cellStyle name="Normal 2 6 2 4 2 6" xfId="28660"/>
    <cellStyle name="Normal 2 6 2 4 2 7" xfId="28661"/>
    <cellStyle name="Normal 2 6 2 4 2 8" xfId="28662"/>
    <cellStyle name="Normal 2 6 2 4 2 9" xfId="28663"/>
    <cellStyle name="Normal 2 6 2 4 3" xfId="28664"/>
    <cellStyle name="Normal 2 6 2 4 3 2" xfId="28665"/>
    <cellStyle name="Normal 2 6 2 4 3 2 2" xfId="28666"/>
    <cellStyle name="Normal 2 6 2 4 3 2 2 2" xfId="28667"/>
    <cellStyle name="Normal 2 6 2 4 3 2 2 3" xfId="28668"/>
    <cellStyle name="Normal 2 6 2 4 3 2 3" xfId="28669"/>
    <cellStyle name="Normal 2 6 2 4 3 2 4" xfId="28670"/>
    <cellStyle name="Normal 2 6 2 4 3 2 5" xfId="28671"/>
    <cellStyle name="Normal 2 6 2 4 3 2 6" xfId="28672"/>
    <cellStyle name="Normal 2 6 2 4 3 3" xfId="28673"/>
    <cellStyle name="Normal 2 6 2 4 3 3 2" xfId="28674"/>
    <cellStyle name="Normal 2 6 2 4 3 3 2 2" xfId="28675"/>
    <cellStyle name="Normal 2 6 2 4 3 3 3" xfId="28676"/>
    <cellStyle name="Normal 2 6 2 4 3 3 4" xfId="28677"/>
    <cellStyle name="Normal 2 6 2 4 3 3 5" xfId="28678"/>
    <cellStyle name="Normal 2 6 2 4 3 4" xfId="28679"/>
    <cellStyle name="Normal 2 6 2 4 3 4 2" xfId="28680"/>
    <cellStyle name="Normal 2 6 2 4 3 4 3" xfId="28681"/>
    <cellStyle name="Normal 2 6 2 4 3 4 4" xfId="28682"/>
    <cellStyle name="Normal 2 6 2 4 3 5" xfId="28683"/>
    <cellStyle name="Normal 2 6 2 4 3 5 2" xfId="28684"/>
    <cellStyle name="Normal 2 6 2 4 3 6" xfId="28685"/>
    <cellStyle name="Normal 2 6 2 4 3 7" xfId="28686"/>
    <cellStyle name="Normal 2 6 2 4 3 8" xfId="28687"/>
    <cellStyle name="Normal 2 6 2 4 3 9" xfId="28688"/>
    <cellStyle name="Normal 2 6 2 4 4" xfId="28689"/>
    <cellStyle name="Normal 2 6 2 4 4 2" xfId="28690"/>
    <cellStyle name="Normal 2 6 2 4 4 2 2" xfId="28691"/>
    <cellStyle name="Normal 2 6 2 4 4 2 3" xfId="28692"/>
    <cellStyle name="Normal 2 6 2 4 4 3" xfId="28693"/>
    <cellStyle name="Normal 2 6 2 4 4 4" xfId="28694"/>
    <cellStyle name="Normal 2 6 2 4 4 5" xfId="28695"/>
    <cellStyle name="Normal 2 6 2 4 4 6" xfId="28696"/>
    <cellStyle name="Normal 2 6 2 4 5" xfId="28697"/>
    <cellStyle name="Normal 2 6 2 4 5 2" xfId="28698"/>
    <cellStyle name="Normal 2 6 2 4 5 2 2" xfId="28699"/>
    <cellStyle name="Normal 2 6 2 4 5 3" xfId="28700"/>
    <cellStyle name="Normal 2 6 2 4 5 4" xfId="28701"/>
    <cellStyle name="Normal 2 6 2 4 5 5" xfId="28702"/>
    <cellStyle name="Normal 2 6 2 4 6" xfId="28703"/>
    <cellStyle name="Normal 2 6 2 4 6 2" xfId="28704"/>
    <cellStyle name="Normal 2 6 2 4 6 3" xfId="28705"/>
    <cellStyle name="Normal 2 6 2 4 6 4" xfId="28706"/>
    <cellStyle name="Normal 2 6 2 4 7" xfId="28707"/>
    <cellStyle name="Normal 2 6 2 4 7 2" xfId="28708"/>
    <cellStyle name="Normal 2 6 2 4 8" xfId="28709"/>
    <cellStyle name="Normal 2 6 2 4 9" xfId="28710"/>
    <cellStyle name="Normal 2 6 2 5" xfId="28711"/>
    <cellStyle name="Normal 2 6 2 5 10" xfId="28712"/>
    <cellStyle name="Normal 2 6 2 5 11" xfId="28713"/>
    <cellStyle name="Normal 2 6 2 5 2" xfId="28714"/>
    <cellStyle name="Normal 2 6 2 5 2 2" xfId="28715"/>
    <cellStyle name="Normal 2 6 2 5 2 2 2" xfId="28716"/>
    <cellStyle name="Normal 2 6 2 5 2 2 2 2" xfId="28717"/>
    <cellStyle name="Normal 2 6 2 5 2 2 2 3" xfId="28718"/>
    <cellStyle name="Normal 2 6 2 5 2 2 3" xfId="28719"/>
    <cellStyle name="Normal 2 6 2 5 2 2 4" xfId="28720"/>
    <cellStyle name="Normal 2 6 2 5 2 2 5" xfId="28721"/>
    <cellStyle name="Normal 2 6 2 5 2 2 6" xfId="28722"/>
    <cellStyle name="Normal 2 6 2 5 2 3" xfId="28723"/>
    <cellStyle name="Normal 2 6 2 5 2 3 2" xfId="28724"/>
    <cellStyle name="Normal 2 6 2 5 2 3 2 2" xfId="28725"/>
    <cellStyle name="Normal 2 6 2 5 2 3 3" xfId="28726"/>
    <cellStyle name="Normal 2 6 2 5 2 3 4" xfId="28727"/>
    <cellStyle name="Normal 2 6 2 5 2 3 5" xfId="28728"/>
    <cellStyle name="Normal 2 6 2 5 2 4" xfId="28729"/>
    <cellStyle name="Normal 2 6 2 5 2 4 2" xfId="28730"/>
    <cellStyle name="Normal 2 6 2 5 2 4 3" xfId="28731"/>
    <cellStyle name="Normal 2 6 2 5 2 4 4" xfId="28732"/>
    <cellStyle name="Normal 2 6 2 5 2 5" xfId="28733"/>
    <cellStyle name="Normal 2 6 2 5 2 5 2" xfId="28734"/>
    <cellStyle name="Normal 2 6 2 5 2 6" xfId="28735"/>
    <cellStyle name="Normal 2 6 2 5 2 7" xfId="28736"/>
    <cellStyle name="Normal 2 6 2 5 2 8" xfId="28737"/>
    <cellStyle name="Normal 2 6 2 5 2 9" xfId="28738"/>
    <cellStyle name="Normal 2 6 2 5 3" xfId="28739"/>
    <cellStyle name="Normal 2 6 2 5 3 2" xfId="28740"/>
    <cellStyle name="Normal 2 6 2 5 3 2 2" xfId="28741"/>
    <cellStyle name="Normal 2 6 2 5 3 2 2 2" xfId="28742"/>
    <cellStyle name="Normal 2 6 2 5 3 2 2 3" xfId="28743"/>
    <cellStyle name="Normal 2 6 2 5 3 2 3" xfId="28744"/>
    <cellStyle name="Normal 2 6 2 5 3 2 4" xfId="28745"/>
    <cellStyle name="Normal 2 6 2 5 3 2 5" xfId="28746"/>
    <cellStyle name="Normal 2 6 2 5 3 2 6" xfId="28747"/>
    <cellStyle name="Normal 2 6 2 5 3 3" xfId="28748"/>
    <cellStyle name="Normal 2 6 2 5 3 3 2" xfId="28749"/>
    <cellStyle name="Normal 2 6 2 5 3 3 2 2" xfId="28750"/>
    <cellStyle name="Normal 2 6 2 5 3 3 3" xfId="28751"/>
    <cellStyle name="Normal 2 6 2 5 3 3 4" xfId="28752"/>
    <cellStyle name="Normal 2 6 2 5 3 3 5" xfId="28753"/>
    <cellStyle name="Normal 2 6 2 5 3 4" xfId="28754"/>
    <cellStyle name="Normal 2 6 2 5 3 4 2" xfId="28755"/>
    <cellStyle name="Normal 2 6 2 5 3 4 3" xfId="28756"/>
    <cellStyle name="Normal 2 6 2 5 3 4 4" xfId="28757"/>
    <cellStyle name="Normal 2 6 2 5 3 5" xfId="28758"/>
    <cellStyle name="Normal 2 6 2 5 3 5 2" xfId="28759"/>
    <cellStyle name="Normal 2 6 2 5 3 6" xfId="28760"/>
    <cellStyle name="Normal 2 6 2 5 3 7" xfId="28761"/>
    <cellStyle name="Normal 2 6 2 5 3 8" xfId="28762"/>
    <cellStyle name="Normal 2 6 2 5 3 9" xfId="28763"/>
    <cellStyle name="Normal 2 6 2 5 4" xfId="28764"/>
    <cellStyle name="Normal 2 6 2 5 4 2" xfId="28765"/>
    <cellStyle name="Normal 2 6 2 5 4 2 2" xfId="28766"/>
    <cellStyle name="Normal 2 6 2 5 4 2 3" xfId="28767"/>
    <cellStyle name="Normal 2 6 2 5 4 3" xfId="28768"/>
    <cellStyle name="Normal 2 6 2 5 4 4" xfId="28769"/>
    <cellStyle name="Normal 2 6 2 5 4 5" xfId="28770"/>
    <cellStyle name="Normal 2 6 2 5 4 6" xfId="28771"/>
    <cellStyle name="Normal 2 6 2 5 5" xfId="28772"/>
    <cellStyle name="Normal 2 6 2 5 5 2" xfId="28773"/>
    <cellStyle name="Normal 2 6 2 5 5 2 2" xfId="28774"/>
    <cellStyle name="Normal 2 6 2 5 5 3" xfId="28775"/>
    <cellStyle name="Normal 2 6 2 5 5 4" xfId="28776"/>
    <cellStyle name="Normal 2 6 2 5 5 5" xfId="28777"/>
    <cellStyle name="Normal 2 6 2 5 6" xfId="28778"/>
    <cellStyle name="Normal 2 6 2 5 6 2" xfId="28779"/>
    <cellStyle name="Normal 2 6 2 5 6 3" xfId="28780"/>
    <cellStyle name="Normal 2 6 2 5 6 4" xfId="28781"/>
    <cellStyle name="Normal 2 6 2 5 7" xfId="28782"/>
    <cellStyle name="Normal 2 6 2 5 7 2" xfId="28783"/>
    <cellStyle name="Normal 2 6 2 5 8" xfId="28784"/>
    <cellStyle name="Normal 2 6 2 5 9" xfId="28785"/>
    <cellStyle name="Normal 2 6 2 6" xfId="28786"/>
    <cellStyle name="Normal 2 6 2 6 10" xfId="28787"/>
    <cellStyle name="Normal 2 6 2 6 11" xfId="28788"/>
    <cellStyle name="Normal 2 6 2 6 2" xfId="28789"/>
    <cellStyle name="Normal 2 6 2 6 2 2" xfId="28790"/>
    <cellStyle name="Normal 2 6 2 6 2 2 2" xfId="28791"/>
    <cellStyle name="Normal 2 6 2 6 2 2 2 2" xfId="28792"/>
    <cellStyle name="Normal 2 6 2 6 2 2 2 3" xfId="28793"/>
    <cellStyle name="Normal 2 6 2 6 2 2 3" xfId="28794"/>
    <cellStyle name="Normal 2 6 2 6 2 2 4" xfId="28795"/>
    <cellStyle name="Normal 2 6 2 6 2 2 5" xfId="28796"/>
    <cellStyle name="Normal 2 6 2 6 2 2 6" xfId="28797"/>
    <cellStyle name="Normal 2 6 2 6 2 3" xfId="28798"/>
    <cellStyle name="Normal 2 6 2 6 2 3 2" xfId="28799"/>
    <cellStyle name="Normal 2 6 2 6 2 3 2 2" xfId="28800"/>
    <cellStyle name="Normal 2 6 2 6 2 3 3" xfId="28801"/>
    <cellStyle name="Normal 2 6 2 6 2 3 4" xfId="28802"/>
    <cellStyle name="Normal 2 6 2 6 2 3 5" xfId="28803"/>
    <cellStyle name="Normal 2 6 2 6 2 4" xfId="28804"/>
    <cellStyle name="Normal 2 6 2 6 2 4 2" xfId="28805"/>
    <cellStyle name="Normal 2 6 2 6 2 4 3" xfId="28806"/>
    <cellStyle name="Normal 2 6 2 6 2 4 4" xfId="28807"/>
    <cellStyle name="Normal 2 6 2 6 2 5" xfId="28808"/>
    <cellStyle name="Normal 2 6 2 6 2 5 2" xfId="28809"/>
    <cellStyle name="Normal 2 6 2 6 2 6" xfId="28810"/>
    <cellStyle name="Normal 2 6 2 6 2 7" xfId="28811"/>
    <cellStyle name="Normal 2 6 2 6 2 8" xfId="28812"/>
    <cellStyle name="Normal 2 6 2 6 2 9" xfId="28813"/>
    <cellStyle name="Normal 2 6 2 6 3" xfId="28814"/>
    <cellStyle name="Normal 2 6 2 6 3 2" xfId="28815"/>
    <cellStyle name="Normal 2 6 2 6 3 2 2" xfId="28816"/>
    <cellStyle name="Normal 2 6 2 6 3 2 2 2" xfId="28817"/>
    <cellStyle name="Normal 2 6 2 6 3 2 2 3" xfId="28818"/>
    <cellStyle name="Normal 2 6 2 6 3 2 3" xfId="28819"/>
    <cellStyle name="Normal 2 6 2 6 3 2 4" xfId="28820"/>
    <cellStyle name="Normal 2 6 2 6 3 2 5" xfId="28821"/>
    <cellStyle name="Normal 2 6 2 6 3 2 6" xfId="28822"/>
    <cellStyle name="Normal 2 6 2 6 3 3" xfId="28823"/>
    <cellStyle name="Normal 2 6 2 6 3 3 2" xfId="28824"/>
    <cellStyle name="Normal 2 6 2 6 3 3 2 2" xfId="28825"/>
    <cellStyle name="Normal 2 6 2 6 3 3 3" xfId="28826"/>
    <cellStyle name="Normal 2 6 2 6 3 3 4" xfId="28827"/>
    <cellStyle name="Normal 2 6 2 6 3 3 5" xfId="28828"/>
    <cellStyle name="Normal 2 6 2 6 3 4" xfId="28829"/>
    <cellStyle name="Normal 2 6 2 6 3 4 2" xfId="28830"/>
    <cellStyle name="Normal 2 6 2 6 3 4 3" xfId="28831"/>
    <cellStyle name="Normal 2 6 2 6 3 4 4" xfId="28832"/>
    <cellStyle name="Normal 2 6 2 6 3 5" xfId="28833"/>
    <cellStyle name="Normal 2 6 2 6 3 5 2" xfId="28834"/>
    <cellStyle name="Normal 2 6 2 6 3 6" xfId="28835"/>
    <cellStyle name="Normal 2 6 2 6 3 7" xfId="28836"/>
    <cellStyle name="Normal 2 6 2 6 3 8" xfId="28837"/>
    <cellStyle name="Normal 2 6 2 6 3 9" xfId="28838"/>
    <cellStyle name="Normal 2 6 2 6 4" xfId="28839"/>
    <cellStyle name="Normal 2 6 2 6 4 2" xfId="28840"/>
    <cellStyle name="Normal 2 6 2 6 4 2 2" xfId="28841"/>
    <cellStyle name="Normal 2 6 2 6 4 2 3" xfId="28842"/>
    <cellStyle name="Normal 2 6 2 6 4 3" xfId="28843"/>
    <cellStyle name="Normal 2 6 2 6 4 4" xfId="28844"/>
    <cellStyle name="Normal 2 6 2 6 4 5" xfId="28845"/>
    <cellStyle name="Normal 2 6 2 6 4 6" xfId="28846"/>
    <cellStyle name="Normal 2 6 2 6 5" xfId="28847"/>
    <cellStyle name="Normal 2 6 2 6 5 2" xfId="28848"/>
    <cellStyle name="Normal 2 6 2 6 5 2 2" xfId="28849"/>
    <cellStyle name="Normal 2 6 2 6 5 3" xfId="28850"/>
    <cellStyle name="Normal 2 6 2 6 5 4" xfId="28851"/>
    <cellStyle name="Normal 2 6 2 6 5 5" xfId="28852"/>
    <cellStyle name="Normal 2 6 2 6 6" xfId="28853"/>
    <cellStyle name="Normal 2 6 2 6 6 2" xfId="28854"/>
    <cellStyle name="Normal 2 6 2 6 6 3" xfId="28855"/>
    <cellStyle name="Normal 2 6 2 6 6 4" xfId="28856"/>
    <cellStyle name="Normal 2 6 2 6 7" xfId="28857"/>
    <cellStyle name="Normal 2 6 2 6 7 2" xfId="28858"/>
    <cellStyle name="Normal 2 6 2 6 8" xfId="28859"/>
    <cellStyle name="Normal 2 6 2 6 9" xfId="28860"/>
    <cellStyle name="Normal 2 6 2 7" xfId="28861"/>
    <cellStyle name="Normal 2 6 2 7 10" xfId="28862"/>
    <cellStyle name="Normal 2 6 2 7 11" xfId="28863"/>
    <cellStyle name="Normal 2 6 2 7 2" xfId="28864"/>
    <cellStyle name="Normal 2 6 2 7 2 2" xfId="28865"/>
    <cellStyle name="Normal 2 6 2 7 2 2 2" xfId="28866"/>
    <cellStyle name="Normal 2 6 2 7 2 2 2 2" xfId="28867"/>
    <cellStyle name="Normal 2 6 2 7 2 2 2 3" xfId="28868"/>
    <cellStyle name="Normal 2 6 2 7 2 2 3" xfId="28869"/>
    <cellStyle name="Normal 2 6 2 7 2 2 4" xfId="28870"/>
    <cellStyle name="Normal 2 6 2 7 2 2 5" xfId="28871"/>
    <cellStyle name="Normal 2 6 2 7 2 2 6" xfId="28872"/>
    <cellStyle name="Normal 2 6 2 7 2 3" xfId="28873"/>
    <cellStyle name="Normal 2 6 2 7 2 3 2" xfId="28874"/>
    <cellStyle name="Normal 2 6 2 7 2 3 2 2" xfId="28875"/>
    <cellStyle name="Normal 2 6 2 7 2 3 3" xfId="28876"/>
    <cellStyle name="Normal 2 6 2 7 2 3 4" xfId="28877"/>
    <cellStyle name="Normal 2 6 2 7 2 3 5" xfId="28878"/>
    <cellStyle name="Normal 2 6 2 7 2 4" xfId="28879"/>
    <cellStyle name="Normal 2 6 2 7 2 4 2" xfId="28880"/>
    <cellStyle name="Normal 2 6 2 7 2 4 3" xfId="28881"/>
    <cellStyle name="Normal 2 6 2 7 2 4 4" xfId="28882"/>
    <cellStyle name="Normal 2 6 2 7 2 5" xfId="28883"/>
    <cellStyle name="Normal 2 6 2 7 2 5 2" xfId="28884"/>
    <cellStyle name="Normal 2 6 2 7 2 6" xfId="28885"/>
    <cellStyle name="Normal 2 6 2 7 2 7" xfId="28886"/>
    <cellStyle name="Normal 2 6 2 7 2 8" xfId="28887"/>
    <cellStyle name="Normal 2 6 2 7 2 9" xfId="28888"/>
    <cellStyle name="Normal 2 6 2 7 3" xfId="28889"/>
    <cellStyle name="Normal 2 6 2 7 3 2" xfId="28890"/>
    <cellStyle name="Normal 2 6 2 7 3 2 2" xfId="28891"/>
    <cellStyle name="Normal 2 6 2 7 3 2 2 2" xfId="28892"/>
    <cellStyle name="Normal 2 6 2 7 3 2 2 3" xfId="28893"/>
    <cellStyle name="Normal 2 6 2 7 3 2 3" xfId="28894"/>
    <cellStyle name="Normal 2 6 2 7 3 2 4" xfId="28895"/>
    <cellStyle name="Normal 2 6 2 7 3 2 5" xfId="28896"/>
    <cellStyle name="Normal 2 6 2 7 3 2 6" xfId="28897"/>
    <cellStyle name="Normal 2 6 2 7 3 3" xfId="28898"/>
    <cellStyle name="Normal 2 6 2 7 3 3 2" xfId="28899"/>
    <cellStyle name="Normal 2 6 2 7 3 3 2 2" xfId="28900"/>
    <cellStyle name="Normal 2 6 2 7 3 3 3" xfId="28901"/>
    <cellStyle name="Normal 2 6 2 7 3 3 4" xfId="28902"/>
    <cellStyle name="Normal 2 6 2 7 3 3 5" xfId="28903"/>
    <cellStyle name="Normal 2 6 2 7 3 4" xfId="28904"/>
    <cellStyle name="Normal 2 6 2 7 3 4 2" xfId="28905"/>
    <cellStyle name="Normal 2 6 2 7 3 4 3" xfId="28906"/>
    <cellStyle name="Normal 2 6 2 7 3 4 4" xfId="28907"/>
    <cellStyle name="Normal 2 6 2 7 3 5" xfId="28908"/>
    <cellStyle name="Normal 2 6 2 7 3 5 2" xfId="28909"/>
    <cellStyle name="Normal 2 6 2 7 3 6" xfId="28910"/>
    <cellStyle name="Normal 2 6 2 7 3 7" xfId="28911"/>
    <cellStyle name="Normal 2 6 2 7 3 8" xfId="28912"/>
    <cellStyle name="Normal 2 6 2 7 3 9" xfId="28913"/>
    <cellStyle name="Normal 2 6 2 7 4" xfId="28914"/>
    <cellStyle name="Normal 2 6 2 7 4 2" xfId="28915"/>
    <cellStyle name="Normal 2 6 2 7 4 2 2" xfId="28916"/>
    <cellStyle name="Normal 2 6 2 7 4 2 3" xfId="28917"/>
    <cellStyle name="Normal 2 6 2 7 4 3" xfId="28918"/>
    <cellStyle name="Normal 2 6 2 7 4 4" xfId="28919"/>
    <cellStyle name="Normal 2 6 2 7 4 5" xfId="28920"/>
    <cellStyle name="Normal 2 6 2 7 4 6" xfId="28921"/>
    <cellStyle name="Normal 2 6 2 7 5" xfId="28922"/>
    <cellStyle name="Normal 2 6 2 7 5 2" xfId="28923"/>
    <cellStyle name="Normal 2 6 2 7 5 2 2" xfId="28924"/>
    <cellStyle name="Normal 2 6 2 7 5 3" xfId="28925"/>
    <cellStyle name="Normal 2 6 2 7 5 4" xfId="28926"/>
    <cellStyle name="Normal 2 6 2 7 5 5" xfId="28927"/>
    <cellStyle name="Normal 2 6 2 7 6" xfId="28928"/>
    <cellStyle name="Normal 2 6 2 7 6 2" xfId="28929"/>
    <cellStyle name="Normal 2 6 2 7 6 3" xfId="28930"/>
    <cellStyle name="Normal 2 6 2 7 6 4" xfId="28931"/>
    <cellStyle name="Normal 2 6 2 7 7" xfId="28932"/>
    <cellStyle name="Normal 2 6 2 7 7 2" xfId="28933"/>
    <cellStyle name="Normal 2 6 2 7 8" xfId="28934"/>
    <cellStyle name="Normal 2 6 2 7 9" xfId="28935"/>
    <cellStyle name="Normal 2 6 2 8" xfId="28936"/>
    <cellStyle name="Normal 2 6 2 8 10" xfId="28937"/>
    <cellStyle name="Normal 2 6 2 8 2" xfId="28938"/>
    <cellStyle name="Normal 2 6 2 8 2 2" xfId="28939"/>
    <cellStyle name="Normal 2 6 2 8 2 2 2" xfId="28940"/>
    <cellStyle name="Normal 2 6 2 8 2 2 3" xfId="28941"/>
    <cellStyle name="Normal 2 6 2 8 2 3" xfId="28942"/>
    <cellStyle name="Normal 2 6 2 8 2 4" xfId="28943"/>
    <cellStyle name="Normal 2 6 2 8 2 5" xfId="28944"/>
    <cellStyle name="Normal 2 6 2 8 2 6" xfId="28945"/>
    <cellStyle name="Normal 2 6 2 8 3" xfId="28946"/>
    <cellStyle name="Normal 2 6 2 8 3 2" xfId="28947"/>
    <cellStyle name="Normal 2 6 2 8 3 2 2" xfId="28948"/>
    <cellStyle name="Normal 2 6 2 8 3 2 3" xfId="28949"/>
    <cellStyle name="Normal 2 6 2 8 3 3" xfId="28950"/>
    <cellStyle name="Normal 2 6 2 8 3 4" xfId="28951"/>
    <cellStyle name="Normal 2 6 2 8 3 5" xfId="28952"/>
    <cellStyle name="Normal 2 6 2 8 3 6" xfId="28953"/>
    <cellStyle name="Normal 2 6 2 8 4" xfId="28954"/>
    <cellStyle name="Normal 2 6 2 8 4 2" xfId="28955"/>
    <cellStyle name="Normal 2 6 2 8 4 2 2" xfId="28956"/>
    <cellStyle name="Normal 2 6 2 8 4 3" xfId="28957"/>
    <cellStyle name="Normal 2 6 2 8 4 4" xfId="28958"/>
    <cellStyle name="Normal 2 6 2 8 4 5" xfId="28959"/>
    <cellStyle name="Normal 2 6 2 8 5" xfId="28960"/>
    <cellStyle name="Normal 2 6 2 8 5 2" xfId="28961"/>
    <cellStyle name="Normal 2 6 2 8 5 3" xfId="28962"/>
    <cellStyle name="Normal 2 6 2 8 5 4" xfId="28963"/>
    <cellStyle name="Normal 2 6 2 8 6" xfId="28964"/>
    <cellStyle name="Normal 2 6 2 8 6 2" xfId="28965"/>
    <cellStyle name="Normal 2 6 2 8 7" xfId="28966"/>
    <cellStyle name="Normal 2 6 2 8 8" xfId="28967"/>
    <cellStyle name="Normal 2 6 2 8 9" xfId="28968"/>
    <cellStyle name="Normal 2 6 2 9" xfId="28969"/>
    <cellStyle name="Normal 2 6 2 9 10" xfId="28970"/>
    <cellStyle name="Normal 2 6 2 9 2" xfId="28971"/>
    <cellStyle name="Normal 2 6 2 9 2 2" xfId="28972"/>
    <cellStyle name="Normal 2 6 2 9 2 2 2" xfId="28973"/>
    <cellStyle name="Normal 2 6 2 9 2 2 3" xfId="28974"/>
    <cellStyle name="Normal 2 6 2 9 2 3" xfId="28975"/>
    <cellStyle name="Normal 2 6 2 9 2 4" xfId="28976"/>
    <cellStyle name="Normal 2 6 2 9 2 5" xfId="28977"/>
    <cellStyle name="Normal 2 6 2 9 2 6" xfId="28978"/>
    <cellStyle name="Normal 2 6 2 9 3" xfId="28979"/>
    <cellStyle name="Normal 2 6 2 9 3 2" xfId="28980"/>
    <cellStyle name="Normal 2 6 2 9 3 2 2" xfId="28981"/>
    <cellStyle name="Normal 2 6 2 9 3 2 3" xfId="28982"/>
    <cellStyle name="Normal 2 6 2 9 3 3" xfId="28983"/>
    <cellStyle name="Normal 2 6 2 9 3 4" xfId="28984"/>
    <cellStyle name="Normal 2 6 2 9 3 5" xfId="28985"/>
    <cellStyle name="Normal 2 6 2 9 3 6" xfId="28986"/>
    <cellStyle name="Normal 2 6 2 9 4" xfId="28987"/>
    <cellStyle name="Normal 2 6 2 9 4 2" xfId="28988"/>
    <cellStyle name="Normal 2 6 2 9 4 2 2" xfId="28989"/>
    <cellStyle name="Normal 2 6 2 9 4 3" xfId="28990"/>
    <cellStyle name="Normal 2 6 2 9 4 4" xfId="28991"/>
    <cellStyle name="Normal 2 6 2 9 4 5" xfId="28992"/>
    <cellStyle name="Normal 2 6 2 9 5" xfId="28993"/>
    <cellStyle name="Normal 2 6 2 9 5 2" xfId="28994"/>
    <cellStyle name="Normal 2 6 2 9 5 3" xfId="28995"/>
    <cellStyle name="Normal 2 6 2 9 5 4" xfId="28996"/>
    <cellStyle name="Normal 2 6 2 9 6" xfId="28997"/>
    <cellStyle name="Normal 2 6 2 9 6 2" xfId="28998"/>
    <cellStyle name="Normal 2 6 2 9 7" xfId="28999"/>
    <cellStyle name="Normal 2 6 2 9 8" xfId="29000"/>
    <cellStyle name="Normal 2 6 2 9 9" xfId="29001"/>
    <cellStyle name="Normal 2 6 20" xfId="29002"/>
    <cellStyle name="Normal 2 6 20 10" xfId="29003"/>
    <cellStyle name="Normal 2 6 20 2" xfId="29004"/>
    <cellStyle name="Normal 2 6 20 2 2" xfId="29005"/>
    <cellStyle name="Normal 2 6 20 2 2 2" xfId="29006"/>
    <cellStyle name="Normal 2 6 20 2 2 3" xfId="29007"/>
    <cellStyle name="Normal 2 6 20 2 3" xfId="29008"/>
    <cellStyle name="Normal 2 6 20 2 4" xfId="29009"/>
    <cellStyle name="Normal 2 6 20 2 5" xfId="29010"/>
    <cellStyle name="Normal 2 6 20 2 6" xfId="29011"/>
    <cellStyle name="Normal 2 6 20 3" xfId="29012"/>
    <cellStyle name="Normal 2 6 20 3 2" xfId="29013"/>
    <cellStyle name="Normal 2 6 20 3 2 2" xfId="29014"/>
    <cellStyle name="Normal 2 6 20 3 2 3" xfId="29015"/>
    <cellStyle name="Normal 2 6 20 3 3" xfId="29016"/>
    <cellStyle name="Normal 2 6 20 3 4" xfId="29017"/>
    <cellStyle name="Normal 2 6 20 3 5" xfId="29018"/>
    <cellStyle name="Normal 2 6 20 3 6" xfId="29019"/>
    <cellStyle name="Normal 2 6 20 4" xfId="29020"/>
    <cellStyle name="Normal 2 6 20 4 2" xfId="29021"/>
    <cellStyle name="Normal 2 6 20 4 2 2" xfId="29022"/>
    <cellStyle name="Normal 2 6 20 4 3" xfId="29023"/>
    <cellStyle name="Normal 2 6 20 4 4" xfId="29024"/>
    <cellStyle name="Normal 2 6 20 4 5" xfId="29025"/>
    <cellStyle name="Normal 2 6 20 5" xfId="29026"/>
    <cellStyle name="Normal 2 6 20 5 2" xfId="29027"/>
    <cellStyle name="Normal 2 6 20 5 3" xfId="29028"/>
    <cellStyle name="Normal 2 6 20 5 4" xfId="29029"/>
    <cellStyle name="Normal 2 6 20 6" xfId="29030"/>
    <cellStyle name="Normal 2 6 20 6 2" xfId="29031"/>
    <cellStyle name="Normal 2 6 20 7" xfId="29032"/>
    <cellStyle name="Normal 2 6 20 8" xfId="29033"/>
    <cellStyle name="Normal 2 6 20 9" xfId="29034"/>
    <cellStyle name="Normal 2 6 21" xfId="29035"/>
    <cellStyle name="Normal 2 6 21 10" xfId="29036"/>
    <cellStyle name="Normal 2 6 21 2" xfId="29037"/>
    <cellStyle name="Normal 2 6 21 2 2" xfId="29038"/>
    <cellStyle name="Normal 2 6 21 2 2 2" xfId="29039"/>
    <cellStyle name="Normal 2 6 21 2 2 3" xfId="29040"/>
    <cellStyle name="Normal 2 6 21 2 3" xfId="29041"/>
    <cellStyle name="Normal 2 6 21 2 4" xfId="29042"/>
    <cellStyle name="Normal 2 6 21 2 5" xfId="29043"/>
    <cellStyle name="Normal 2 6 21 2 6" xfId="29044"/>
    <cellStyle name="Normal 2 6 21 3" xfId="29045"/>
    <cellStyle name="Normal 2 6 21 3 2" xfId="29046"/>
    <cellStyle name="Normal 2 6 21 3 2 2" xfId="29047"/>
    <cellStyle name="Normal 2 6 21 3 2 3" xfId="29048"/>
    <cellStyle name="Normal 2 6 21 3 3" xfId="29049"/>
    <cellStyle name="Normal 2 6 21 3 4" xfId="29050"/>
    <cellStyle name="Normal 2 6 21 3 5" xfId="29051"/>
    <cellStyle name="Normal 2 6 21 3 6" xfId="29052"/>
    <cellStyle name="Normal 2 6 21 4" xfId="29053"/>
    <cellStyle name="Normal 2 6 21 4 2" xfId="29054"/>
    <cellStyle name="Normal 2 6 21 4 2 2" xfId="29055"/>
    <cellStyle name="Normal 2 6 21 4 3" xfId="29056"/>
    <cellStyle name="Normal 2 6 21 4 4" xfId="29057"/>
    <cellStyle name="Normal 2 6 21 4 5" xfId="29058"/>
    <cellStyle name="Normal 2 6 21 5" xfId="29059"/>
    <cellStyle name="Normal 2 6 21 5 2" xfId="29060"/>
    <cellStyle name="Normal 2 6 21 5 3" xfId="29061"/>
    <cellStyle name="Normal 2 6 21 5 4" xfId="29062"/>
    <cellStyle name="Normal 2 6 21 6" xfId="29063"/>
    <cellStyle name="Normal 2 6 21 6 2" xfId="29064"/>
    <cellStyle name="Normal 2 6 21 7" xfId="29065"/>
    <cellStyle name="Normal 2 6 21 8" xfId="29066"/>
    <cellStyle name="Normal 2 6 21 9" xfId="29067"/>
    <cellStyle name="Normal 2 6 22" xfId="29068"/>
    <cellStyle name="Normal 2 6 22 10" xfId="29069"/>
    <cellStyle name="Normal 2 6 22 2" xfId="29070"/>
    <cellStyle name="Normal 2 6 22 2 2" xfId="29071"/>
    <cellStyle name="Normal 2 6 22 2 2 2" xfId="29072"/>
    <cellStyle name="Normal 2 6 22 2 2 3" xfId="29073"/>
    <cellStyle name="Normal 2 6 22 2 3" xfId="29074"/>
    <cellStyle name="Normal 2 6 22 2 4" xfId="29075"/>
    <cellStyle name="Normal 2 6 22 2 5" xfId="29076"/>
    <cellStyle name="Normal 2 6 22 2 6" xfId="29077"/>
    <cellStyle name="Normal 2 6 22 3" xfId="29078"/>
    <cellStyle name="Normal 2 6 22 3 2" xfId="29079"/>
    <cellStyle name="Normal 2 6 22 3 2 2" xfId="29080"/>
    <cellStyle name="Normal 2 6 22 3 2 3" xfId="29081"/>
    <cellStyle name="Normal 2 6 22 3 3" xfId="29082"/>
    <cellStyle name="Normal 2 6 22 3 4" xfId="29083"/>
    <cellStyle name="Normal 2 6 22 3 5" xfId="29084"/>
    <cellStyle name="Normal 2 6 22 3 6" xfId="29085"/>
    <cellStyle name="Normal 2 6 22 4" xfId="29086"/>
    <cellStyle name="Normal 2 6 22 4 2" xfId="29087"/>
    <cellStyle name="Normal 2 6 22 4 2 2" xfId="29088"/>
    <cellStyle name="Normal 2 6 22 4 3" xfId="29089"/>
    <cellStyle name="Normal 2 6 22 4 4" xfId="29090"/>
    <cellStyle name="Normal 2 6 22 4 5" xfId="29091"/>
    <cellStyle name="Normal 2 6 22 5" xfId="29092"/>
    <cellStyle name="Normal 2 6 22 5 2" xfId="29093"/>
    <cellStyle name="Normal 2 6 22 5 3" xfId="29094"/>
    <cellStyle name="Normal 2 6 22 5 4" xfId="29095"/>
    <cellStyle name="Normal 2 6 22 6" xfId="29096"/>
    <cellStyle name="Normal 2 6 22 6 2" xfId="29097"/>
    <cellStyle name="Normal 2 6 22 7" xfId="29098"/>
    <cellStyle name="Normal 2 6 22 8" xfId="29099"/>
    <cellStyle name="Normal 2 6 22 9" xfId="29100"/>
    <cellStyle name="Normal 2 6 23" xfId="29101"/>
    <cellStyle name="Normal 2 6 23 10" xfId="29102"/>
    <cellStyle name="Normal 2 6 23 2" xfId="29103"/>
    <cellStyle name="Normal 2 6 23 2 2" xfId="29104"/>
    <cellStyle name="Normal 2 6 23 2 2 2" xfId="29105"/>
    <cellStyle name="Normal 2 6 23 2 2 3" xfId="29106"/>
    <cellStyle name="Normal 2 6 23 2 3" xfId="29107"/>
    <cellStyle name="Normal 2 6 23 2 4" xfId="29108"/>
    <cellStyle name="Normal 2 6 23 2 5" xfId="29109"/>
    <cellStyle name="Normal 2 6 23 2 6" xfId="29110"/>
    <cellStyle name="Normal 2 6 23 3" xfId="29111"/>
    <cellStyle name="Normal 2 6 23 3 2" xfId="29112"/>
    <cellStyle name="Normal 2 6 23 3 2 2" xfId="29113"/>
    <cellStyle name="Normal 2 6 23 3 2 3" xfId="29114"/>
    <cellStyle name="Normal 2 6 23 3 3" xfId="29115"/>
    <cellStyle name="Normal 2 6 23 3 4" xfId="29116"/>
    <cellStyle name="Normal 2 6 23 3 5" xfId="29117"/>
    <cellStyle name="Normal 2 6 23 3 6" xfId="29118"/>
    <cellStyle name="Normal 2 6 23 4" xfId="29119"/>
    <cellStyle name="Normal 2 6 23 4 2" xfId="29120"/>
    <cellStyle name="Normal 2 6 23 4 2 2" xfId="29121"/>
    <cellStyle name="Normal 2 6 23 4 3" xfId="29122"/>
    <cellStyle name="Normal 2 6 23 4 4" xfId="29123"/>
    <cellStyle name="Normal 2 6 23 4 5" xfId="29124"/>
    <cellStyle name="Normal 2 6 23 5" xfId="29125"/>
    <cellStyle name="Normal 2 6 23 5 2" xfId="29126"/>
    <cellStyle name="Normal 2 6 23 5 3" xfId="29127"/>
    <cellStyle name="Normal 2 6 23 5 4" xfId="29128"/>
    <cellStyle name="Normal 2 6 23 6" xfId="29129"/>
    <cellStyle name="Normal 2 6 23 6 2" xfId="29130"/>
    <cellStyle name="Normal 2 6 23 7" xfId="29131"/>
    <cellStyle name="Normal 2 6 23 8" xfId="29132"/>
    <cellStyle name="Normal 2 6 23 9" xfId="29133"/>
    <cellStyle name="Normal 2 6 24" xfId="29134"/>
    <cellStyle name="Normal 2 6 24 10" xfId="29135"/>
    <cellStyle name="Normal 2 6 24 2" xfId="29136"/>
    <cellStyle name="Normal 2 6 24 2 2" xfId="29137"/>
    <cellStyle name="Normal 2 6 24 2 2 2" xfId="29138"/>
    <cellStyle name="Normal 2 6 24 2 2 3" xfId="29139"/>
    <cellStyle name="Normal 2 6 24 2 3" xfId="29140"/>
    <cellStyle name="Normal 2 6 24 2 4" xfId="29141"/>
    <cellStyle name="Normal 2 6 24 2 5" xfId="29142"/>
    <cellStyle name="Normal 2 6 24 2 6" xfId="29143"/>
    <cellStyle name="Normal 2 6 24 3" xfId="29144"/>
    <cellStyle name="Normal 2 6 24 3 2" xfId="29145"/>
    <cellStyle name="Normal 2 6 24 3 2 2" xfId="29146"/>
    <cellStyle name="Normal 2 6 24 3 2 3" xfId="29147"/>
    <cellStyle name="Normal 2 6 24 3 3" xfId="29148"/>
    <cellStyle name="Normal 2 6 24 3 4" xfId="29149"/>
    <cellStyle name="Normal 2 6 24 3 5" xfId="29150"/>
    <cellStyle name="Normal 2 6 24 3 6" xfId="29151"/>
    <cellStyle name="Normal 2 6 24 4" xfId="29152"/>
    <cellStyle name="Normal 2 6 24 4 2" xfId="29153"/>
    <cellStyle name="Normal 2 6 24 4 2 2" xfId="29154"/>
    <cellStyle name="Normal 2 6 24 4 3" xfId="29155"/>
    <cellStyle name="Normal 2 6 24 4 4" xfId="29156"/>
    <cellStyle name="Normal 2 6 24 4 5" xfId="29157"/>
    <cellStyle name="Normal 2 6 24 5" xfId="29158"/>
    <cellStyle name="Normal 2 6 24 5 2" xfId="29159"/>
    <cellStyle name="Normal 2 6 24 5 3" xfId="29160"/>
    <cellStyle name="Normal 2 6 24 5 4" xfId="29161"/>
    <cellStyle name="Normal 2 6 24 6" xfId="29162"/>
    <cellStyle name="Normal 2 6 24 6 2" xfId="29163"/>
    <cellStyle name="Normal 2 6 24 7" xfId="29164"/>
    <cellStyle name="Normal 2 6 24 8" xfId="29165"/>
    <cellStyle name="Normal 2 6 24 9" xfId="29166"/>
    <cellStyle name="Normal 2 6 25" xfId="29167"/>
    <cellStyle name="Normal 2 6 25 10" xfId="29168"/>
    <cellStyle name="Normal 2 6 25 2" xfId="29169"/>
    <cellStyle name="Normal 2 6 25 2 2" xfId="29170"/>
    <cellStyle name="Normal 2 6 25 2 2 2" xfId="29171"/>
    <cellStyle name="Normal 2 6 25 2 2 3" xfId="29172"/>
    <cellStyle name="Normal 2 6 25 2 3" xfId="29173"/>
    <cellStyle name="Normal 2 6 25 2 4" xfId="29174"/>
    <cellStyle name="Normal 2 6 25 2 5" xfId="29175"/>
    <cellStyle name="Normal 2 6 25 2 6" xfId="29176"/>
    <cellStyle name="Normal 2 6 25 3" xfId="29177"/>
    <cellStyle name="Normal 2 6 25 3 2" xfId="29178"/>
    <cellStyle name="Normal 2 6 25 3 2 2" xfId="29179"/>
    <cellStyle name="Normal 2 6 25 3 2 3" xfId="29180"/>
    <cellStyle name="Normal 2 6 25 3 3" xfId="29181"/>
    <cellStyle name="Normal 2 6 25 3 4" xfId="29182"/>
    <cellStyle name="Normal 2 6 25 3 5" xfId="29183"/>
    <cellStyle name="Normal 2 6 25 3 6" xfId="29184"/>
    <cellStyle name="Normal 2 6 25 4" xfId="29185"/>
    <cellStyle name="Normal 2 6 25 4 2" xfId="29186"/>
    <cellStyle name="Normal 2 6 25 4 2 2" xfId="29187"/>
    <cellStyle name="Normal 2 6 25 4 3" xfId="29188"/>
    <cellStyle name="Normal 2 6 25 4 4" xfId="29189"/>
    <cellStyle name="Normal 2 6 25 4 5" xfId="29190"/>
    <cellStyle name="Normal 2 6 25 5" xfId="29191"/>
    <cellStyle name="Normal 2 6 25 5 2" xfId="29192"/>
    <cellStyle name="Normal 2 6 25 5 3" xfId="29193"/>
    <cellStyle name="Normal 2 6 25 5 4" xfId="29194"/>
    <cellStyle name="Normal 2 6 25 6" xfId="29195"/>
    <cellStyle name="Normal 2 6 25 6 2" xfId="29196"/>
    <cellStyle name="Normal 2 6 25 7" xfId="29197"/>
    <cellStyle name="Normal 2 6 25 8" xfId="29198"/>
    <cellStyle name="Normal 2 6 25 9" xfId="29199"/>
    <cellStyle name="Normal 2 6 26" xfId="29200"/>
    <cellStyle name="Normal 2 6 26 10" xfId="29201"/>
    <cellStyle name="Normal 2 6 26 2" xfId="29202"/>
    <cellStyle name="Normal 2 6 26 2 2" xfId="29203"/>
    <cellStyle name="Normal 2 6 26 2 2 2" xfId="29204"/>
    <cellStyle name="Normal 2 6 26 2 2 3" xfId="29205"/>
    <cellStyle name="Normal 2 6 26 2 3" xfId="29206"/>
    <cellStyle name="Normal 2 6 26 2 4" xfId="29207"/>
    <cellStyle name="Normal 2 6 26 2 5" xfId="29208"/>
    <cellStyle name="Normal 2 6 26 2 6" xfId="29209"/>
    <cellStyle name="Normal 2 6 26 3" xfId="29210"/>
    <cellStyle name="Normal 2 6 26 3 2" xfId="29211"/>
    <cellStyle name="Normal 2 6 26 3 2 2" xfId="29212"/>
    <cellStyle name="Normal 2 6 26 3 2 3" xfId="29213"/>
    <cellStyle name="Normal 2 6 26 3 3" xfId="29214"/>
    <cellStyle name="Normal 2 6 26 3 4" xfId="29215"/>
    <cellStyle name="Normal 2 6 26 3 5" xfId="29216"/>
    <cellStyle name="Normal 2 6 26 3 6" xfId="29217"/>
    <cellStyle name="Normal 2 6 26 4" xfId="29218"/>
    <cellStyle name="Normal 2 6 26 4 2" xfId="29219"/>
    <cellStyle name="Normal 2 6 26 4 2 2" xfId="29220"/>
    <cellStyle name="Normal 2 6 26 4 3" xfId="29221"/>
    <cellStyle name="Normal 2 6 26 4 4" xfId="29222"/>
    <cellStyle name="Normal 2 6 26 4 5" xfId="29223"/>
    <cellStyle name="Normal 2 6 26 5" xfId="29224"/>
    <cellStyle name="Normal 2 6 26 5 2" xfId="29225"/>
    <cellStyle name="Normal 2 6 26 5 3" xfId="29226"/>
    <cellStyle name="Normal 2 6 26 5 4" xfId="29227"/>
    <cellStyle name="Normal 2 6 26 6" xfId="29228"/>
    <cellStyle name="Normal 2 6 26 6 2" xfId="29229"/>
    <cellStyle name="Normal 2 6 26 7" xfId="29230"/>
    <cellStyle name="Normal 2 6 26 8" xfId="29231"/>
    <cellStyle name="Normal 2 6 26 9" xfId="29232"/>
    <cellStyle name="Normal 2 6 27" xfId="29233"/>
    <cellStyle name="Normal 2 6 27 10" xfId="29234"/>
    <cellStyle name="Normal 2 6 27 2" xfId="29235"/>
    <cellStyle name="Normal 2 6 27 2 2" xfId="29236"/>
    <cellStyle name="Normal 2 6 27 2 2 2" xfId="29237"/>
    <cellStyle name="Normal 2 6 27 2 2 3" xfId="29238"/>
    <cellStyle name="Normal 2 6 27 2 3" xfId="29239"/>
    <cellStyle name="Normal 2 6 27 2 4" xfId="29240"/>
    <cellStyle name="Normal 2 6 27 2 5" xfId="29241"/>
    <cellStyle name="Normal 2 6 27 2 6" xfId="29242"/>
    <cellStyle name="Normal 2 6 27 3" xfId="29243"/>
    <cellStyle name="Normal 2 6 27 3 2" xfId="29244"/>
    <cellStyle name="Normal 2 6 27 3 2 2" xfId="29245"/>
    <cellStyle name="Normal 2 6 27 3 2 3" xfId="29246"/>
    <cellStyle name="Normal 2 6 27 3 3" xfId="29247"/>
    <cellStyle name="Normal 2 6 27 3 4" xfId="29248"/>
    <cellStyle name="Normal 2 6 27 3 5" xfId="29249"/>
    <cellStyle name="Normal 2 6 27 3 6" xfId="29250"/>
    <cellStyle name="Normal 2 6 27 4" xfId="29251"/>
    <cellStyle name="Normal 2 6 27 4 2" xfId="29252"/>
    <cellStyle name="Normal 2 6 27 4 2 2" xfId="29253"/>
    <cellStyle name="Normal 2 6 27 4 3" xfId="29254"/>
    <cellStyle name="Normal 2 6 27 4 4" xfId="29255"/>
    <cellStyle name="Normal 2 6 27 4 5" xfId="29256"/>
    <cellStyle name="Normal 2 6 27 5" xfId="29257"/>
    <cellStyle name="Normal 2 6 27 5 2" xfId="29258"/>
    <cellStyle name="Normal 2 6 27 5 3" xfId="29259"/>
    <cellStyle name="Normal 2 6 27 5 4" xfId="29260"/>
    <cellStyle name="Normal 2 6 27 6" xfId="29261"/>
    <cellStyle name="Normal 2 6 27 6 2" xfId="29262"/>
    <cellStyle name="Normal 2 6 27 7" xfId="29263"/>
    <cellStyle name="Normal 2 6 27 8" xfId="29264"/>
    <cellStyle name="Normal 2 6 27 9" xfId="29265"/>
    <cellStyle name="Normal 2 6 28" xfId="29266"/>
    <cellStyle name="Normal 2 6 28 10" xfId="29267"/>
    <cellStyle name="Normal 2 6 28 2" xfId="29268"/>
    <cellStyle name="Normal 2 6 28 2 2" xfId="29269"/>
    <cellStyle name="Normal 2 6 28 2 2 2" xfId="29270"/>
    <cellStyle name="Normal 2 6 28 2 2 3" xfId="29271"/>
    <cellStyle name="Normal 2 6 28 2 3" xfId="29272"/>
    <cellStyle name="Normal 2 6 28 2 4" xfId="29273"/>
    <cellStyle name="Normal 2 6 28 2 5" xfId="29274"/>
    <cellStyle name="Normal 2 6 28 2 6" xfId="29275"/>
    <cellStyle name="Normal 2 6 28 3" xfId="29276"/>
    <cellStyle name="Normal 2 6 28 3 2" xfId="29277"/>
    <cellStyle name="Normal 2 6 28 3 2 2" xfId="29278"/>
    <cellStyle name="Normal 2 6 28 3 2 3" xfId="29279"/>
    <cellStyle name="Normal 2 6 28 3 3" xfId="29280"/>
    <cellStyle name="Normal 2 6 28 3 4" xfId="29281"/>
    <cellStyle name="Normal 2 6 28 3 5" xfId="29282"/>
    <cellStyle name="Normal 2 6 28 3 6" xfId="29283"/>
    <cellStyle name="Normal 2 6 28 4" xfId="29284"/>
    <cellStyle name="Normal 2 6 28 4 2" xfId="29285"/>
    <cellStyle name="Normal 2 6 28 4 2 2" xfId="29286"/>
    <cellStyle name="Normal 2 6 28 4 3" xfId="29287"/>
    <cellStyle name="Normal 2 6 28 4 4" xfId="29288"/>
    <cellStyle name="Normal 2 6 28 4 5" xfId="29289"/>
    <cellStyle name="Normal 2 6 28 5" xfId="29290"/>
    <cellStyle name="Normal 2 6 28 5 2" xfId="29291"/>
    <cellStyle name="Normal 2 6 28 5 3" xfId="29292"/>
    <cellStyle name="Normal 2 6 28 5 4" xfId="29293"/>
    <cellStyle name="Normal 2 6 28 6" xfId="29294"/>
    <cellStyle name="Normal 2 6 28 6 2" xfId="29295"/>
    <cellStyle name="Normal 2 6 28 7" xfId="29296"/>
    <cellStyle name="Normal 2 6 28 8" xfId="29297"/>
    <cellStyle name="Normal 2 6 28 9" xfId="29298"/>
    <cellStyle name="Normal 2 6 29" xfId="29299"/>
    <cellStyle name="Normal 2 6 29 10" xfId="29300"/>
    <cellStyle name="Normal 2 6 29 2" xfId="29301"/>
    <cellStyle name="Normal 2 6 29 2 2" xfId="29302"/>
    <cellStyle name="Normal 2 6 29 2 2 2" xfId="29303"/>
    <cellStyle name="Normal 2 6 29 2 2 3" xfId="29304"/>
    <cellStyle name="Normal 2 6 29 2 3" xfId="29305"/>
    <cellStyle name="Normal 2 6 29 2 4" xfId="29306"/>
    <cellStyle name="Normal 2 6 29 2 5" xfId="29307"/>
    <cellStyle name="Normal 2 6 29 2 6" xfId="29308"/>
    <cellStyle name="Normal 2 6 29 3" xfId="29309"/>
    <cellStyle name="Normal 2 6 29 3 2" xfId="29310"/>
    <cellStyle name="Normal 2 6 29 3 2 2" xfId="29311"/>
    <cellStyle name="Normal 2 6 29 3 2 3" xfId="29312"/>
    <cellStyle name="Normal 2 6 29 3 3" xfId="29313"/>
    <cellStyle name="Normal 2 6 29 3 4" xfId="29314"/>
    <cellStyle name="Normal 2 6 29 3 5" xfId="29315"/>
    <cellStyle name="Normal 2 6 29 3 6" xfId="29316"/>
    <cellStyle name="Normal 2 6 29 4" xfId="29317"/>
    <cellStyle name="Normal 2 6 29 4 2" xfId="29318"/>
    <cellStyle name="Normal 2 6 29 4 2 2" xfId="29319"/>
    <cellStyle name="Normal 2 6 29 4 3" xfId="29320"/>
    <cellStyle name="Normal 2 6 29 4 4" xfId="29321"/>
    <cellStyle name="Normal 2 6 29 4 5" xfId="29322"/>
    <cellStyle name="Normal 2 6 29 5" xfId="29323"/>
    <cellStyle name="Normal 2 6 29 5 2" xfId="29324"/>
    <cellStyle name="Normal 2 6 29 5 3" xfId="29325"/>
    <cellStyle name="Normal 2 6 29 5 4" xfId="29326"/>
    <cellStyle name="Normal 2 6 29 6" xfId="29327"/>
    <cellStyle name="Normal 2 6 29 6 2" xfId="29328"/>
    <cellStyle name="Normal 2 6 29 7" xfId="29329"/>
    <cellStyle name="Normal 2 6 29 8" xfId="29330"/>
    <cellStyle name="Normal 2 6 29 9" xfId="29331"/>
    <cellStyle name="Normal 2 6 3" xfId="29332"/>
    <cellStyle name="Normal 2 6 3 10" xfId="29333"/>
    <cellStyle name="Normal 2 6 3 10 10" xfId="29334"/>
    <cellStyle name="Normal 2 6 3 10 2" xfId="29335"/>
    <cellStyle name="Normal 2 6 3 10 2 2" xfId="29336"/>
    <cellStyle name="Normal 2 6 3 10 2 2 2" xfId="29337"/>
    <cellStyle name="Normal 2 6 3 10 2 2 3" xfId="29338"/>
    <cellStyle name="Normal 2 6 3 10 2 3" xfId="29339"/>
    <cellStyle name="Normal 2 6 3 10 2 4" xfId="29340"/>
    <cellStyle name="Normal 2 6 3 10 2 5" xfId="29341"/>
    <cellStyle name="Normal 2 6 3 10 2 6" xfId="29342"/>
    <cellStyle name="Normal 2 6 3 10 3" xfId="29343"/>
    <cellStyle name="Normal 2 6 3 10 3 2" xfId="29344"/>
    <cellStyle name="Normal 2 6 3 10 3 2 2" xfId="29345"/>
    <cellStyle name="Normal 2 6 3 10 3 2 3" xfId="29346"/>
    <cellStyle name="Normal 2 6 3 10 3 3" xfId="29347"/>
    <cellStyle name="Normal 2 6 3 10 3 4" xfId="29348"/>
    <cellStyle name="Normal 2 6 3 10 3 5" xfId="29349"/>
    <cellStyle name="Normal 2 6 3 10 3 6" xfId="29350"/>
    <cellStyle name="Normal 2 6 3 10 4" xfId="29351"/>
    <cellStyle name="Normal 2 6 3 10 4 2" xfId="29352"/>
    <cellStyle name="Normal 2 6 3 10 4 2 2" xfId="29353"/>
    <cellStyle name="Normal 2 6 3 10 4 3" xfId="29354"/>
    <cellStyle name="Normal 2 6 3 10 4 4" xfId="29355"/>
    <cellStyle name="Normal 2 6 3 10 4 5" xfId="29356"/>
    <cellStyle name="Normal 2 6 3 10 5" xfId="29357"/>
    <cellStyle name="Normal 2 6 3 10 5 2" xfId="29358"/>
    <cellStyle name="Normal 2 6 3 10 5 3" xfId="29359"/>
    <cellStyle name="Normal 2 6 3 10 5 4" xfId="29360"/>
    <cellStyle name="Normal 2 6 3 10 6" xfId="29361"/>
    <cellStyle name="Normal 2 6 3 10 6 2" xfId="29362"/>
    <cellStyle name="Normal 2 6 3 10 7" xfId="29363"/>
    <cellStyle name="Normal 2 6 3 10 8" xfId="29364"/>
    <cellStyle name="Normal 2 6 3 10 9" xfId="29365"/>
    <cellStyle name="Normal 2 6 3 11" xfId="29366"/>
    <cellStyle name="Normal 2 6 3 11 10" xfId="29367"/>
    <cellStyle name="Normal 2 6 3 11 2" xfId="29368"/>
    <cellStyle name="Normal 2 6 3 11 2 2" xfId="29369"/>
    <cellStyle name="Normal 2 6 3 11 2 2 2" xfId="29370"/>
    <cellStyle name="Normal 2 6 3 11 2 2 3" xfId="29371"/>
    <cellStyle name="Normal 2 6 3 11 2 3" xfId="29372"/>
    <cellStyle name="Normal 2 6 3 11 2 4" xfId="29373"/>
    <cellStyle name="Normal 2 6 3 11 2 5" xfId="29374"/>
    <cellStyle name="Normal 2 6 3 11 2 6" xfId="29375"/>
    <cellStyle name="Normal 2 6 3 11 3" xfId="29376"/>
    <cellStyle name="Normal 2 6 3 11 3 2" xfId="29377"/>
    <cellStyle name="Normal 2 6 3 11 3 2 2" xfId="29378"/>
    <cellStyle name="Normal 2 6 3 11 3 2 3" xfId="29379"/>
    <cellStyle name="Normal 2 6 3 11 3 3" xfId="29380"/>
    <cellStyle name="Normal 2 6 3 11 3 4" xfId="29381"/>
    <cellStyle name="Normal 2 6 3 11 3 5" xfId="29382"/>
    <cellStyle name="Normal 2 6 3 11 3 6" xfId="29383"/>
    <cellStyle name="Normal 2 6 3 11 4" xfId="29384"/>
    <cellStyle name="Normal 2 6 3 11 4 2" xfId="29385"/>
    <cellStyle name="Normal 2 6 3 11 4 2 2" xfId="29386"/>
    <cellStyle name="Normal 2 6 3 11 4 3" xfId="29387"/>
    <cellStyle name="Normal 2 6 3 11 4 4" xfId="29388"/>
    <cellStyle name="Normal 2 6 3 11 4 5" xfId="29389"/>
    <cellStyle name="Normal 2 6 3 11 5" xfId="29390"/>
    <cellStyle name="Normal 2 6 3 11 5 2" xfId="29391"/>
    <cellStyle name="Normal 2 6 3 11 5 3" xfId="29392"/>
    <cellStyle name="Normal 2 6 3 11 5 4" xfId="29393"/>
    <cellStyle name="Normal 2 6 3 11 6" xfId="29394"/>
    <cellStyle name="Normal 2 6 3 11 6 2" xfId="29395"/>
    <cellStyle name="Normal 2 6 3 11 7" xfId="29396"/>
    <cellStyle name="Normal 2 6 3 11 8" xfId="29397"/>
    <cellStyle name="Normal 2 6 3 11 9" xfId="29398"/>
    <cellStyle name="Normal 2 6 3 12" xfId="29399"/>
    <cellStyle name="Normal 2 6 3 12 10" xfId="29400"/>
    <cellStyle name="Normal 2 6 3 12 2" xfId="29401"/>
    <cellStyle name="Normal 2 6 3 12 2 2" xfId="29402"/>
    <cellStyle name="Normal 2 6 3 12 2 2 2" xfId="29403"/>
    <cellStyle name="Normal 2 6 3 12 2 2 3" xfId="29404"/>
    <cellStyle name="Normal 2 6 3 12 2 3" xfId="29405"/>
    <cellStyle name="Normal 2 6 3 12 2 4" xfId="29406"/>
    <cellStyle name="Normal 2 6 3 12 2 5" xfId="29407"/>
    <cellStyle name="Normal 2 6 3 12 2 6" xfId="29408"/>
    <cellStyle name="Normal 2 6 3 12 3" xfId="29409"/>
    <cellStyle name="Normal 2 6 3 12 3 2" xfId="29410"/>
    <cellStyle name="Normal 2 6 3 12 3 2 2" xfId="29411"/>
    <cellStyle name="Normal 2 6 3 12 3 2 3" xfId="29412"/>
    <cellStyle name="Normal 2 6 3 12 3 3" xfId="29413"/>
    <cellStyle name="Normal 2 6 3 12 3 4" xfId="29414"/>
    <cellStyle name="Normal 2 6 3 12 3 5" xfId="29415"/>
    <cellStyle name="Normal 2 6 3 12 3 6" xfId="29416"/>
    <cellStyle name="Normal 2 6 3 12 4" xfId="29417"/>
    <cellStyle name="Normal 2 6 3 12 4 2" xfId="29418"/>
    <cellStyle name="Normal 2 6 3 12 4 2 2" xfId="29419"/>
    <cellStyle name="Normal 2 6 3 12 4 3" xfId="29420"/>
    <cellStyle name="Normal 2 6 3 12 4 4" xfId="29421"/>
    <cellStyle name="Normal 2 6 3 12 4 5" xfId="29422"/>
    <cellStyle name="Normal 2 6 3 12 5" xfId="29423"/>
    <cellStyle name="Normal 2 6 3 12 5 2" xfId="29424"/>
    <cellStyle name="Normal 2 6 3 12 5 3" xfId="29425"/>
    <cellStyle name="Normal 2 6 3 12 5 4" xfId="29426"/>
    <cellStyle name="Normal 2 6 3 12 6" xfId="29427"/>
    <cellStyle name="Normal 2 6 3 12 6 2" xfId="29428"/>
    <cellStyle name="Normal 2 6 3 12 7" xfId="29429"/>
    <cellStyle name="Normal 2 6 3 12 8" xfId="29430"/>
    <cellStyle name="Normal 2 6 3 12 9" xfId="29431"/>
    <cellStyle name="Normal 2 6 3 13" xfId="29432"/>
    <cellStyle name="Normal 2 6 3 13 2" xfId="29433"/>
    <cellStyle name="Normal 2 6 3 13 2 2" xfId="29434"/>
    <cellStyle name="Normal 2 6 3 13 2 2 2" xfId="29435"/>
    <cellStyle name="Normal 2 6 3 13 2 2 3" xfId="29436"/>
    <cellStyle name="Normal 2 6 3 13 2 3" xfId="29437"/>
    <cellStyle name="Normal 2 6 3 13 2 4" xfId="29438"/>
    <cellStyle name="Normal 2 6 3 13 2 5" xfId="29439"/>
    <cellStyle name="Normal 2 6 3 13 2 6" xfId="29440"/>
    <cellStyle name="Normal 2 6 3 13 3" xfId="29441"/>
    <cellStyle name="Normal 2 6 3 13 3 2" xfId="29442"/>
    <cellStyle name="Normal 2 6 3 13 3 2 2" xfId="29443"/>
    <cellStyle name="Normal 2 6 3 13 3 3" xfId="29444"/>
    <cellStyle name="Normal 2 6 3 13 3 4" xfId="29445"/>
    <cellStyle name="Normal 2 6 3 13 3 5" xfId="29446"/>
    <cellStyle name="Normal 2 6 3 13 4" xfId="29447"/>
    <cellStyle name="Normal 2 6 3 13 4 2" xfId="29448"/>
    <cellStyle name="Normal 2 6 3 13 4 3" xfId="29449"/>
    <cellStyle name="Normal 2 6 3 13 4 4" xfId="29450"/>
    <cellStyle name="Normal 2 6 3 13 5" xfId="29451"/>
    <cellStyle name="Normal 2 6 3 13 5 2" xfId="29452"/>
    <cellStyle name="Normal 2 6 3 13 6" xfId="29453"/>
    <cellStyle name="Normal 2 6 3 13 7" xfId="29454"/>
    <cellStyle name="Normal 2 6 3 13 8" xfId="29455"/>
    <cellStyle name="Normal 2 6 3 13 9" xfId="29456"/>
    <cellStyle name="Normal 2 6 3 14" xfId="29457"/>
    <cellStyle name="Normal 2 6 3 14 2" xfId="29458"/>
    <cellStyle name="Normal 2 6 3 14 2 2" xfId="29459"/>
    <cellStyle name="Normal 2 6 3 14 2 2 2" xfId="29460"/>
    <cellStyle name="Normal 2 6 3 14 2 2 3" xfId="29461"/>
    <cellStyle name="Normal 2 6 3 14 2 3" xfId="29462"/>
    <cellStyle name="Normal 2 6 3 14 2 4" xfId="29463"/>
    <cellStyle name="Normal 2 6 3 14 2 5" xfId="29464"/>
    <cellStyle name="Normal 2 6 3 14 2 6" xfId="29465"/>
    <cellStyle name="Normal 2 6 3 14 3" xfId="29466"/>
    <cellStyle name="Normal 2 6 3 14 3 2" xfId="29467"/>
    <cellStyle name="Normal 2 6 3 14 3 2 2" xfId="29468"/>
    <cellStyle name="Normal 2 6 3 14 3 3" xfId="29469"/>
    <cellStyle name="Normal 2 6 3 14 3 4" xfId="29470"/>
    <cellStyle name="Normal 2 6 3 14 3 5" xfId="29471"/>
    <cellStyle name="Normal 2 6 3 14 4" xfId="29472"/>
    <cellStyle name="Normal 2 6 3 14 4 2" xfId="29473"/>
    <cellStyle name="Normal 2 6 3 14 4 3" xfId="29474"/>
    <cellStyle name="Normal 2 6 3 14 4 4" xfId="29475"/>
    <cellStyle name="Normal 2 6 3 14 5" xfId="29476"/>
    <cellStyle name="Normal 2 6 3 14 5 2" xfId="29477"/>
    <cellStyle name="Normal 2 6 3 14 6" xfId="29478"/>
    <cellStyle name="Normal 2 6 3 14 7" xfId="29479"/>
    <cellStyle name="Normal 2 6 3 14 8" xfId="29480"/>
    <cellStyle name="Normal 2 6 3 14 9" xfId="29481"/>
    <cellStyle name="Normal 2 6 3 15" xfId="29482"/>
    <cellStyle name="Normal 2 6 3 15 2" xfId="29483"/>
    <cellStyle name="Normal 2 6 3 15 2 2" xfId="29484"/>
    <cellStyle name="Normal 2 6 3 15 2 3" xfId="29485"/>
    <cellStyle name="Normal 2 6 3 15 3" xfId="29486"/>
    <cellStyle name="Normal 2 6 3 15 4" xfId="29487"/>
    <cellStyle name="Normal 2 6 3 15 5" xfId="29488"/>
    <cellStyle name="Normal 2 6 3 15 6" xfId="29489"/>
    <cellStyle name="Normal 2 6 3 16" xfId="29490"/>
    <cellStyle name="Normal 2 6 3 16 2" xfId="29491"/>
    <cellStyle name="Normal 2 6 3 16 2 2" xfId="29492"/>
    <cellStyle name="Normal 2 6 3 16 3" xfId="29493"/>
    <cellStyle name="Normal 2 6 3 16 4" xfId="29494"/>
    <cellStyle name="Normal 2 6 3 16 5" xfId="29495"/>
    <cellStyle name="Normal 2 6 3 17" xfId="29496"/>
    <cellStyle name="Normal 2 6 3 17 2" xfId="29497"/>
    <cellStyle name="Normal 2 6 3 17 2 2" xfId="29498"/>
    <cellStyle name="Normal 2 6 3 17 3" xfId="29499"/>
    <cellStyle name="Normal 2 6 3 17 4" xfId="29500"/>
    <cellStyle name="Normal 2 6 3 17 5" xfId="29501"/>
    <cellStyle name="Normal 2 6 3 18" xfId="29502"/>
    <cellStyle name="Normal 2 6 3 18 2" xfId="29503"/>
    <cellStyle name="Normal 2 6 3 19" xfId="29504"/>
    <cellStyle name="Normal 2 6 3 2" xfId="29505"/>
    <cellStyle name="Normal 2 6 3 2 10" xfId="29506"/>
    <cellStyle name="Normal 2 6 3 2 11" xfId="29507"/>
    <cellStyle name="Normal 2 6 3 2 2" xfId="29508"/>
    <cellStyle name="Normal 2 6 3 2 2 2" xfId="29509"/>
    <cellStyle name="Normal 2 6 3 2 2 2 2" xfId="29510"/>
    <cellStyle name="Normal 2 6 3 2 2 2 2 2" xfId="29511"/>
    <cellStyle name="Normal 2 6 3 2 2 2 2 3" xfId="29512"/>
    <cellStyle name="Normal 2 6 3 2 2 2 3" xfId="29513"/>
    <cellStyle name="Normal 2 6 3 2 2 2 4" xfId="29514"/>
    <cellStyle name="Normal 2 6 3 2 2 2 5" xfId="29515"/>
    <cellStyle name="Normal 2 6 3 2 2 2 6" xfId="29516"/>
    <cellStyle name="Normal 2 6 3 2 2 3" xfId="29517"/>
    <cellStyle name="Normal 2 6 3 2 2 3 2" xfId="29518"/>
    <cellStyle name="Normal 2 6 3 2 2 3 2 2" xfId="29519"/>
    <cellStyle name="Normal 2 6 3 2 2 3 3" xfId="29520"/>
    <cellStyle name="Normal 2 6 3 2 2 3 4" xfId="29521"/>
    <cellStyle name="Normal 2 6 3 2 2 3 5" xfId="29522"/>
    <cellStyle name="Normal 2 6 3 2 2 4" xfId="29523"/>
    <cellStyle name="Normal 2 6 3 2 2 4 2" xfId="29524"/>
    <cellStyle name="Normal 2 6 3 2 2 4 3" xfId="29525"/>
    <cellStyle name="Normal 2 6 3 2 2 4 4" xfId="29526"/>
    <cellStyle name="Normal 2 6 3 2 2 5" xfId="29527"/>
    <cellStyle name="Normal 2 6 3 2 2 5 2" xfId="29528"/>
    <cellStyle name="Normal 2 6 3 2 2 6" xfId="29529"/>
    <cellStyle name="Normal 2 6 3 2 2 7" xfId="29530"/>
    <cellStyle name="Normal 2 6 3 2 2 8" xfId="29531"/>
    <cellStyle name="Normal 2 6 3 2 2 9" xfId="29532"/>
    <cellStyle name="Normal 2 6 3 2 3" xfId="29533"/>
    <cellStyle name="Normal 2 6 3 2 3 2" xfId="29534"/>
    <cellStyle name="Normal 2 6 3 2 3 2 2" xfId="29535"/>
    <cellStyle name="Normal 2 6 3 2 3 2 2 2" xfId="29536"/>
    <cellStyle name="Normal 2 6 3 2 3 2 2 3" xfId="29537"/>
    <cellStyle name="Normal 2 6 3 2 3 2 3" xfId="29538"/>
    <cellStyle name="Normal 2 6 3 2 3 2 4" xfId="29539"/>
    <cellStyle name="Normal 2 6 3 2 3 2 5" xfId="29540"/>
    <cellStyle name="Normal 2 6 3 2 3 2 6" xfId="29541"/>
    <cellStyle name="Normal 2 6 3 2 3 3" xfId="29542"/>
    <cellStyle name="Normal 2 6 3 2 3 3 2" xfId="29543"/>
    <cellStyle name="Normal 2 6 3 2 3 3 2 2" xfId="29544"/>
    <cellStyle name="Normal 2 6 3 2 3 3 3" xfId="29545"/>
    <cellStyle name="Normal 2 6 3 2 3 3 4" xfId="29546"/>
    <cellStyle name="Normal 2 6 3 2 3 3 5" xfId="29547"/>
    <cellStyle name="Normal 2 6 3 2 3 4" xfId="29548"/>
    <cellStyle name="Normal 2 6 3 2 3 4 2" xfId="29549"/>
    <cellStyle name="Normal 2 6 3 2 3 4 3" xfId="29550"/>
    <cellStyle name="Normal 2 6 3 2 3 4 4" xfId="29551"/>
    <cellStyle name="Normal 2 6 3 2 3 5" xfId="29552"/>
    <cellStyle name="Normal 2 6 3 2 3 5 2" xfId="29553"/>
    <cellStyle name="Normal 2 6 3 2 3 6" xfId="29554"/>
    <cellStyle name="Normal 2 6 3 2 3 7" xfId="29555"/>
    <cellStyle name="Normal 2 6 3 2 3 8" xfId="29556"/>
    <cellStyle name="Normal 2 6 3 2 3 9" xfId="29557"/>
    <cellStyle name="Normal 2 6 3 2 4" xfId="29558"/>
    <cellStyle name="Normal 2 6 3 2 4 2" xfId="29559"/>
    <cellStyle name="Normal 2 6 3 2 4 2 2" xfId="29560"/>
    <cellStyle name="Normal 2 6 3 2 4 2 3" xfId="29561"/>
    <cellStyle name="Normal 2 6 3 2 4 3" xfId="29562"/>
    <cellStyle name="Normal 2 6 3 2 4 4" xfId="29563"/>
    <cellStyle name="Normal 2 6 3 2 4 5" xfId="29564"/>
    <cellStyle name="Normal 2 6 3 2 4 6" xfId="29565"/>
    <cellStyle name="Normal 2 6 3 2 5" xfId="29566"/>
    <cellStyle name="Normal 2 6 3 2 5 2" xfId="29567"/>
    <cellStyle name="Normal 2 6 3 2 5 2 2" xfId="29568"/>
    <cellStyle name="Normal 2 6 3 2 5 3" xfId="29569"/>
    <cellStyle name="Normal 2 6 3 2 5 4" xfId="29570"/>
    <cellStyle name="Normal 2 6 3 2 5 5" xfId="29571"/>
    <cellStyle name="Normal 2 6 3 2 6" xfId="29572"/>
    <cellStyle name="Normal 2 6 3 2 6 2" xfId="29573"/>
    <cellStyle name="Normal 2 6 3 2 6 3" xfId="29574"/>
    <cellStyle name="Normal 2 6 3 2 6 4" xfId="29575"/>
    <cellStyle name="Normal 2 6 3 2 7" xfId="29576"/>
    <cellStyle name="Normal 2 6 3 2 7 2" xfId="29577"/>
    <cellStyle name="Normal 2 6 3 2 8" xfId="29578"/>
    <cellStyle name="Normal 2 6 3 2 9" xfId="29579"/>
    <cellStyle name="Normal 2 6 3 20" xfId="29580"/>
    <cellStyle name="Normal 2 6 3 21" xfId="29581"/>
    <cellStyle name="Normal 2 6 3 22" xfId="29582"/>
    <cellStyle name="Normal 2 6 3 3" xfId="29583"/>
    <cellStyle name="Normal 2 6 3 3 10" xfId="29584"/>
    <cellStyle name="Normal 2 6 3 3 11" xfId="29585"/>
    <cellStyle name="Normal 2 6 3 3 2" xfId="29586"/>
    <cellStyle name="Normal 2 6 3 3 2 2" xfId="29587"/>
    <cellStyle name="Normal 2 6 3 3 2 2 2" xfId="29588"/>
    <cellStyle name="Normal 2 6 3 3 2 2 2 2" xfId="29589"/>
    <cellStyle name="Normal 2 6 3 3 2 2 2 3" xfId="29590"/>
    <cellStyle name="Normal 2 6 3 3 2 2 3" xfId="29591"/>
    <cellStyle name="Normal 2 6 3 3 2 2 4" xfId="29592"/>
    <cellStyle name="Normal 2 6 3 3 2 2 5" xfId="29593"/>
    <cellStyle name="Normal 2 6 3 3 2 2 6" xfId="29594"/>
    <cellStyle name="Normal 2 6 3 3 2 3" xfId="29595"/>
    <cellStyle name="Normal 2 6 3 3 2 3 2" xfId="29596"/>
    <cellStyle name="Normal 2 6 3 3 2 3 2 2" xfId="29597"/>
    <cellStyle name="Normal 2 6 3 3 2 3 3" xfId="29598"/>
    <cellStyle name="Normal 2 6 3 3 2 3 4" xfId="29599"/>
    <cellStyle name="Normal 2 6 3 3 2 3 5" xfId="29600"/>
    <cellStyle name="Normal 2 6 3 3 2 4" xfId="29601"/>
    <cellStyle name="Normal 2 6 3 3 2 4 2" xfId="29602"/>
    <cellStyle name="Normal 2 6 3 3 2 4 3" xfId="29603"/>
    <cellStyle name="Normal 2 6 3 3 2 4 4" xfId="29604"/>
    <cellStyle name="Normal 2 6 3 3 2 5" xfId="29605"/>
    <cellStyle name="Normal 2 6 3 3 2 5 2" xfId="29606"/>
    <cellStyle name="Normal 2 6 3 3 2 6" xfId="29607"/>
    <cellStyle name="Normal 2 6 3 3 2 7" xfId="29608"/>
    <cellStyle name="Normal 2 6 3 3 2 8" xfId="29609"/>
    <cellStyle name="Normal 2 6 3 3 2 9" xfId="29610"/>
    <cellStyle name="Normal 2 6 3 3 3" xfId="29611"/>
    <cellStyle name="Normal 2 6 3 3 3 2" xfId="29612"/>
    <cellStyle name="Normal 2 6 3 3 3 2 2" xfId="29613"/>
    <cellStyle name="Normal 2 6 3 3 3 2 2 2" xfId="29614"/>
    <cellStyle name="Normal 2 6 3 3 3 2 2 3" xfId="29615"/>
    <cellStyle name="Normal 2 6 3 3 3 2 3" xfId="29616"/>
    <cellStyle name="Normal 2 6 3 3 3 2 4" xfId="29617"/>
    <cellStyle name="Normal 2 6 3 3 3 2 5" xfId="29618"/>
    <cellStyle name="Normal 2 6 3 3 3 2 6" xfId="29619"/>
    <cellStyle name="Normal 2 6 3 3 3 3" xfId="29620"/>
    <cellStyle name="Normal 2 6 3 3 3 3 2" xfId="29621"/>
    <cellStyle name="Normal 2 6 3 3 3 3 2 2" xfId="29622"/>
    <cellStyle name="Normal 2 6 3 3 3 3 3" xfId="29623"/>
    <cellStyle name="Normal 2 6 3 3 3 3 4" xfId="29624"/>
    <cellStyle name="Normal 2 6 3 3 3 3 5" xfId="29625"/>
    <cellStyle name="Normal 2 6 3 3 3 4" xfId="29626"/>
    <cellStyle name="Normal 2 6 3 3 3 4 2" xfId="29627"/>
    <cellStyle name="Normal 2 6 3 3 3 4 3" xfId="29628"/>
    <cellStyle name="Normal 2 6 3 3 3 4 4" xfId="29629"/>
    <cellStyle name="Normal 2 6 3 3 3 5" xfId="29630"/>
    <cellStyle name="Normal 2 6 3 3 3 5 2" xfId="29631"/>
    <cellStyle name="Normal 2 6 3 3 3 6" xfId="29632"/>
    <cellStyle name="Normal 2 6 3 3 3 7" xfId="29633"/>
    <cellStyle name="Normal 2 6 3 3 3 8" xfId="29634"/>
    <cellStyle name="Normal 2 6 3 3 3 9" xfId="29635"/>
    <cellStyle name="Normal 2 6 3 3 4" xfId="29636"/>
    <cellStyle name="Normal 2 6 3 3 4 2" xfId="29637"/>
    <cellStyle name="Normal 2 6 3 3 4 2 2" xfId="29638"/>
    <cellStyle name="Normal 2 6 3 3 4 2 3" xfId="29639"/>
    <cellStyle name="Normal 2 6 3 3 4 3" xfId="29640"/>
    <cellStyle name="Normal 2 6 3 3 4 4" xfId="29641"/>
    <cellStyle name="Normal 2 6 3 3 4 5" xfId="29642"/>
    <cellStyle name="Normal 2 6 3 3 4 6" xfId="29643"/>
    <cellStyle name="Normal 2 6 3 3 5" xfId="29644"/>
    <cellStyle name="Normal 2 6 3 3 5 2" xfId="29645"/>
    <cellStyle name="Normal 2 6 3 3 5 2 2" xfId="29646"/>
    <cellStyle name="Normal 2 6 3 3 5 3" xfId="29647"/>
    <cellStyle name="Normal 2 6 3 3 5 4" xfId="29648"/>
    <cellStyle name="Normal 2 6 3 3 5 5" xfId="29649"/>
    <cellStyle name="Normal 2 6 3 3 6" xfId="29650"/>
    <cellStyle name="Normal 2 6 3 3 6 2" xfId="29651"/>
    <cellStyle name="Normal 2 6 3 3 6 3" xfId="29652"/>
    <cellStyle name="Normal 2 6 3 3 6 4" xfId="29653"/>
    <cellStyle name="Normal 2 6 3 3 7" xfId="29654"/>
    <cellStyle name="Normal 2 6 3 3 7 2" xfId="29655"/>
    <cellStyle name="Normal 2 6 3 3 8" xfId="29656"/>
    <cellStyle name="Normal 2 6 3 3 9" xfId="29657"/>
    <cellStyle name="Normal 2 6 3 4" xfId="29658"/>
    <cellStyle name="Normal 2 6 3 4 10" xfId="29659"/>
    <cellStyle name="Normal 2 6 3 4 11" xfId="29660"/>
    <cellStyle name="Normal 2 6 3 4 2" xfId="29661"/>
    <cellStyle name="Normal 2 6 3 4 2 2" xfId="29662"/>
    <cellStyle name="Normal 2 6 3 4 2 2 2" xfId="29663"/>
    <cellStyle name="Normal 2 6 3 4 2 2 2 2" xfId="29664"/>
    <cellStyle name="Normal 2 6 3 4 2 2 2 3" xfId="29665"/>
    <cellStyle name="Normal 2 6 3 4 2 2 3" xfId="29666"/>
    <cellStyle name="Normal 2 6 3 4 2 2 4" xfId="29667"/>
    <cellStyle name="Normal 2 6 3 4 2 2 5" xfId="29668"/>
    <cellStyle name="Normal 2 6 3 4 2 2 6" xfId="29669"/>
    <cellStyle name="Normal 2 6 3 4 2 3" xfId="29670"/>
    <cellStyle name="Normal 2 6 3 4 2 3 2" xfId="29671"/>
    <cellStyle name="Normal 2 6 3 4 2 3 2 2" xfId="29672"/>
    <cellStyle name="Normal 2 6 3 4 2 3 3" xfId="29673"/>
    <cellStyle name="Normal 2 6 3 4 2 3 4" xfId="29674"/>
    <cellStyle name="Normal 2 6 3 4 2 3 5" xfId="29675"/>
    <cellStyle name="Normal 2 6 3 4 2 4" xfId="29676"/>
    <cellStyle name="Normal 2 6 3 4 2 4 2" xfId="29677"/>
    <cellStyle name="Normal 2 6 3 4 2 4 3" xfId="29678"/>
    <cellStyle name="Normal 2 6 3 4 2 4 4" xfId="29679"/>
    <cellStyle name="Normal 2 6 3 4 2 5" xfId="29680"/>
    <cellStyle name="Normal 2 6 3 4 2 5 2" xfId="29681"/>
    <cellStyle name="Normal 2 6 3 4 2 6" xfId="29682"/>
    <cellStyle name="Normal 2 6 3 4 2 7" xfId="29683"/>
    <cellStyle name="Normal 2 6 3 4 2 8" xfId="29684"/>
    <cellStyle name="Normal 2 6 3 4 2 9" xfId="29685"/>
    <cellStyle name="Normal 2 6 3 4 3" xfId="29686"/>
    <cellStyle name="Normal 2 6 3 4 3 2" xfId="29687"/>
    <cellStyle name="Normal 2 6 3 4 3 2 2" xfId="29688"/>
    <cellStyle name="Normal 2 6 3 4 3 2 2 2" xfId="29689"/>
    <cellStyle name="Normal 2 6 3 4 3 2 2 3" xfId="29690"/>
    <cellStyle name="Normal 2 6 3 4 3 2 3" xfId="29691"/>
    <cellStyle name="Normal 2 6 3 4 3 2 4" xfId="29692"/>
    <cellStyle name="Normal 2 6 3 4 3 2 5" xfId="29693"/>
    <cellStyle name="Normal 2 6 3 4 3 2 6" xfId="29694"/>
    <cellStyle name="Normal 2 6 3 4 3 3" xfId="29695"/>
    <cellStyle name="Normal 2 6 3 4 3 3 2" xfId="29696"/>
    <cellStyle name="Normal 2 6 3 4 3 3 2 2" xfId="29697"/>
    <cellStyle name="Normal 2 6 3 4 3 3 3" xfId="29698"/>
    <cellStyle name="Normal 2 6 3 4 3 3 4" xfId="29699"/>
    <cellStyle name="Normal 2 6 3 4 3 3 5" xfId="29700"/>
    <cellStyle name="Normal 2 6 3 4 3 4" xfId="29701"/>
    <cellStyle name="Normal 2 6 3 4 3 4 2" xfId="29702"/>
    <cellStyle name="Normal 2 6 3 4 3 4 3" xfId="29703"/>
    <cellStyle name="Normal 2 6 3 4 3 4 4" xfId="29704"/>
    <cellStyle name="Normal 2 6 3 4 3 5" xfId="29705"/>
    <cellStyle name="Normal 2 6 3 4 3 5 2" xfId="29706"/>
    <cellStyle name="Normal 2 6 3 4 3 6" xfId="29707"/>
    <cellStyle name="Normal 2 6 3 4 3 7" xfId="29708"/>
    <cellStyle name="Normal 2 6 3 4 3 8" xfId="29709"/>
    <cellStyle name="Normal 2 6 3 4 3 9" xfId="29710"/>
    <cellStyle name="Normal 2 6 3 4 4" xfId="29711"/>
    <cellStyle name="Normal 2 6 3 4 4 2" xfId="29712"/>
    <cellStyle name="Normal 2 6 3 4 4 2 2" xfId="29713"/>
    <cellStyle name="Normal 2 6 3 4 4 2 3" xfId="29714"/>
    <cellStyle name="Normal 2 6 3 4 4 3" xfId="29715"/>
    <cellStyle name="Normal 2 6 3 4 4 4" xfId="29716"/>
    <cellStyle name="Normal 2 6 3 4 4 5" xfId="29717"/>
    <cellStyle name="Normal 2 6 3 4 4 6" xfId="29718"/>
    <cellStyle name="Normal 2 6 3 4 5" xfId="29719"/>
    <cellStyle name="Normal 2 6 3 4 5 2" xfId="29720"/>
    <cellStyle name="Normal 2 6 3 4 5 2 2" xfId="29721"/>
    <cellStyle name="Normal 2 6 3 4 5 3" xfId="29722"/>
    <cellStyle name="Normal 2 6 3 4 5 4" xfId="29723"/>
    <cellStyle name="Normal 2 6 3 4 5 5" xfId="29724"/>
    <cellStyle name="Normal 2 6 3 4 6" xfId="29725"/>
    <cellStyle name="Normal 2 6 3 4 6 2" xfId="29726"/>
    <cellStyle name="Normal 2 6 3 4 6 3" xfId="29727"/>
    <cellStyle name="Normal 2 6 3 4 6 4" xfId="29728"/>
    <cellStyle name="Normal 2 6 3 4 7" xfId="29729"/>
    <cellStyle name="Normal 2 6 3 4 7 2" xfId="29730"/>
    <cellStyle name="Normal 2 6 3 4 8" xfId="29731"/>
    <cellStyle name="Normal 2 6 3 4 9" xfId="29732"/>
    <cellStyle name="Normal 2 6 3 5" xfId="29733"/>
    <cellStyle name="Normal 2 6 3 5 10" xfId="29734"/>
    <cellStyle name="Normal 2 6 3 5 11" xfId="29735"/>
    <cellStyle name="Normal 2 6 3 5 2" xfId="29736"/>
    <cellStyle name="Normal 2 6 3 5 2 2" xfId="29737"/>
    <cellStyle name="Normal 2 6 3 5 2 2 2" xfId="29738"/>
    <cellStyle name="Normal 2 6 3 5 2 2 2 2" xfId="29739"/>
    <cellStyle name="Normal 2 6 3 5 2 2 2 3" xfId="29740"/>
    <cellStyle name="Normal 2 6 3 5 2 2 3" xfId="29741"/>
    <cellStyle name="Normal 2 6 3 5 2 2 4" xfId="29742"/>
    <cellStyle name="Normal 2 6 3 5 2 2 5" xfId="29743"/>
    <cellStyle name="Normal 2 6 3 5 2 2 6" xfId="29744"/>
    <cellStyle name="Normal 2 6 3 5 2 3" xfId="29745"/>
    <cellStyle name="Normal 2 6 3 5 2 3 2" xfId="29746"/>
    <cellStyle name="Normal 2 6 3 5 2 3 2 2" xfId="29747"/>
    <cellStyle name="Normal 2 6 3 5 2 3 3" xfId="29748"/>
    <cellStyle name="Normal 2 6 3 5 2 3 4" xfId="29749"/>
    <cellStyle name="Normal 2 6 3 5 2 3 5" xfId="29750"/>
    <cellStyle name="Normal 2 6 3 5 2 4" xfId="29751"/>
    <cellStyle name="Normal 2 6 3 5 2 4 2" xfId="29752"/>
    <cellStyle name="Normal 2 6 3 5 2 4 3" xfId="29753"/>
    <cellStyle name="Normal 2 6 3 5 2 4 4" xfId="29754"/>
    <cellStyle name="Normal 2 6 3 5 2 5" xfId="29755"/>
    <cellStyle name="Normal 2 6 3 5 2 5 2" xfId="29756"/>
    <cellStyle name="Normal 2 6 3 5 2 6" xfId="29757"/>
    <cellStyle name="Normal 2 6 3 5 2 7" xfId="29758"/>
    <cellStyle name="Normal 2 6 3 5 2 8" xfId="29759"/>
    <cellStyle name="Normal 2 6 3 5 2 9" xfId="29760"/>
    <cellStyle name="Normal 2 6 3 5 3" xfId="29761"/>
    <cellStyle name="Normal 2 6 3 5 3 2" xfId="29762"/>
    <cellStyle name="Normal 2 6 3 5 3 2 2" xfId="29763"/>
    <cellStyle name="Normal 2 6 3 5 3 2 2 2" xfId="29764"/>
    <cellStyle name="Normal 2 6 3 5 3 2 2 3" xfId="29765"/>
    <cellStyle name="Normal 2 6 3 5 3 2 3" xfId="29766"/>
    <cellStyle name="Normal 2 6 3 5 3 2 4" xfId="29767"/>
    <cellStyle name="Normal 2 6 3 5 3 2 5" xfId="29768"/>
    <cellStyle name="Normal 2 6 3 5 3 2 6" xfId="29769"/>
    <cellStyle name="Normal 2 6 3 5 3 3" xfId="29770"/>
    <cellStyle name="Normal 2 6 3 5 3 3 2" xfId="29771"/>
    <cellStyle name="Normal 2 6 3 5 3 3 2 2" xfId="29772"/>
    <cellStyle name="Normal 2 6 3 5 3 3 3" xfId="29773"/>
    <cellStyle name="Normal 2 6 3 5 3 3 4" xfId="29774"/>
    <cellStyle name="Normal 2 6 3 5 3 3 5" xfId="29775"/>
    <cellStyle name="Normal 2 6 3 5 3 4" xfId="29776"/>
    <cellStyle name="Normal 2 6 3 5 3 4 2" xfId="29777"/>
    <cellStyle name="Normal 2 6 3 5 3 4 3" xfId="29778"/>
    <cellStyle name="Normal 2 6 3 5 3 4 4" xfId="29779"/>
    <cellStyle name="Normal 2 6 3 5 3 5" xfId="29780"/>
    <cellStyle name="Normal 2 6 3 5 3 5 2" xfId="29781"/>
    <cellStyle name="Normal 2 6 3 5 3 6" xfId="29782"/>
    <cellStyle name="Normal 2 6 3 5 3 7" xfId="29783"/>
    <cellStyle name="Normal 2 6 3 5 3 8" xfId="29784"/>
    <cellStyle name="Normal 2 6 3 5 3 9" xfId="29785"/>
    <cellStyle name="Normal 2 6 3 5 4" xfId="29786"/>
    <cellStyle name="Normal 2 6 3 5 4 2" xfId="29787"/>
    <cellStyle name="Normal 2 6 3 5 4 2 2" xfId="29788"/>
    <cellStyle name="Normal 2 6 3 5 4 2 3" xfId="29789"/>
    <cellStyle name="Normal 2 6 3 5 4 3" xfId="29790"/>
    <cellStyle name="Normal 2 6 3 5 4 4" xfId="29791"/>
    <cellStyle name="Normal 2 6 3 5 4 5" xfId="29792"/>
    <cellStyle name="Normal 2 6 3 5 4 6" xfId="29793"/>
    <cellStyle name="Normal 2 6 3 5 5" xfId="29794"/>
    <cellStyle name="Normal 2 6 3 5 5 2" xfId="29795"/>
    <cellStyle name="Normal 2 6 3 5 5 2 2" xfId="29796"/>
    <cellStyle name="Normal 2 6 3 5 5 3" xfId="29797"/>
    <cellStyle name="Normal 2 6 3 5 5 4" xfId="29798"/>
    <cellStyle name="Normal 2 6 3 5 5 5" xfId="29799"/>
    <cellStyle name="Normal 2 6 3 5 6" xfId="29800"/>
    <cellStyle name="Normal 2 6 3 5 6 2" xfId="29801"/>
    <cellStyle name="Normal 2 6 3 5 6 3" xfId="29802"/>
    <cellStyle name="Normal 2 6 3 5 6 4" xfId="29803"/>
    <cellStyle name="Normal 2 6 3 5 7" xfId="29804"/>
    <cellStyle name="Normal 2 6 3 5 7 2" xfId="29805"/>
    <cellStyle name="Normal 2 6 3 5 8" xfId="29806"/>
    <cellStyle name="Normal 2 6 3 5 9" xfId="29807"/>
    <cellStyle name="Normal 2 6 3 6" xfId="29808"/>
    <cellStyle name="Normal 2 6 3 6 10" xfId="29809"/>
    <cellStyle name="Normal 2 6 3 6 11" xfId="29810"/>
    <cellStyle name="Normal 2 6 3 6 2" xfId="29811"/>
    <cellStyle name="Normal 2 6 3 6 2 2" xfId="29812"/>
    <cellStyle name="Normal 2 6 3 6 2 2 2" xfId="29813"/>
    <cellStyle name="Normal 2 6 3 6 2 2 2 2" xfId="29814"/>
    <cellStyle name="Normal 2 6 3 6 2 2 2 3" xfId="29815"/>
    <cellStyle name="Normal 2 6 3 6 2 2 3" xfId="29816"/>
    <cellStyle name="Normal 2 6 3 6 2 2 4" xfId="29817"/>
    <cellStyle name="Normal 2 6 3 6 2 2 5" xfId="29818"/>
    <cellStyle name="Normal 2 6 3 6 2 2 6" xfId="29819"/>
    <cellStyle name="Normal 2 6 3 6 2 3" xfId="29820"/>
    <cellStyle name="Normal 2 6 3 6 2 3 2" xfId="29821"/>
    <cellStyle name="Normal 2 6 3 6 2 3 2 2" xfId="29822"/>
    <cellStyle name="Normal 2 6 3 6 2 3 3" xfId="29823"/>
    <cellStyle name="Normal 2 6 3 6 2 3 4" xfId="29824"/>
    <cellStyle name="Normal 2 6 3 6 2 3 5" xfId="29825"/>
    <cellStyle name="Normal 2 6 3 6 2 4" xfId="29826"/>
    <cellStyle name="Normal 2 6 3 6 2 4 2" xfId="29827"/>
    <cellStyle name="Normal 2 6 3 6 2 4 3" xfId="29828"/>
    <cellStyle name="Normal 2 6 3 6 2 4 4" xfId="29829"/>
    <cellStyle name="Normal 2 6 3 6 2 5" xfId="29830"/>
    <cellStyle name="Normal 2 6 3 6 2 5 2" xfId="29831"/>
    <cellStyle name="Normal 2 6 3 6 2 6" xfId="29832"/>
    <cellStyle name="Normal 2 6 3 6 2 7" xfId="29833"/>
    <cellStyle name="Normal 2 6 3 6 2 8" xfId="29834"/>
    <cellStyle name="Normal 2 6 3 6 2 9" xfId="29835"/>
    <cellStyle name="Normal 2 6 3 6 3" xfId="29836"/>
    <cellStyle name="Normal 2 6 3 6 3 2" xfId="29837"/>
    <cellStyle name="Normal 2 6 3 6 3 2 2" xfId="29838"/>
    <cellStyle name="Normal 2 6 3 6 3 2 2 2" xfId="29839"/>
    <cellStyle name="Normal 2 6 3 6 3 2 2 3" xfId="29840"/>
    <cellStyle name="Normal 2 6 3 6 3 2 3" xfId="29841"/>
    <cellStyle name="Normal 2 6 3 6 3 2 4" xfId="29842"/>
    <cellStyle name="Normal 2 6 3 6 3 2 5" xfId="29843"/>
    <cellStyle name="Normal 2 6 3 6 3 2 6" xfId="29844"/>
    <cellStyle name="Normal 2 6 3 6 3 3" xfId="29845"/>
    <cellStyle name="Normal 2 6 3 6 3 3 2" xfId="29846"/>
    <cellStyle name="Normal 2 6 3 6 3 3 2 2" xfId="29847"/>
    <cellStyle name="Normal 2 6 3 6 3 3 3" xfId="29848"/>
    <cellStyle name="Normal 2 6 3 6 3 3 4" xfId="29849"/>
    <cellStyle name="Normal 2 6 3 6 3 3 5" xfId="29850"/>
    <cellStyle name="Normal 2 6 3 6 3 4" xfId="29851"/>
    <cellStyle name="Normal 2 6 3 6 3 4 2" xfId="29852"/>
    <cellStyle name="Normal 2 6 3 6 3 4 3" xfId="29853"/>
    <cellStyle name="Normal 2 6 3 6 3 4 4" xfId="29854"/>
    <cellStyle name="Normal 2 6 3 6 3 5" xfId="29855"/>
    <cellStyle name="Normal 2 6 3 6 3 5 2" xfId="29856"/>
    <cellStyle name="Normal 2 6 3 6 3 6" xfId="29857"/>
    <cellStyle name="Normal 2 6 3 6 3 7" xfId="29858"/>
    <cellStyle name="Normal 2 6 3 6 3 8" xfId="29859"/>
    <cellStyle name="Normal 2 6 3 6 3 9" xfId="29860"/>
    <cellStyle name="Normal 2 6 3 6 4" xfId="29861"/>
    <cellStyle name="Normal 2 6 3 6 4 2" xfId="29862"/>
    <cellStyle name="Normal 2 6 3 6 4 2 2" xfId="29863"/>
    <cellStyle name="Normal 2 6 3 6 4 2 3" xfId="29864"/>
    <cellStyle name="Normal 2 6 3 6 4 3" xfId="29865"/>
    <cellStyle name="Normal 2 6 3 6 4 4" xfId="29866"/>
    <cellStyle name="Normal 2 6 3 6 4 5" xfId="29867"/>
    <cellStyle name="Normal 2 6 3 6 4 6" xfId="29868"/>
    <cellStyle name="Normal 2 6 3 6 5" xfId="29869"/>
    <cellStyle name="Normal 2 6 3 6 5 2" xfId="29870"/>
    <cellStyle name="Normal 2 6 3 6 5 2 2" xfId="29871"/>
    <cellStyle name="Normal 2 6 3 6 5 3" xfId="29872"/>
    <cellStyle name="Normal 2 6 3 6 5 4" xfId="29873"/>
    <cellStyle name="Normal 2 6 3 6 5 5" xfId="29874"/>
    <cellStyle name="Normal 2 6 3 6 6" xfId="29875"/>
    <cellStyle name="Normal 2 6 3 6 6 2" xfId="29876"/>
    <cellStyle name="Normal 2 6 3 6 6 3" xfId="29877"/>
    <cellStyle name="Normal 2 6 3 6 6 4" xfId="29878"/>
    <cellStyle name="Normal 2 6 3 6 7" xfId="29879"/>
    <cellStyle name="Normal 2 6 3 6 7 2" xfId="29880"/>
    <cellStyle name="Normal 2 6 3 6 8" xfId="29881"/>
    <cellStyle name="Normal 2 6 3 6 9" xfId="29882"/>
    <cellStyle name="Normal 2 6 3 7" xfId="29883"/>
    <cellStyle name="Normal 2 6 3 7 10" xfId="29884"/>
    <cellStyle name="Normal 2 6 3 7 11" xfId="29885"/>
    <cellStyle name="Normal 2 6 3 7 2" xfId="29886"/>
    <cellStyle name="Normal 2 6 3 7 2 2" xfId="29887"/>
    <cellStyle name="Normal 2 6 3 7 2 2 2" xfId="29888"/>
    <cellStyle name="Normal 2 6 3 7 2 2 2 2" xfId="29889"/>
    <cellStyle name="Normal 2 6 3 7 2 2 2 3" xfId="29890"/>
    <cellStyle name="Normal 2 6 3 7 2 2 3" xfId="29891"/>
    <cellStyle name="Normal 2 6 3 7 2 2 4" xfId="29892"/>
    <cellStyle name="Normal 2 6 3 7 2 2 5" xfId="29893"/>
    <cellStyle name="Normal 2 6 3 7 2 2 6" xfId="29894"/>
    <cellStyle name="Normal 2 6 3 7 2 3" xfId="29895"/>
    <cellStyle name="Normal 2 6 3 7 2 3 2" xfId="29896"/>
    <cellStyle name="Normal 2 6 3 7 2 3 2 2" xfId="29897"/>
    <cellStyle name="Normal 2 6 3 7 2 3 3" xfId="29898"/>
    <cellStyle name="Normal 2 6 3 7 2 3 4" xfId="29899"/>
    <cellStyle name="Normal 2 6 3 7 2 3 5" xfId="29900"/>
    <cellStyle name="Normal 2 6 3 7 2 4" xfId="29901"/>
    <cellStyle name="Normal 2 6 3 7 2 4 2" xfId="29902"/>
    <cellStyle name="Normal 2 6 3 7 2 4 3" xfId="29903"/>
    <cellStyle name="Normal 2 6 3 7 2 4 4" xfId="29904"/>
    <cellStyle name="Normal 2 6 3 7 2 5" xfId="29905"/>
    <cellStyle name="Normal 2 6 3 7 2 5 2" xfId="29906"/>
    <cellStyle name="Normal 2 6 3 7 2 6" xfId="29907"/>
    <cellStyle name="Normal 2 6 3 7 2 7" xfId="29908"/>
    <cellStyle name="Normal 2 6 3 7 2 8" xfId="29909"/>
    <cellStyle name="Normal 2 6 3 7 2 9" xfId="29910"/>
    <cellStyle name="Normal 2 6 3 7 3" xfId="29911"/>
    <cellStyle name="Normal 2 6 3 7 3 2" xfId="29912"/>
    <cellStyle name="Normal 2 6 3 7 3 2 2" xfId="29913"/>
    <cellStyle name="Normal 2 6 3 7 3 2 2 2" xfId="29914"/>
    <cellStyle name="Normal 2 6 3 7 3 2 2 3" xfId="29915"/>
    <cellStyle name="Normal 2 6 3 7 3 2 3" xfId="29916"/>
    <cellStyle name="Normal 2 6 3 7 3 2 4" xfId="29917"/>
    <cellStyle name="Normal 2 6 3 7 3 2 5" xfId="29918"/>
    <cellStyle name="Normal 2 6 3 7 3 2 6" xfId="29919"/>
    <cellStyle name="Normal 2 6 3 7 3 3" xfId="29920"/>
    <cellStyle name="Normal 2 6 3 7 3 3 2" xfId="29921"/>
    <cellStyle name="Normal 2 6 3 7 3 3 2 2" xfId="29922"/>
    <cellStyle name="Normal 2 6 3 7 3 3 3" xfId="29923"/>
    <cellStyle name="Normal 2 6 3 7 3 3 4" xfId="29924"/>
    <cellStyle name="Normal 2 6 3 7 3 3 5" xfId="29925"/>
    <cellStyle name="Normal 2 6 3 7 3 4" xfId="29926"/>
    <cellStyle name="Normal 2 6 3 7 3 4 2" xfId="29927"/>
    <cellStyle name="Normal 2 6 3 7 3 4 3" xfId="29928"/>
    <cellStyle name="Normal 2 6 3 7 3 4 4" xfId="29929"/>
    <cellStyle name="Normal 2 6 3 7 3 5" xfId="29930"/>
    <cellStyle name="Normal 2 6 3 7 3 5 2" xfId="29931"/>
    <cellStyle name="Normal 2 6 3 7 3 6" xfId="29932"/>
    <cellStyle name="Normal 2 6 3 7 3 7" xfId="29933"/>
    <cellStyle name="Normal 2 6 3 7 3 8" xfId="29934"/>
    <cellStyle name="Normal 2 6 3 7 3 9" xfId="29935"/>
    <cellStyle name="Normal 2 6 3 7 4" xfId="29936"/>
    <cellStyle name="Normal 2 6 3 7 4 2" xfId="29937"/>
    <cellStyle name="Normal 2 6 3 7 4 2 2" xfId="29938"/>
    <cellStyle name="Normal 2 6 3 7 4 2 3" xfId="29939"/>
    <cellStyle name="Normal 2 6 3 7 4 3" xfId="29940"/>
    <cellStyle name="Normal 2 6 3 7 4 4" xfId="29941"/>
    <cellStyle name="Normal 2 6 3 7 4 5" xfId="29942"/>
    <cellStyle name="Normal 2 6 3 7 4 6" xfId="29943"/>
    <cellStyle name="Normal 2 6 3 7 5" xfId="29944"/>
    <cellStyle name="Normal 2 6 3 7 5 2" xfId="29945"/>
    <cellStyle name="Normal 2 6 3 7 5 2 2" xfId="29946"/>
    <cellStyle name="Normal 2 6 3 7 5 3" xfId="29947"/>
    <cellStyle name="Normal 2 6 3 7 5 4" xfId="29948"/>
    <cellStyle name="Normal 2 6 3 7 5 5" xfId="29949"/>
    <cellStyle name="Normal 2 6 3 7 6" xfId="29950"/>
    <cellStyle name="Normal 2 6 3 7 6 2" xfId="29951"/>
    <cellStyle name="Normal 2 6 3 7 6 3" xfId="29952"/>
    <cellStyle name="Normal 2 6 3 7 6 4" xfId="29953"/>
    <cellStyle name="Normal 2 6 3 7 7" xfId="29954"/>
    <cellStyle name="Normal 2 6 3 7 7 2" xfId="29955"/>
    <cellStyle name="Normal 2 6 3 7 8" xfId="29956"/>
    <cellStyle name="Normal 2 6 3 7 9" xfId="29957"/>
    <cellStyle name="Normal 2 6 3 8" xfId="29958"/>
    <cellStyle name="Normal 2 6 3 8 10" xfId="29959"/>
    <cellStyle name="Normal 2 6 3 8 2" xfId="29960"/>
    <cellStyle name="Normal 2 6 3 8 2 2" xfId="29961"/>
    <cellStyle name="Normal 2 6 3 8 2 2 2" xfId="29962"/>
    <cellStyle name="Normal 2 6 3 8 2 2 3" xfId="29963"/>
    <cellStyle name="Normal 2 6 3 8 2 3" xfId="29964"/>
    <cellStyle name="Normal 2 6 3 8 2 4" xfId="29965"/>
    <cellStyle name="Normal 2 6 3 8 2 5" xfId="29966"/>
    <cellStyle name="Normal 2 6 3 8 2 6" xfId="29967"/>
    <cellStyle name="Normal 2 6 3 8 3" xfId="29968"/>
    <cellStyle name="Normal 2 6 3 8 3 2" xfId="29969"/>
    <cellStyle name="Normal 2 6 3 8 3 2 2" xfId="29970"/>
    <cellStyle name="Normal 2 6 3 8 3 2 3" xfId="29971"/>
    <cellStyle name="Normal 2 6 3 8 3 3" xfId="29972"/>
    <cellStyle name="Normal 2 6 3 8 3 4" xfId="29973"/>
    <cellStyle name="Normal 2 6 3 8 3 5" xfId="29974"/>
    <cellStyle name="Normal 2 6 3 8 3 6" xfId="29975"/>
    <cellStyle name="Normal 2 6 3 8 4" xfId="29976"/>
    <cellStyle name="Normal 2 6 3 8 4 2" xfId="29977"/>
    <cellStyle name="Normal 2 6 3 8 4 2 2" xfId="29978"/>
    <cellStyle name="Normal 2 6 3 8 4 3" xfId="29979"/>
    <cellStyle name="Normal 2 6 3 8 4 4" xfId="29980"/>
    <cellStyle name="Normal 2 6 3 8 4 5" xfId="29981"/>
    <cellStyle name="Normal 2 6 3 8 5" xfId="29982"/>
    <cellStyle name="Normal 2 6 3 8 5 2" xfId="29983"/>
    <cellStyle name="Normal 2 6 3 8 5 3" xfId="29984"/>
    <cellStyle name="Normal 2 6 3 8 5 4" xfId="29985"/>
    <cellStyle name="Normal 2 6 3 8 6" xfId="29986"/>
    <cellStyle name="Normal 2 6 3 8 6 2" xfId="29987"/>
    <cellStyle name="Normal 2 6 3 8 7" xfId="29988"/>
    <cellStyle name="Normal 2 6 3 8 8" xfId="29989"/>
    <cellStyle name="Normal 2 6 3 8 9" xfId="29990"/>
    <cellStyle name="Normal 2 6 3 9" xfId="29991"/>
    <cellStyle name="Normal 2 6 3 9 10" xfId="29992"/>
    <cellStyle name="Normal 2 6 3 9 2" xfId="29993"/>
    <cellStyle name="Normal 2 6 3 9 2 2" xfId="29994"/>
    <cellStyle name="Normal 2 6 3 9 2 2 2" xfId="29995"/>
    <cellStyle name="Normal 2 6 3 9 2 2 3" xfId="29996"/>
    <cellStyle name="Normal 2 6 3 9 2 3" xfId="29997"/>
    <cellStyle name="Normal 2 6 3 9 2 4" xfId="29998"/>
    <cellStyle name="Normal 2 6 3 9 2 5" xfId="29999"/>
    <cellStyle name="Normal 2 6 3 9 2 6" xfId="30000"/>
    <cellStyle name="Normal 2 6 3 9 3" xfId="30001"/>
    <cellStyle name="Normal 2 6 3 9 3 2" xfId="30002"/>
    <cellStyle name="Normal 2 6 3 9 3 2 2" xfId="30003"/>
    <cellStyle name="Normal 2 6 3 9 3 2 3" xfId="30004"/>
    <cellStyle name="Normal 2 6 3 9 3 3" xfId="30005"/>
    <cellStyle name="Normal 2 6 3 9 3 4" xfId="30006"/>
    <cellStyle name="Normal 2 6 3 9 3 5" xfId="30007"/>
    <cellStyle name="Normal 2 6 3 9 3 6" xfId="30008"/>
    <cellStyle name="Normal 2 6 3 9 4" xfId="30009"/>
    <cellStyle name="Normal 2 6 3 9 4 2" xfId="30010"/>
    <cellStyle name="Normal 2 6 3 9 4 2 2" xfId="30011"/>
    <cellStyle name="Normal 2 6 3 9 4 3" xfId="30012"/>
    <cellStyle name="Normal 2 6 3 9 4 4" xfId="30013"/>
    <cellStyle name="Normal 2 6 3 9 4 5" xfId="30014"/>
    <cellStyle name="Normal 2 6 3 9 5" xfId="30015"/>
    <cellStyle name="Normal 2 6 3 9 5 2" xfId="30016"/>
    <cellStyle name="Normal 2 6 3 9 5 3" xfId="30017"/>
    <cellStyle name="Normal 2 6 3 9 5 4" xfId="30018"/>
    <cellStyle name="Normal 2 6 3 9 6" xfId="30019"/>
    <cellStyle name="Normal 2 6 3 9 6 2" xfId="30020"/>
    <cellStyle name="Normal 2 6 3 9 7" xfId="30021"/>
    <cellStyle name="Normal 2 6 3 9 8" xfId="30022"/>
    <cellStyle name="Normal 2 6 3 9 9" xfId="30023"/>
    <cellStyle name="Normal 2 6 30" xfId="30024"/>
    <cellStyle name="Normal 2 6 30 2" xfId="30025"/>
    <cellStyle name="Normal 2 6 30 2 2" xfId="30026"/>
    <cellStyle name="Normal 2 6 30 2 2 2" xfId="30027"/>
    <cellStyle name="Normal 2 6 30 2 2 3" xfId="30028"/>
    <cellStyle name="Normal 2 6 30 2 3" xfId="30029"/>
    <cellStyle name="Normal 2 6 30 2 4" xfId="30030"/>
    <cellStyle name="Normal 2 6 30 2 5" xfId="30031"/>
    <cellStyle name="Normal 2 6 30 2 6" xfId="30032"/>
    <cellStyle name="Normal 2 6 30 3" xfId="30033"/>
    <cellStyle name="Normal 2 6 30 3 2" xfId="30034"/>
    <cellStyle name="Normal 2 6 30 3 2 2" xfId="30035"/>
    <cellStyle name="Normal 2 6 30 3 3" xfId="30036"/>
    <cellStyle name="Normal 2 6 30 3 4" xfId="30037"/>
    <cellStyle name="Normal 2 6 30 3 5" xfId="30038"/>
    <cellStyle name="Normal 2 6 30 4" xfId="30039"/>
    <cellStyle name="Normal 2 6 30 4 2" xfId="30040"/>
    <cellStyle name="Normal 2 6 30 4 3" xfId="30041"/>
    <cellStyle name="Normal 2 6 30 4 4" xfId="30042"/>
    <cellStyle name="Normal 2 6 30 5" xfId="30043"/>
    <cellStyle name="Normal 2 6 30 5 2" xfId="30044"/>
    <cellStyle name="Normal 2 6 30 6" xfId="30045"/>
    <cellStyle name="Normal 2 6 30 7" xfId="30046"/>
    <cellStyle name="Normal 2 6 30 8" xfId="30047"/>
    <cellStyle name="Normal 2 6 30 9" xfId="30048"/>
    <cellStyle name="Normal 2 6 31" xfId="30049"/>
    <cellStyle name="Normal 2 6 31 2" xfId="30050"/>
    <cellStyle name="Normal 2 6 31 2 2" xfId="30051"/>
    <cellStyle name="Normal 2 6 31 2 2 2" xfId="30052"/>
    <cellStyle name="Normal 2 6 31 2 2 3" xfId="30053"/>
    <cellStyle name="Normal 2 6 31 2 3" xfId="30054"/>
    <cellStyle name="Normal 2 6 31 2 4" xfId="30055"/>
    <cellStyle name="Normal 2 6 31 2 5" xfId="30056"/>
    <cellStyle name="Normal 2 6 31 2 6" xfId="30057"/>
    <cellStyle name="Normal 2 6 31 3" xfId="30058"/>
    <cellStyle name="Normal 2 6 31 3 2" xfId="30059"/>
    <cellStyle name="Normal 2 6 31 3 2 2" xfId="30060"/>
    <cellStyle name="Normal 2 6 31 3 3" xfId="30061"/>
    <cellStyle name="Normal 2 6 31 3 4" xfId="30062"/>
    <cellStyle name="Normal 2 6 31 3 5" xfId="30063"/>
    <cellStyle name="Normal 2 6 31 4" xfId="30064"/>
    <cellStyle name="Normal 2 6 31 4 2" xfId="30065"/>
    <cellStyle name="Normal 2 6 31 4 3" xfId="30066"/>
    <cellStyle name="Normal 2 6 31 4 4" xfId="30067"/>
    <cellStyle name="Normal 2 6 31 5" xfId="30068"/>
    <cellStyle name="Normal 2 6 31 5 2" xfId="30069"/>
    <cellStyle name="Normal 2 6 31 6" xfId="30070"/>
    <cellStyle name="Normal 2 6 31 7" xfId="30071"/>
    <cellStyle name="Normal 2 6 31 8" xfId="30072"/>
    <cellStyle name="Normal 2 6 31 9" xfId="30073"/>
    <cellStyle name="Normal 2 6 32" xfId="30074"/>
    <cellStyle name="Normal 2 6 32 2" xfId="30075"/>
    <cellStyle name="Normal 2 6 32 2 2" xfId="30076"/>
    <cellStyle name="Normal 2 6 32 2 3" xfId="30077"/>
    <cellStyle name="Normal 2 6 32 3" xfId="30078"/>
    <cellStyle name="Normal 2 6 32 4" xfId="30079"/>
    <cellStyle name="Normal 2 6 32 5" xfId="30080"/>
    <cellStyle name="Normal 2 6 32 6" xfId="30081"/>
    <cellStyle name="Normal 2 6 33" xfId="30082"/>
    <cellStyle name="Normal 2 6 33 2" xfId="30083"/>
    <cellStyle name="Normal 2 6 33 2 2" xfId="30084"/>
    <cellStyle name="Normal 2 6 33 3" xfId="30085"/>
    <cellStyle name="Normal 2 6 33 4" xfId="30086"/>
    <cellStyle name="Normal 2 6 33 5" xfId="30087"/>
    <cellStyle name="Normal 2 6 34" xfId="30088"/>
    <cellStyle name="Normal 2 6 34 2" xfId="30089"/>
    <cellStyle name="Normal 2 6 34 2 2" xfId="30090"/>
    <cellStyle name="Normal 2 6 34 3" xfId="30091"/>
    <cellStyle name="Normal 2 6 34 4" xfId="30092"/>
    <cellStyle name="Normal 2 6 34 5" xfId="30093"/>
    <cellStyle name="Normal 2 6 35" xfId="30094"/>
    <cellStyle name="Normal 2 6 35 2" xfId="30095"/>
    <cellStyle name="Normal 2 6 36" xfId="30096"/>
    <cellStyle name="Normal 2 6 37" xfId="30097"/>
    <cellStyle name="Normal 2 6 38" xfId="30098"/>
    <cellStyle name="Normal 2 6 39" xfId="30099"/>
    <cellStyle name="Normal 2 6 4" xfId="30100"/>
    <cellStyle name="Normal 2 6 4 10" xfId="30101"/>
    <cellStyle name="Normal 2 6 4 10 10" xfId="30102"/>
    <cellStyle name="Normal 2 6 4 10 2" xfId="30103"/>
    <cellStyle name="Normal 2 6 4 10 2 2" xfId="30104"/>
    <cellStyle name="Normal 2 6 4 10 2 2 2" xfId="30105"/>
    <cellStyle name="Normal 2 6 4 10 2 2 3" xfId="30106"/>
    <cellStyle name="Normal 2 6 4 10 2 3" xfId="30107"/>
    <cellStyle name="Normal 2 6 4 10 2 4" xfId="30108"/>
    <cellStyle name="Normal 2 6 4 10 2 5" xfId="30109"/>
    <cellStyle name="Normal 2 6 4 10 2 6" xfId="30110"/>
    <cellStyle name="Normal 2 6 4 10 3" xfId="30111"/>
    <cellStyle name="Normal 2 6 4 10 3 2" xfId="30112"/>
    <cellStyle name="Normal 2 6 4 10 3 2 2" xfId="30113"/>
    <cellStyle name="Normal 2 6 4 10 3 2 3" xfId="30114"/>
    <cellStyle name="Normal 2 6 4 10 3 3" xfId="30115"/>
    <cellStyle name="Normal 2 6 4 10 3 4" xfId="30116"/>
    <cellStyle name="Normal 2 6 4 10 3 5" xfId="30117"/>
    <cellStyle name="Normal 2 6 4 10 3 6" xfId="30118"/>
    <cellStyle name="Normal 2 6 4 10 4" xfId="30119"/>
    <cellStyle name="Normal 2 6 4 10 4 2" xfId="30120"/>
    <cellStyle name="Normal 2 6 4 10 4 2 2" xfId="30121"/>
    <cellStyle name="Normal 2 6 4 10 4 3" xfId="30122"/>
    <cellStyle name="Normal 2 6 4 10 4 4" xfId="30123"/>
    <cellStyle name="Normal 2 6 4 10 4 5" xfId="30124"/>
    <cellStyle name="Normal 2 6 4 10 5" xfId="30125"/>
    <cellStyle name="Normal 2 6 4 10 5 2" xfId="30126"/>
    <cellStyle name="Normal 2 6 4 10 5 3" xfId="30127"/>
    <cellStyle name="Normal 2 6 4 10 5 4" xfId="30128"/>
    <cellStyle name="Normal 2 6 4 10 6" xfId="30129"/>
    <cellStyle name="Normal 2 6 4 10 6 2" xfId="30130"/>
    <cellStyle name="Normal 2 6 4 10 7" xfId="30131"/>
    <cellStyle name="Normal 2 6 4 10 8" xfId="30132"/>
    <cellStyle name="Normal 2 6 4 10 9" xfId="30133"/>
    <cellStyle name="Normal 2 6 4 11" xfId="30134"/>
    <cellStyle name="Normal 2 6 4 11 10" xfId="30135"/>
    <cellStyle name="Normal 2 6 4 11 2" xfId="30136"/>
    <cellStyle name="Normal 2 6 4 11 2 2" xfId="30137"/>
    <cellStyle name="Normal 2 6 4 11 2 2 2" xfId="30138"/>
    <cellStyle name="Normal 2 6 4 11 2 2 3" xfId="30139"/>
    <cellStyle name="Normal 2 6 4 11 2 3" xfId="30140"/>
    <cellStyle name="Normal 2 6 4 11 2 4" xfId="30141"/>
    <cellStyle name="Normal 2 6 4 11 2 5" xfId="30142"/>
    <cellStyle name="Normal 2 6 4 11 2 6" xfId="30143"/>
    <cellStyle name="Normal 2 6 4 11 3" xfId="30144"/>
    <cellStyle name="Normal 2 6 4 11 3 2" xfId="30145"/>
    <cellStyle name="Normal 2 6 4 11 3 2 2" xfId="30146"/>
    <cellStyle name="Normal 2 6 4 11 3 2 3" xfId="30147"/>
    <cellStyle name="Normal 2 6 4 11 3 3" xfId="30148"/>
    <cellStyle name="Normal 2 6 4 11 3 4" xfId="30149"/>
    <cellStyle name="Normal 2 6 4 11 3 5" xfId="30150"/>
    <cellStyle name="Normal 2 6 4 11 3 6" xfId="30151"/>
    <cellStyle name="Normal 2 6 4 11 4" xfId="30152"/>
    <cellStyle name="Normal 2 6 4 11 4 2" xfId="30153"/>
    <cellStyle name="Normal 2 6 4 11 4 2 2" xfId="30154"/>
    <cellStyle name="Normal 2 6 4 11 4 3" xfId="30155"/>
    <cellStyle name="Normal 2 6 4 11 4 4" xfId="30156"/>
    <cellStyle name="Normal 2 6 4 11 4 5" xfId="30157"/>
    <cellStyle name="Normal 2 6 4 11 5" xfId="30158"/>
    <cellStyle name="Normal 2 6 4 11 5 2" xfId="30159"/>
    <cellStyle name="Normal 2 6 4 11 5 3" xfId="30160"/>
    <cellStyle name="Normal 2 6 4 11 5 4" xfId="30161"/>
    <cellStyle name="Normal 2 6 4 11 6" xfId="30162"/>
    <cellStyle name="Normal 2 6 4 11 6 2" xfId="30163"/>
    <cellStyle name="Normal 2 6 4 11 7" xfId="30164"/>
    <cellStyle name="Normal 2 6 4 11 8" xfId="30165"/>
    <cellStyle name="Normal 2 6 4 11 9" xfId="30166"/>
    <cellStyle name="Normal 2 6 4 12" xfId="30167"/>
    <cellStyle name="Normal 2 6 4 12 10" xfId="30168"/>
    <cellStyle name="Normal 2 6 4 12 2" xfId="30169"/>
    <cellStyle name="Normal 2 6 4 12 2 2" xfId="30170"/>
    <cellStyle name="Normal 2 6 4 12 2 2 2" xfId="30171"/>
    <cellStyle name="Normal 2 6 4 12 2 2 3" xfId="30172"/>
    <cellStyle name="Normal 2 6 4 12 2 3" xfId="30173"/>
    <cellStyle name="Normal 2 6 4 12 2 4" xfId="30174"/>
    <cellStyle name="Normal 2 6 4 12 2 5" xfId="30175"/>
    <cellStyle name="Normal 2 6 4 12 2 6" xfId="30176"/>
    <cellStyle name="Normal 2 6 4 12 3" xfId="30177"/>
    <cellStyle name="Normal 2 6 4 12 3 2" xfId="30178"/>
    <cellStyle name="Normal 2 6 4 12 3 2 2" xfId="30179"/>
    <cellStyle name="Normal 2 6 4 12 3 2 3" xfId="30180"/>
    <cellStyle name="Normal 2 6 4 12 3 3" xfId="30181"/>
    <cellStyle name="Normal 2 6 4 12 3 4" xfId="30182"/>
    <cellStyle name="Normal 2 6 4 12 3 5" xfId="30183"/>
    <cellStyle name="Normal 2 6 4 12 3 6" xfId="30184"/>
    <cellStyle name="Normal 2 6 4 12 4" xfId="30185"/>
    <cellStyle name="Normal 2 6 4 12 4 2" xfId="30186"/>
    <cellStyle name="Normal 2 6 4 12 4 2 2" xfId="30187"/>
    <cellStyle name="Normal 2 6 4 12 4 3" xfId="30188"/>
    <cellStyle name="Normal 2 6 4 12 4 4" xfId="30189"/>
    <cellStyle name="Normal 2 6 4 12 4 5" xfId="30190"/>
    <cellStyle name="Normal 2 6 4 12 5" xfId="30191"/>
    <cellStyle name="Normal 2 6 4 12 5 2" xfId="30192"/>
    <cellStyle name="Normal 2 6 4 12 5 3" xfId="30193"/>
    <cellStyle name="Normal 2 6 4 12 5 4" xfId="30194"/>
    <cellStyle name="Normal 2 6 4 12 6" xfId="30195"/>
    <cellStyle name="Normal 2 6 4 12 6 2" xfId="30196"/>
    <cellStyle name="Normal 2 6 4 12 7" xfId="30197"/>
    <cellStyle name="Normal 2 6 4 12 8" xfId="30198"/>
    <cellStyle name="Normal 2 6 4 12 9" xfId="30199"/>
    <cellStyle name="Normal 2 6 4 13" xfId="30200"/>
    <cellStyle name="Normal 2 6 4 13 2" xfId="30201"/>
    <cellStyle name="Normal 2 6 4 13 2 2" xfId="30202"/>
    <cellStyle name="Normal 2 6 4 13 2 2 2" xfId="30203"/>
    <cellStyle name="Normal 2 6 4 13 2 2 3" xfId="30204"/>
    <cellStyle name="Normal 2 6 4 13 2 3" xfId="30205"/>
    <cellStyle name="Normal 2 6 4 13 2 4" xfId="30206"/>
    <cellStyle name="Normal 2 6 4 13 2 5" xfId="30207"/>
    <cellStyle name="Normal 2 6 4 13 2 6" xfId="30208"/>
    <cellStyle name="Normal 2 6 4 13 3" xfId="30209"/>
    <cellStyle name="Normal 2 6 4 13 3 2" xfId="30210"/>
    <cellStyle name="Normal 2 6 4 13 3 2 2" xfId="30211"/>
    <cellStyle name="Normal 2 6 4 13 3 3" xfId="30212"/>
    <cellStyle name="Normal 2 6 4 13 3 4" xfId="30213"/>
    <cellStyle name="Normal 2 6 4 13 3 5" xfId="30214"/>
    <cellStyle name="Normal 2 6 4 13 4" xfId="30215"/>
    <cellStyle name="Normal 2 6 4 13 4 2" xfId="30216"/>
    <cellStyle name="Normal 2 6 4 13 4 3" xfId="30217"/>
    <cellStyle name="Normal 2 6 4 13 4 4" xfId="30218"/>
    <cellStyle name="Normal 2 6 4 13 5" xfId="30219"/>
    <cellStyle name="Normal 2 6 4 13 5 2" xfId="30220"/>
    <cellStyle name="Normal 2 6 4 13 6" xfId="30221"/>
    <cellStyle name="Normal 2 6 4 13 7" xfId="30222"/>
    <cellStyle name="Normal 2 6 4 13 8" xfId="30223"/>
    <cellStyle name="Normal 2 6 4 13 9" xfId="30224"/>
    <cellStyle name="Normal 2 6 4 14" xfId="30225"/>
    <cellStyle name="Normal 2 6 4 14 2" xfId="30226"/>
    <cellStyle name="Normal 2 6 4 14 2 2" xfId="30227"/>
    <cellStyle name="Normal 2 6 4 14 2 2 2" xfId="30228"/>
    <cellStyle name="Normal 2 6 4 14 2 2 3" xfId="30229"/>
    <cellStyle name="Normal 2 6 4 14 2 3" xfId="30230"/>
    <cellStyle name="Normal 2 6 4 14 2 4" xfId="30231"/>
    <cellStyle name="Normal 2 6 4 14 2 5" xfId="30232"/>
    <cellStyle name="Normal 2 6 4 14 2 6" xfId="30233"/>
    <cellStyle name="Normal 2 6 4 14 3" xfId="30234"/>
    <cellStyle name="Normal 2 6 4 14 3 2" xfId="30235"/>
    <cellStyle name="Normal 2 6 4 14 3 2 2" xfId="30236"/>
    <cellStyle name="Normal 2 6 4 14 3 3" xfId="30237"/>
    <cellStyle name="Normal 2 6 4 14 3 4" xfId="30238"/>
    <cellStyle name="Normal 2 6 4 14 3 5" xfId="30239"/>
    <cellStyle name="Normal 2 6 4 14 4" xfId="30240"/>
    <cellStyle name="Normal 2 6 4 14 4 2" xfId="30241"/>
    <cellStyle name="Normal 2 6 4 14 4 3" xfId="30242"/>
    <cellStyle name="Normal 2 6 4 14 4 4" xfId="30243"/>
    <cellStyle name="Normal 2 6 4 14 5" xfId="30244"/>
    <cellStyle name="Normal 2 6 4 14 5 2" xfId="30245"/>
    <cellStyle name="Normal 2 6 4 14 6" xfId="30246"/>
    <cellStyle name="Normal 2 6 4 14 7" xfId="30247"/>
    <cellStyle name="Normal 2 6 4 14 8" xfId="30248"/>
    <cellStyle name="Normal 2 6 4 14 9" xfId="30249"/>
    <cellStyle name="Normal 2 6 4 15" xfId="30250"/>
    <cellStyle name="Normal 2 6 4 15 2" xfId="30251"/>
    <cellStyle name="Normal 2 6 4 15 2 2" xfId="30252"/>
    <cellStyle name="Normal 2 6 4 15 2 3" xfId="30253"/>
    <cellStyle name="Normal 2 6 4 15 3" xfId="30254"/>
    <cellStyle name="Normal 2 6 4 15 4" xfId="30255"/>
    <cellStyle name="Normal 2 6 4 15 5" xfId="30256"/>
    <cellStyle name="Normal 2 6 4 15 6" xfId="30257"/>
    <cellStyle name="Normal 2 6 4 16" xfId="30258"/>
    <cellStyle name="Normal 2 6 4 16 2" xfId="30259"/>
    <cellStyle name="Normal 2 6 4 16 2 2" xfId="30260"/>
    <cellStyle name="Normal 2 6 4 16 3" xfId="30261"/>
    <cellStyle name="Normal 2 6 4 16 4" xfId="30262"/>
    <cellStyle name="Normal 2 6 4 16 5" xfId="30263"/>
    <cellStyle name="Normal 2 6 4 17" xfId="30264"/>
    <cellStyle name="Normal 2 6 4 17 2" xfId="30265"/>
    <cellStyle name="Normal 2 6 4 17 2 2" xfId="30266"/>
    <cellStyle name="Normal 2 6 4 17 3" xfId="30267"/>
    <cellStyle name="Normal 2 6 4 17 4" xfId="30268"/>
    <cellStyle name="Normal 2 6 4 17 5" xfId="30269"/>
    <cellStyle name="Normal 2 6 4 18" xfId="30270"/>
    <cellStyle name="Normal 2 6 4 18 2" xfId="30271"/>
    <cellStyle name="Normal 2 6 4 19" xfId="30272"/>
    <cellStyle name="Normal 2 6 4 2" xfId="30273"/>
    <cellStyle name="Normal 2 6 4 2 10" xfId="30274"/>
    <cellStyle name="Normal 2 6 4 2 11" xfId="30275"/>
    <cellStyle name="Normal 2 6 4 2 2" xfId="30276"/>
    <cellStyle name="Normal 2 6 4 2 2 2" xfId="30277"/>
    <cellStyle name="Normal 2 6 4 2 2 2 2" xfId="30278"/>
    <cellStyle name="Normal 2 6 4 2 2 2 2 2" xfId="30279"/>
    <cellStyle name="Normal 2 6 4 2 2 2 2 3" xfId="30280"/>
    <cellStyle name="Normal 2 6 4 2 2 2 3" xfId="30281"/>
    <cellStyle name="Normal 2 6 4 2 2 2 4" xfId="30282"/>
    <cellStyle name="Normal 2 6 4 2 2 2 5" xfId="30283"/>
    <cellStyle name="Normal 2 6 4 2 2 2 6" xfId="30284"/>
    <cellStyle name="Normal 2 6 4 2 2 3" xfId="30285"/>
    <cellStyle name="Normal 2 6 4 2 2 3 2" xfId="30286"/>
    <cellStyle name="Normal 2 6 4 2 2 3 2 2" xfId="30287"/>
    <cellStyle name="Normal 2 6 4 2 2 3 3" xfId="30288"/>
    <cellStyle name="Normal 2 6 4 2 2 3 4" xfId="30289"/>
    <cellStyle name="Normal 2 6 4 2 2 3 5" xfId="30290"/>
    <cellStyle name="Normal 2 6 4 2 2 4" xfId="30291"/>
    <cellStyle name="Normal 2 6 4 2 2 4 2" xfId="30292"/>
    <cellStyle name="Normal 2 6 4 2 2 4 3" xfId="30293"/>
    <cellStyle name="Normal 2 6 4 2 2 4 4" xfId="30294"/>
    <cellStyle name="Normal 2 6 4 2 2 5" xfId="30295"/>
    <cellStyle name="Normal 2 6 4 2 2 5 2" xfId="30296"/>
    <cellStyle name="Normal 2 6 4 2 2 6" xfId="30297"/>
    <cellStyle name="Normal 2 6 4 2 2 7" xfId="30298"/>
    <cellStyle name="Normal 2 6 4 2 2 8" xfId="30299"/>
    <cellStyle name="Normal 2 6 4 2 2 9" xfId="30300"/>
    <cellStyle name="Normal 2 6 4 2 3" xfId="30301"/>
    <cellStyle name="Normal 2 6 4 2 3 2" xfId="30302"/>
    <cellStyle name="Normal 2 6 4 2 3 2 2" xfId="30303"/>
    <cellStyle name="Normal 2 6 4 2 3 2 2 2" xfId="30304"/>
    <cellStyle name="Normal 2 6 4 2 3 2 2 3" xfId="30305"/>
    <cellStyle name="Normal 2 6 4 2 3 2 3" xfId="30306"/>
    <cellStyle name="Normal 2 6 4 2 3 2 4" xfId="30307"/>
    <cellStyle name="Normal 2 6 4 2 3 2 5" xfId="30308"/>
    <cellStyle name="Normal 2 6 4 2 3 2 6" xfId="30309"/>
    <cellStyle name="Normal 2 6 4 2 3 3" xfId="30310"/>
    <cellStyle name="Normal 2 6 4 2 3 3 2" xfId="30311"/>
    <cellStyle name="Normal 2 6 4 2 3 3 2 2" xfId="30312"/>
    <cellStyle name="Normal 2 6 4 2 3 3 3" xfId="30313"/>
    <cellStyle name="Normal 2 6 4 2 3 3 4" xfId="30314"/>
    <cellStyle name="Normal 2 6 4 2 3 3 5" xfId="30315"/>
    <cellStyle name="Normal 2 6 4 2 3 4" xfId="30316"/>
    <cellStyle name="Normal 2 6 4 2 3 4 2" xfId="30317"/>
    <cellStyle name="Normal 2 6 4 2 3 4 3" xfId="30318"/>
    <cellStyle name="Normal 2 6 4 2 3 4 4" xfId="30319"/>
    <cellStyle name="Normal 2 6 4 2 3 5" xfId="30320"/>
    <cellStyle name="Normal 2 6 4 2 3 5 2" xfId="30321"/>
    <cellStyle name="Normal 2 6 4 2 3 6" xfId="30322"/>
    <cellStyle name="Normal 2 6 4 2 3 7" xfId="30323"/>
    <cellStyle name="Normal 2 6 4 2 3 8" xfId="30324"/>
    <cellStyle name="Normal 2 6 4 2 3 9" xfId="30325"/>
    <cellStyle name="Normal 2 6 4 2 4" xfId="30326"/>
    <cellStyle name="Normal 2 6 4 2 4 2" xfId="30327"/>
    <cellStyle name="Normal 2 6 4 2 4 2 2" xfId="30328"/>
    <cellStyle name="Normal 2 6 4 2 4 2 3" xfId="30329"/>
    <cellStyle name="Normal 2 6 4 2 4 3" xfId="30330"/>
    <cellStyle name="Normal 2 6 4 2 4 4" xfId="30331"/>
    <cellStyle name="Normal 2 6 4 2 4 5" xfId="30332"/>
    <cellStyle name="Normal 2 6 4 2 4 6" xfId="30333"/>
    <cellStyle name="Normal 2 6 4 2 5" xfId="30334"/>
    <cellStyle name="Normal 2 6 4 2 5 2" xfId="30335"/>
    <cellStyle name="Normal 2 6 4 2 5 2 2" xfId="30336"/>
    <cellStyle name="Normal 2 6 4 2 5 3" xfId="30337"/>
    <cellStyle name="Normal 2 6 4 2 5 4" xfId="30338"/>
    <cellStyle name="Normal 2 6 4 2 5 5" xfId="30339"/>
    <cellStyle name="Normal 2 6 4 2 6" xfId="30340"/>
    <cellStyle name="Normal 2 6 4 2 6 2" xfId="30341"/>
    <cellStyle name="Normal 2 6 4 2 6 3" xfId="30342"/>
    <cellStyle name="Normal 2 6 4 2 6 4" xfId="30343"/>
    <cellStyle name="Normal 2 6 4 2 7" xfId="30344"/>
    <cellStyle name="Normal 2 6 4 2 7 2" xfId="30345"/>
    <cellStyle name="Normal 2 6 4 2 8" xfId="30346"/>
    <cellStyle name="Normal 2 6 4 2 9" xfId="30347"/>
    <cellStyle name="Normal 2 6 4 20" xfId="30348"/>
    <cellStyle name="Normal 2 6 4 21" xfId="30349"/>
    <cellStyle name="Normal 2 6 4 22" xfId="30350"/>
    <cellStyle name="Normal 2 6 4 3" xfId="30351"/>
    <cellStyle name="Normal 2 6 4 3 10" xfId="30352"/>
    <cellStyle name="Normal 2 6 4 3 11" xfId="30353"/>
    <cellStyle name="Normal 2 6 4 3 2" xfId="30354"/>
    <cellStyle name="Normal 2 6 4 3 2 2" xfId="30355"/>
    <cellStyle name="Normal 2 6 4 3 2 2 2" xfId="30356"/>
    <cellStyle name="Normal 2 6 4 3 2 2 2 2" xfId="30357"/>
    <cellStyle name="Normal 2 6 4 3 2 2 2 3" xfId="30358"/>
    <cellStyle name="Normal 2 6 4 3 2 2 3" xfId="30359"/>
    <cellStyle name="Normal 2 6 4 3 2 2 4" xfId="30360"/>
    <cellStyle name="Normal 2 6 4 3 2 2 5" xfId="30361"/>
    <cellStyle name="Normal 2 6 4 3 2 2 6" xfId="30362"/>
    <cellStyle name="Normal 2 6 4 3 2 3" xfId="30363"/>
    <cellStyle name="Normal 2 6 4 3 2 3 2" xfId="30364"/>
    <cellStyle name="Normal 2 6 4 3 2 3 2 2" xfId="30365"/>
    <cellStyle name="Normal 2 6 4 3 2 3 3" xfId="30366"/>
    <cellStyle name="Normal 2 6 4 3 2 3 4" xfId="30367"/>
    <cellStyle name="Normal 2 6 4 3 2 3 5" xfId="30368"/>
    <cellStyle name="Normal 2 6 4 3 2 4" xfId="30369"/>
    <cellStyle name="Normal 2 6 4 3 2 4 2" xfId="30370"/>
    <cellStyle name="Normal 2 6 4 3 2 4 3" xfId="30371"/>
    <cellStyle name="Normal 2 6 4 3 2 4 4" xfId="30372"/>
    <cellStyle name="Normal 2 6 4 3 2 5" xfId="30373"/>
    <cellStyle name="Normal 2 6 4 3 2 5 2" xfId="30374"/>
    <cellStyle name="Normal 2 6 4 3 2 6" xfId="30375"/>
    <cellStyle name="Normal 2 6 4 3 2 7" xfId="30376"/>
    <cellStyle name="Normal 2 6 4 3 2 8" xfId="30377"/>
    <cellStyle name="Normal 2 6 4 3 2 9" xfId="30378"/>
    <cellStyle name="Normal 2 6 4 3 3" xfId="30379"/>
    <cellStyle name="Normal 2 6 4 3 3 2" xfId="30380"/>
    <cellStyle name="Normal 2 6 4 3 3 2 2" xfId="30381"/>
    <cellStyle name="Normal 2 6 4 3 3 2 2 2" xfId="30382"/>
    <cellStyle name="Normal 2 6 4 3 3 2 2 3" xfId="30383"/>
    <cellStyle name="Normal 2 6 4 3 3 2 3" xfId="30384"/>
    <cellStyle name="Normal 2 6 4 3 3 2 4" xfId="30385"/>
    <cellStyle name="Normal 2 6 4 3 3 2 5" xfId="30386"/>
    <cellStyle name="Normal 2 6 4 3 3 2 6" xfId="30387"/>
    <cellStyle name="Normal 2 6 4 3 3 3" xfId="30388"/>
    <cellStyle name="Normal 2 6 4 3 3 3 2" xfId="30389"/>
    <cellStyle name="Normal 2 6 4 3 3 3 2 2" xfId="30390"/>
    <cellStyle name="Normal 2 6 4 3 3 3 3" xfId="30391"/>
    <cellStyle name="Normal 2 6 4 3 3 3 4" xfId="30392"/>
    <cellStyle name="Normal 2 6 4 3 3 3 5" xfId="30393"/>
    <cellStyle name="Normal 2 6 4 3 3 4" xfId="30394"/>
    <cellStyle name="Normal 2 6 4 3 3 4 2" xfId="30395"/>
    <cellStyle name="Normal 2 6 4 3 3 4 3" xfId="30396"/>
    <cellStyle name="Normal 2 6 4 3 3 4 4" xfId="30397"/>
    <cellStyle name="Normal 2 6 4 3 3 5" xfId="30398"/>
    <cellStyle name="Normal 2 6 4 3 3 5 2" xfId="30399"/>
    <cellStyle name="Normal 2 6 4 3 3 6" xfId="30400"/>
    <cellStyle name="Normal 2 6 4 3 3 7" xfId="30401"/>
    <cellStyle name="Normal 2 6 4 3 3 8" xfId="30402"/>
    <cellStyle name="Normal 2 6 4 3 3 9" xfId="30403"/>
    <cellStyle name="Normal 2 6 4 3 4" xfId="30404"/>
    <cellStyle name="Normal 2 6 4 3 4 2" xfId="30405"/>
    <cellStyle name="Normal 2 6 4 3 4 2 2" xfId="30406"/>
    <cellStyle name="Normal 2 6 4 3 4 2 3" xfId="30407"/>
    <cellStyle name="Normal 2 6 4 3 4 3" xfId="30408"/>
    <cellStyle name="Normal 2 6 4 3 4 4" xfId="30409"/>
    <cellStyle name="Normal 2 6 4 3 4 5" xfId="30410"/>
    <cellStyle name="Normal 2 6 4 3 4 6" xfId="30411"/>
    <cellStyle name="Normal 2 6 4 3 5" xfId="30412"/>
    <cellStyle name="Normal 2 6 4 3 5 2" xfId="30413"/>
    <cellStyle name="Normal 2 6 4 3 5 2 2" xfId="30414"/>
    <cellStyle name="Normal 2 6 4 3 5 3" xfId="30415"/>
    <cellStyle name="Normal 2 6 4 3 5 4" xfId="30416"/>
    <cellStyle name="Normal 2 6 4 3 5 5" xfId="30417"/>
    <cellStyle name="Normal 2 6 4 3 6" xfId="30418"/>
    <cellStyle name="Normal 2 6 4 3 6 2" xfId="30419"/>
    <cellStyle name="Normal 2 6 4 3 6 3" xfId="30420"/>
    <cellStyle name="Normal 2 6 4 3 6 4" xfId="30421"/>
    <cellStyle name="Normal 2 6 4 3 7" xfId="30422"/>
    <cellStyle name="Normal 2 6 4 3 7 2" xfId="30423"/>
    <cellStyle name="Normal 2 6 4 3 8" xfId="30424"/>
    <cellStyle name="Normal 2 6 4 3 9" xfId="30425"/>
    <cellStyle name="Normal 2 6 4 4" xfId="30426"/>
    <cellStyle name="Normal 2 6 4 4 10" xfId="30427"/>
    <cellStyle name="Normal 2 6 4 4 11" xfId="30428"/>
    <cellStyle name="Normal 2 6 4 4 2" xfId="30429"/>
    <cellStyle name="Normal 2 6 4 4 2 2" xfId="30430"/>
    <cellStyle name="Normal 2 6 4 4 2 2 2" xfId="30431"/>
    <cellStyle name="Normal 2 6 4 4 2 2 2 2" xfId="30432"/>
    <cellStyle name="Normal 2 6 4 4 2 2 2 3" xfId="30433"/>
    <cellStyle name="Normal 2 6 4 4 2 2 3" xfId="30434"/>
    <cellStyle name="Normal 2 6 4 4 2 2 4" xfId="30435"/>
    <cellStyle name="Normal 2 6 4 4 2 2 5" xfId="30436"/>
    <cellStyle name="Normal 2 6 4 4 2 2 6" xfId="30437"/>
    <cellStyle name="Normal 2 6 4 4 2 3" xfId="30438"/>
    <cellStyle name="Normal 2 6 4 4 2 3 2" xfId="30439"/>
    <cellStyle name="Normal 2 6 4 4 2 3 2 2" xfId="30440"/>
    <cellStyle name="Normal 2 6 4 4 2 3 3" xfId="30441"/>
    <cellStyle name="Normal 2 6 4 4 2 3 4" xfId="30442"/>
    <cellStyle name="Normal 2 6 4 4 2 3 5" xfId="30443"/>
    <cellStyle name="Normal 2 6 4 4 2 4" xfId="30444"/>
    <cellStyle name="Normal 2 6 4 4 2 4 2" xfId="30445"/>
    <cellStyle name="Normal 2 6 4 4 2 4 3" xfId="30446"/>
    <cellStyle name="Normal 2 6 4 4 2 4 4" xfId="30447"/>
    <cellStyle name="Normal 2 6 4 4 2 5" xfId="30448"/>
    <cellStyle name="Normal 2 6 4 4 2 5 2" xfId="30449"/>
    <cellStyle name="Normal 2 6 4 4 2 6" xfId="30450"/>
    <cellStyle name="Normal 2 6 4 4 2 7" xfId="30451"/>
    <cellStyle name="Normal 2 6 4 4 2 8" xfId="30452"/>
    <cellStyle name="Normal 2 6 4 4 2 9" xfId="30453"/>
    <cellStyle name="Normal 2 6 4 4 3" xfId="30454"/>
    <cellStyle name="Normal 2 6 4 4 3 2" xfId="30455"/>
    <cellStyle name="Normal 2 6 4 4 3 2 2" xfId="30456"/>
    <cellStyle name="Normal 2 6 4 4 3 2 2 2" xfId="30457"/>
    <cellStyle name="Normal 2 6 4 4 3 2 2 3" xfId="30458"/>
    <cellStyle name="Normal 2 6 4 4 3 2 3" xfId="30459"/>
    <cellStyle name="Normal 2 6 4 4 3 2 4" xfId="30460"/>
    <cellStyle name="Normal 2 6 4 4 3 2 5" xfId="30461"/>
    <cellStyle name="Normal 2 6 4 4 3 2 6" xfId="30462"/>
    <cellStyle name="Normal 2 6 4 4 3 3" xfId="30463"/>
    <cellStyle name="Normal 2 6 4 4 3 3 2" xfId="30464"/>
    <cellStyle name="Normal 2 6 4 4 3 3 2 2" xfId="30465"/>
    <cellStyle name="Normal 2 6 4 4 3 3 3" xfId="30466"/>
    <cellStyle name="Normal 2 6 4 4 3 3 4" xfId="30467"/>
    <cellStyle name="Normal 2 6 4 4 3 3 5" xfId="30468"/>
    <cellStyle name="Normal 2 6 4 4 3 4" xfId="30469"/>
    <cellStyle name="Normal 2 6 4 4 3 4 2" xfId="30470"/>
    <cellStyle name="Normal 2 6 4 4 3 4 3" xfId="30471"/>
    <cellStyle name="Normal 2 6 4 4 3 4 4" xfId="30472"/>
    <cellStyle name="Normal 2 6 4 4 3 5" xfId="30473"/>
    <cellStyle name="Normal 2 6 4 4 3 5 2" xfId="30474"/>
    <cellStyle name="Normal 2 6 4 4 3 6" xfId="30475"/>
    <cellStyle name="Normal 2 6 4 4 3 7" xfId="30476"/>
    <cellStyle name="Normal 2 6 4 4 3 8" xfId="30477"/>
    <cellStyle name="Normal 2 6 4 4 3 9" xfId="30478"/>
    <cellStyle name="Normal 2 6 4 4 4" xfId="30479"/>
    <cellStyle name="Normal 2 6 4 4 4 2" xfId="30480"/>
    <cellStyle name="Normal 2 6 4 4 4 2 2" xfId="30481"/>
    <cellStyle name="Normal 2 6 4 4 4 2 3" xfId="30482"/>
    <cellStyle name="Normal 2 6 4 4 4 3" xfId="30483"/>
    <cellStyle name="Normal 2 6 4 4 4 4" xfId="30484"/>
    <cellStyle name="Normal 2 6 4 4 4 5" xfId="30485"/>
    <cellStyle name="Normal 2 6 4 4 4 6" xfId="30486"/>
    <cellStyle name="Normal 2 6 4 4 5" xfId="30487"/>
    <cellStyle name="Normal 2 6 4 4 5 2" xfId="30488"/>
    <cellStyle name="Normal 2 6 4 4 5 2 2" xfId="30489"/>
    <cellStyle name="Normal 2 6 4 4 5 3" xfId="30490"/>
    <cellStyle name="Normal 2 6 4 4 5 4" xfId="30491"/>
    <cellStyle name="Normal 2 6 4 4 5 5" xfId="30492"/>
    <cellStyle name="Normal 2 6 4 4 6" xfId="30493"/>
    <cellStyle name="Normal 2 6 4 4 6 2" xfId="30494"/>
    <cellStyle name="Normal 2 6 4 4 6 3" xfId="30495"/>
    <cellStyle name="Normal 2 6 4 4 6 4" xfId="30496"/>
    <cellStyle name="Normal 2 6 4 4 7" xfId="30497"/>
    <cellStyle name="Normal 2 6 4 4 7 2" xfId="30498"/>
    <cellStyle name="Normal 2 6 4 4 8" xfId="30499"/>
    <cellStyle name="Normal 2 6 4 4 9" xfId="30500"/>
    <cellStyle name="Normal 2 6 4 5" xfId="30501"/>
    <cellStyle name="Normal 2 6 4 5 10" xfId="30502"/>
    <cellStyle name="Normal 2 6 4 5 11" xfId="30503"/>
    <cellStyle name="Normal 2 6 4 5 2" xfId="30504"/>
    <cellStyle name="Normal 2 6 4 5 2 2" xfId="30505"/>
    <cellStyle name="Normal 2 6 4 5 2 2 2" xfId="30506"/>
    <cellStyle name="Normal 2 6 4 5 2 2 2 2" xfId="30507"/>
    <cellStyle name="Normal 2 6 4 5 2 2 2 3" xfId="30508"/>
    <cellStyle name="Normal 2 6 4 5 2 2 3" xfId="30509"/>
    <cellStyle name="Normal 2 6 4 5 2 2 4" xfId="30510"/>
    <cellStyle name="Normal 2 6 4 5 2 2 5" xfId="30511"/>
    <cellStyle name="Normal 2 6 4 5 2 2 6" xfId="30512"/>
    <cellStyle name="Normal 2 6 4 5 2 3" xfId="30513"/>
    <cellStyle name="Normal 2 6 4 5 2 3 2" xfId="30514"/>
    <cellStyle name="Normal 2 6 4 5 2 3 2 2" xfId="30515"/>
    <cellStyle name="Normal 2 6 4 5 2 3 3" xfId="30516"/>
    <cellStyle name="Normal 2 6 4 5 2 3 4" xfId="30517"/>
    <cellStyle name="Normal 2 6 4 5 2 3 5" xfId="30518"/>
    <cellStyle name="Normal 2 6 4 5 2 4" xfId="30519"/>
    <cellStyle name="Normal 2 6 4 5 2 4 2" xfId="30520"/>
    <cellStyle name="Normal 2 6 4 5 2 4 3" xfId="30521"/>
    <cellStyle name="Normal 2 6 4 5 2 4 4" xfId="30522"/>
    <cellStyle name="Normal 2 6 4 5 2 5" xfId="30523"/>
    <cellStyle name="Normal 2 6 4 5 2 5 2" xfId="30524"/>
    <cellStyle name="Normal 2 6 4 5 2 6" xfId="30525"/>
    <cellStyle name="Normal 2 6 4 5 2 7" xfId="30526"/>
    <cellStyle name="Normal 2 6 4 5 2 8" xfId="30527"/>
    <cellStyle name="Normal 2 6 4 5 2 9" xfId="30528"/>
    <cellStyle name="Normal 2 6 4 5 3" xfId="30529"/>
    <cellStyle name="Normal 2 6 4 5 3 2" xfId="30530"/>
    <cellStyle name="Normal 2 6 4 5 3 2 2" xfId="30531"/>
    <cellStyle name="Normal 2 6 4 5 3 2 2 2" xfId="30532"/>
    <cellStyle name="Normal 2 6 4 5 3 2 2 3" xfId="30533"/>
    <cellStyle name="Normal 2 6 4 5 3 2 3" xfId="30534"/>
    <cellStyle name="Normal 2 6 4 5 3 2 4" xfId="30535"/>
    <cellStyle name="Normal 2 6 4 5 3 2 5" xfId="30536"/>
    <cellStyle name="Normal 2 6 4 5 3 2 6" xfId="30537"/>
    <cellStyle name="Normal 2 6 4 5 3 3" xfId="30538"/>
    <cellStyle name="Normal 2 6 4 5 3 3 2" xfId="30539"/>
    <cellStyle name="Normal 2 6 4 5 3 3 2 2" xfId="30540"/>
    <cellStyle name="Normal 2 6 4 5 3 3 3" xfId="30541"/>
    <cellStyle name="Normal 2 6 4 5 3 3 4" xfId="30542"/>
    <cellStyle name="Normal 2 6 4 5 3 3 5" xfId="30543"/>
    <cellStyle name="Normal 2 6 4 5 3 4" xfId="30544"/>
    <cellStyle name="Normal 2 6 4 5 3 4 2" xfId="30545"/>
    <cellStyle name="Normal 2 6 4 5 3 4 3" xfId="30546"/>
    <cellStyle name="Normal 2 6 4 5 3 4 4" xfId="30547"/>
    <cellStyle name="Normal 2 6 4 5 3 5" xfId="30548"/>
    <cellStyle name="Normal 2 6 4 5 3 5 2" xfId="30549"/>
    <cellStyle name="Normal 2 6 4 5 3 6" xfId="30550"/>
    <cellStyle name="Normal 2 6 4 5 3 7" xfId="30551"/>
    <cellStyle name="Normal 2 6 4 5 3 8" xfId="30552"/>
    <cellStyle name="Normal 2 6 4 5 3 9" xfId="30553"/>
    <cellStyle name="Normal 2 6 4 5 4" xfId="30554"/>
    <cellStyle name="Normal 2 6 4 5 4 2" xfId="30555"/>
    <cellStyle name="Normal 2 6 4 5 4 2 2" xfId="30556"/>
    <cellStyle name="Normal 2 6 4 5 4 2 3" xfId="30557"/>
    <cellStyle name="Normal 2 6 4 5 4 3" xfId="30558"/>
    <cellStyle name="Normal 2 6 4 5 4 4" xfId="30559"/>
    <cellStyle name="Normal 2 6 4 5 4 5" xfId="30560"/>
    <cellStyle name="Normal 2 6 4 5 4 6" xfId="30561"/>
    <cellStyle name="Normal 2 6 4 5 5" xfId="30562"/>
    <cellStyle name="Normal 2 6 4 5 5 2" xfId="30563"/>
    <cellStyle name="Normal 2 6 4 5 5 2 2" xfId="30564"/>
    <cellStyle name="Normal 2 6 4 5 5 3" xfId="30565"/>
    <cellStyle name="Normal 2 6 4 5 5 4" xfId="30566"/>
    <cellStyle name="Normal 2 6 4 5 5 5" xfId="30567"/>
    <cellStyle name="Normal 2 6 4 5 6" xfId="30568"/>
    <cellStyle name="Normal 2 6 4 5 6 2" xfId="30569"/>
    <cellStyle name="Normal 2 6 4 5 6 3" xfId="30570"/>
    <cellStyle name="Normal 2 6 4 5 6 4" xfId="30571"/>
    <cellStyle name="Normal 2 6 4 5 7" xfId="30572"/>
    <cellStyle name="Normal 2 6 4 5 7 2" xfId="30573"/>
    <cellStyle name="Normal 2 6 4 5 8" xfId="30574"/>
    <cellStyle name="Normal 2 6 4 5 9" xfId="30575"/>
    <cellStyle name="Normal 2 6 4 6" xfId="30576"/>
    <cellStyle name="Normal 2 6 4 6 10" xfId="30577"/>
    <cellStyle name="Normal 2 6 4 6 11" xfId="30578"/>
    <cellStyle name="Normal 2 6 4 6 2" xfId="30579"/>
    <cellStyle name="Normal 2 6 4 6 2 2" xfId="30580"/>
    <cellStyle name="Normal 2 6 4 6 2 2 2" xfId="30581"/>
    <cellStyle name="Normal 2 6 4 6 2 2 2 2" xfId="30582"/>
    <cellStyle name="Normal 2 6 4 6 2 2 2 3" xfId="30583"/>
    <cellStyle name="Normal 2 6 4 6 2 2 3" xfId="30584"/>
    <cellStyle name="Normal 2 6 4 6 2 2 4" xfId="30585"/>
    <cellStyle name="Normal 2 6 4 6 2 2 5" xfId="30586"/>
    <cellStyle name="Normal 2 6 4 6 2 2 6" xfId="30587"/>
    <cellStyle name="Normal 2 6 4 6 2 3" xfId="30588"/>
    <cellStyle name="Normal 2 6 4 6 2 3 2" xfId="30589"/>
    <cellStyle name="Normal 2 6 4 6 2 3 2 2" xfId="30590"/>
    <cellStyle name="Normal 2 6 4 6 2 3 3" xfId="30591"/>
    <cellStyle name="Normal 2 6 4 6 2 3 4" xfId="30592"/>
    <cellStyle name="Normal 2 6 4 6 2 3 5" xfId="30593"/>
    <cellStyle name="Normal 2 6 4 6 2 4" xfId="30594"/>
    <cellStyle name="Normal 2 6 4 6 2 4 2" xfId="30595"/>
    <cellStyle name="Normal 2 6 4 6 2 4 3" xfId="30596"/>
    <cellStyle name="Normal 2 6 4 6 2 4 4" xfId="30597"/>
    <cellStyle name="Normal 2 6 4 6 2 5" xfId="30598"/>
    <cellStyle name="Normal 2 6 4 6 2 5 2" xfId="30599"/>
    <cellStyle name="Normal 2 6 4 6 2 6" xfId="30600"/>
    <cellStyle name="Normal 2 6 4 6 2 7" xfId="30601"/>
    <cellStyle name="Normal 2 6 4 6 2 8" xfId="30602"/>
    <cellStyle name="Normal 2 6 4 6 2 9" xfId="30603"/>
    <cellStyle name="Normal 2 6 4 6 3" xfId="30604"/>
    <cellStyle name="Normal 2 6 4 6 3 2" xfId="30605"/>
    <cellStyle name="Normal 2 6 4 6 3 2 2" xfId="30606"/>
    <cellStyle name="Normal 2 6 4 6 3 2 2 2" xfId="30607"/>
    <cellStyle name="Normal 2 6 4 6 3 2 2 3" xfId="30608"/>
    <cellStyle name="Normal 2 6 4 6 3 2 3" xfId="30609"/>
    <cellStyle name="Normal 2 6 4 6 3 2 4" xfId="30610"/>
    <cellStyle name="Normal 2 6 4 6 3 2 5" xfId="30611"/>
    <cellStyle name="Normal 2 6 4 6 3 2 6" xfId="30612"/>
    <cellStyle name="Normal 2 6 4 6 3 3" xfId="30613"/>
    <cellStyle name="Normal 2 6 4 6 3 3 2" xfId="30614"/>
    <cellStyle name="Normal 2 6 4 6 3 3 2 2" xfId="30615"/>
    <cellStyle name="Normal 2 6 4 6 3 3 3" xfId="30616"/>
    <cellStyle name="Normal 2 6 4 6 3 3 4" xfId="30617"/>
    <cellStyle name="Normal 2 6 4 6 3 3 5" xfId="30618"/>
    <cellStyle name="Normal 2 6 4 6 3 4" xfId="30619"/>
    <cellStyle name="Normal 2 6 4 6 3 4 2" xfId="30620"/>
    <cellStyle name="Normal 2 6 4 6 3 4 3" xfId="30621"/>
    <cellStyle name="Normal 2 6 4 6 3 4 4" xfId="30622"/>
    <cellStyle name="Normal 2 6 4 6 3 5" xfId="30623"/>
    <cellStyle name="Normal 2 6 4 6 3 5 2" xfId="30624"/>
    <cellStyle name="Normal 2 6 4 6 3 6" xfId="30625"/>
    <cellStyle name="Normal 2 6 4 6 3 7" xfId="30626"/>
    <cellStyle name="Normal 2 6 4 6 3 8" xfId="30627"/>
    <cellStyle name="Normal 2 6 4 6 3 9" xfId="30628"/>
    <cellStyle name="Normal 2 6 4 6 4" xfId="30629"/>
    <cellStyle name="Normal 2 6 4 6 4 2" xfId="30630"/>
    <cellStyle name="Normal 2 6 4 6 4 2 2" xfId="30631"/>
    <cellStyle name="Normal 2 6 4 6 4 2 3" xfId="30632"/>
    <cellStyle name="Normal 2 6 4 6 4 3" xfId="30633"/>
    <cellStyle name="Normal 2 6 4 6 4 4" xfId="30634"/>
    <cellStyle name="Normal 2 6 4 6 4 5" xfId="30635"/>
    <cellStyle name="Normal 2 6 4 6 4 6" xfId="30636"/>
    <cellStyle name="Normal 2 6 4 6 5" xfId="30637"/>
    <cellStyle name="Normal 2 6 4 6 5 2" xfId="30638"/>
    <cellStyle name="Normal 2 6 4 6 5 2 2" xfId="30639"/>
    <cellStyle name="Normal 2 6 4 6 5 3" xfId="30640"/>
    <cellStyle name="Normal 2 6 4 6 5 4" xfId="30641"/>
    <cellStyle name="Normal 2 6 4 6 5 5" xfId="30642"/>
    <cellStyle name="Normal 2 6 4 6 6" xfId="30643"/>
    <cellStyle name="Normal 2 6 4 6 6 2" xfId="30644"/>
    <cellStyle name="Normal 2 6 4 6 6 3" xfId="30645"/>
    <cellStyle name="Normal 2 6 4 6 6 4" xfId="30646"/>
    <cellStyle name="Normal 2 6 4 6 7" xfId="30647"/>
    <cellStyle name="Normal 2 6 4 6 7 2" xfId="30648"/>
    <cellStyle name="Normal 2 6 4 6 8" xfId="30649"/>
    <cellStyle name="Normal 2 6 4 6 9" xfId="30650"/>
    <cellStyle name="Normal 2 6 4 7" xfId="30651"/>
    <cellStyle name="Normal 2 6 4 7 10" xfId="30652"/>
    <cellStyle name="Normal 2 6 4 7 11" xfId="30653"/>
    <cellStyle name="Normal 2 6 4 7 2" xfId="30654"/>
    <cellStyle name="Normal 2 6 4 7 2 2" xfId="30655"/>
    <cellStyle name="Normal 2 6 4 7 2 2 2" xfId="30656"/>
    <cellStyle name="Normal 2 6 4 7 2 2 2 2" xfId="30657"/>
    <cellStyle name="Normal 2 6 4 7 2 2 2 3" xfId="30658"/>
    <cellStyle name="Normal 2 6 4 7 2 2 3" xfId="30659"/>
    <cellStyle name="Normal 2 6 4 7 2 2 4" xfId="30660"/>
    <cellStyle name="Normal 2 6 4 7 2 2 5" xfId="30661"/>
    <cellStyle name="Normal 2 6 4 7 2 2 6" xfId="30662"/>
    <cellStyle name="Normal 2 6 4 7 2 3" xfId="30663"/>
    <cellStyle name="Normal 2 6 4 7 2 3 2" xfId="30664"/>
    <cellStyle name="Normal 2 6 4 7 2 3 2 2" xfId="30665"/>
    <cellStyle name="Normal 2 6 4 7 2 3 3" xfId="30666"/>
    <cellStyle name="Normal 2 6 4 7 2 3 4" xfId="30667"/>
    <cellStyle name="Normal 2 6 4 7 2 3 5" xfId="30668"/>
    <cellStyle name="Normal 2 6 4 7 2 4" xfId="30669"/>
    <cellStyle name="Normal 2 6 4 7 2 4 2" xfId="30670"/>
    <cellStyle name="Normal 2 6 4 7 2 4 3" xfId="30671"/>
    <cellStyle name="Normal 2 6 4 7 2 4 4" xfId="30672"/>
    <cellStyle name="Normal 2 6 4 7 2 5" xfId="30673"/>
    <cellStyle name="Normal 2 6 4 7 2 5 2" xfId="30674"/>
    <cellStyle name="Normal 2 6 4 7 2 6" xfId="30675"/>
    <cellStyle name="Normal 2 6 4 7 2 7" xfId="30676"/>
    <cellStyle name="Normal 2 6 4 7 2 8" xfId="30677"/>
    <cellStyle name="Normal 2 6 4 7 2 9" xfId="30678"/>
    <cellStyle name="Normal 2 6 4 7 3" xfId="30679"/>
    <cellStyle name="Normal 2 6 4 7 3 2" xfId="30680"/>
    <cellStyle name="Normal 2 6 4 7 3 2 2" xfId="30681"/>
    <cellStyle name="Normal 2 6 4 7 3 2 2 2" xfId="30682"/>
    <cellStyle name="Normal 2 6 4 7 3 2 2 3" xfId="30683"/>
    <cellStyle name="Normal 2 6 4 7 3 2 3" xfId="30684"/>
    <cellStyle name="Normal 2 6 4 7 3 2 4" xfId="30685"/>
    <cellStyle name="Normal 2 6 4 7 3 2 5" xfId="30686"/>
    <cellStyle name="Normal 2 6 4 7 3 2 6" xfId="30687"/>
    <cellStyle name="Normal 2 6 4 7 3 3" xfId="30688"/>
    <cellStyle name="Normal 2 6 4 7 3 3 2" xfId="30689"/>
    <cellStyle name="Normal 2 6 4 7 3 3 2 2" xfId="30690"/>
    <cellStyle name="Normal 2 6 4 7 3 3 3" xfId="30691"/>
    <cellStyle name="Normal 2 6 4 7 3 3 4" xfId="30692"/>
    <cellStyle name="Normal 2 6 4 7 3 3 5" xfId="30693"/>
    <cellStyle name="Normal 2 6 4 7 3 4" xfId="30694"/>
    <cellStyle name="Normal 2 6 4 7 3 4 2" xfId="30695"/>
    <cellStyle name="Normal 2 6 4 7 3 4 3" xfId="30696"/>
    <cellStyle name="Normal 2 6 4 7 3 4 4" xfId="30697"/>
    <cellStyle name="Normal 2 6 4 7 3 5" xfId="30698"/>
    <cellStyle name="Normal 2 6 4 7 3 5 2" xfId="30699"/>
    <cellStyle name="Normal 2 6 4 7 3 6" xfId="30700"/>
    <cellStyle name="Normal 2 6 4 7 3 7" xfId="30701"/>
    <cellStyle name="Normal 2 6 4 7 3 8" xfId="30702"/>
    <cellStyle name="Normal 2 6 4 7 3 9" xfId="30703"/>
    <cellStyle name="Normal 2 6 4 7 4" xfId="30704"/>
    <cellStyle name="Normal 2 6 4 7 4 2" xfId="30705"/>
    <cellStyle name="Normal 2 6 4 7 4 2 2" xfId="30706"/>
    <cellStyle name="Normal 2 6 4 7 4 2 3" xfId="30707"/>
    <cellStyle name="Normal 2 6 4 7 4 3" xfId="30708"/>
    <cellStyle name="Normal 2 6 4 7 4 4" xfId="30709"/>
    <cellStyle name="Normal 2 6 4 7 4 5" xfId="30710"/>
    <cellStyle name="Normal 2 6 4 7 4 6" xfId="30711"/>
    <cellStyle name="Normal 2 6 4 7 5" xfId="30712"/>
    <cellStyle name="Normal 2 6 4 7 5 2" xfId="30713"/>
    <cellStyle name="Normal 2 6 4 7 5 2 2" xfId="30714"/>
    <cellStyle name="Normal 2 6 4 7 5 3" xfId="30715"/>
    <cellStyle name="Normal 2 6 4 7 5 4" xfId="30716"/>
    <cellStyle name="Normal 2 6 4 7 5 5" xfId="30717"/>
    <cellStyle name="Normal 2 6 4 7 6" xfId="30718"/>
    <cellStyle name="Normal 2 6 4 7 6 2" xfId="30719"/>
    <cellStyle name="Normal 2 6 4 7 6 3" xfId="30720"/>
    <cellStyle name="Normal 2 6 4 7 6 4" xfId="30721"/>
    <cellStyle name="Normal 2 6 4 7 7" xfId="30722"/>
    <cellStyle name="Normal 2 6 4 7 7 2" xfId="30723"/>
    <cellStyle name="Normal 2 6 4 7 8" xfId="30724"/>
    <cellStyle name="Normal 2 6 4 7 9" xfId="30725"/>
    <cellStyle name="Normal 2 6 4 8" xfId="30726"/>
    <cellStyle name="Normal 2 6 4 8 10" xfId="30727"/>
    <cellStyle name="Normal 2 6 4 8 2" xfId="30728"/>
    <cellStyle name="Normal 2 6 4 8 2 2" xfId="30729"/>
    <cellStyle name="Normal 2 6 4 8 2 2 2" xfId="30730"/>
    <cellStyle name="Normal 2 6 4 8 2 2 3" xfId="30731"/>
    <cellStyle name="Normal 2 6 4 8 2 3" xfId="30732"/>
    <cellStyle name="Normal 2 6 4 8 2 4" xfId="30733"/>
    <cellStyle name="Normal 2 6 4 8 2 5" xfId="30734"/>
    <cellStyle name="Normal 2 6 4 8 2 6" xfId="30735"/>
    <cellStyle name="Normal 2 6 4 8 3" xfId="30736"/>
    <cellStyle name="Normal 2 6 4 8 3 2" xfId="30737"/>
    <cellStyle name="Normal 2 6 4 8 3 2 2" xfId="30738"/>
    <cellStyle name="Normal 2 6 4 8 3 2 3" xfId="30739"/>
    <cellStyle name="Normal 2 6 4 8 3 3" xfId="30740"/>
    <cellStyle name="Normal 2 6 4 8 3 4" xfId="30741"/>
    <cellStyle name="Normal 2 6 4 8 3 5" xfId="30742"/>
    <cellStyle name="Normal 2 6 4 8 3 6" xfId="30743"/>
    <cellStyle name="Normal 2 6 4 8 4" xfId="30744"/>
    <cellStyle name="Normal 2 6 4 8 4 2" xfId="30745"/>
    <cellStyle name="Normal 2 6 4 8 4 2 2" xfId="30746"/>
    <cellStyle name="Normal 2 6 4 8 4 3" xfId="30747"/>
    <cellStyle name="Normal 2 6 4 8 4 4" xfId="30748"/>
    <cellStyle name="Normal 2 6 4 8 4 5" xfId="30749"/>
    <cellStyle name="Normal 2 6 4 8 5" xfId="30750"/>
    <cellStyle name="Normal 2 6 4 8 5 2" xfId="30751"/>
    <cellStyle name="Normal 2 6 4 8 5 3" xfId="30752"/>
    <cellStyle name="Normal 2 6 4 8 5 4" xfId="30753"/>
    <cellStyle name="Normal 2 6 4 8 6" xfId="30754"/>
    <cellStyle name="Normal 2 6 4 8 6 2" xfId="30755"/>
    <cellStyle name="Normal 2 6 4 8 7" xfId="30756"/>
    <cellStyle name="Normal 2 6 4 8 8" xfId="30757"/>
    <cellStyle name="Normal 2 6 4 8 9" xfId="30758"/>
    <cellStyle name="Normal 2 6 4 9" xfId="30759"/>
    <cellStyle name="Normal 2 6 4 9 10" xfId="30760"/>
    <cellStyle name="Normal 2 6 4 9 2" xfId="30761"/>
    <cellStyle name="Normal 2 6 4 9 2 2" xfId="30762"/>
    <cellStyle name="Normal 2 6 4 9 2 2 2" xfId="30763"/>
    <cellStyle name="Normal 2 6 4 9 2 2 3" xfId="30764"/>
    <cellStyle name="Normal 2 6 4 9 2 3" xfId="30765"/>
    <cellStyle name="Normal 2 6 4 9 2 4" xfId="30766"/>
    <cellStyle name="Normal 2 6 4 9 2 5" xfId="30767"/>
    <cellStyle name="Normal 2 6 4 9 2 6" xfId="30768"/>
    <cellStyle name="Normal 2 6 4 9 3" xfId="30769"/>
    <cellStyle name="Normal 2 6 4 9 3 2" xfId="30770"/>
    <cellStyle name="Normal 2 6 4 9 3 2 2" xfId="30771"/>
    <cellStyle name="Normal 2 6 4 9 3 2 3" xfId="30772"/>
    <cellStyle name="Normal 2 6 4 9 3 3" xfId="30773"/>
    <cellStyle name="Normal 2 6 4 9 3 4" xfId="30774"/>
    <cellStyle name="Normal 2 6 4 9 3 5" xfId="30775"/>
    <cellStyle name="Normal 2 6 4 9 3 6" xfId="30776"/>
    <cellStyle name="Normal 2 6 4 9 4" xfId="30777"/>
    <cellStyle name="Normal 2 6 4 9 4 2" xfId="30778"/>
    <cellStyle name="Normal 2 6 4 9 4 2 2" xfId="30779"/>
    <cellStyle name="Normal 2 6 4 9 4 3" xfId="30780"/>
    <cellStyle name="Normal 2 6 4 9 4 4" xfId="30781"/>
    <cellStyle name="Normal 2 6 4 9 4 5" xfId="30782"/>
    <cellStyle name="Normal 2 6 4 9 5" xfId="30783"/>
    <cellStyle name="Normal 2 6 4 9 5 2" xfId="30784"/>
    <cellStyle name="Normal 2 6 4 9 5 3" xfId="30785"/>
    <cellStyle name="Normal 2 6 4 9 5 4" xfId="30786"/>
    <cellStyle name="Normal 2 6 4 9 6" xfId="30787"/>
    <cellStyle name="Normal 2 6 4 9 6 2" xfId="30788"/>
    <cellStyle name="Normal 2 6 4 9 7" xfId="30789"/>
    <cellStyle name="Normal 2 6 4 9 8" xfId="30790"/>
    <cellStyle name="Normal 2 6 4 9 9" xfId="30791"/>
    <cellStyle name="Normal 2 6 5" xfId="30792"/>
    <cellStyle name="Normal 2 6 5 10" xfId="30793"/>
    <cellStyle name="Normal 2 6 5 11" xfId="30794"/>
    <cellStyle name="Normal 2 6 5 2" xfId="30795"/>
    <cellStyle name="Normal 2 6 5 2 2" xfId="30796"/>
    <cellStyle name="Normal 2 6 5 2 2 2" xfId="30797"/>
    <cellStyle name="Normal 2 6 5 2 2 2 2" xfId="30798"/>
    <cellStyle name="Normal 2 6 5 2 2 2 3" xfId="30799"/>
    <cellStyle name="Normal 2 6 5 2 2 3" xfId="30800"/>
    <cellStyle name="Normal 2 6 5 2 2 4" xfId="30801"/>
    <cellStyle name="Normal 2 6 5 2 2 5" xfId="30802"/>
    <cellStyle name="Normal 2 6 5 2 2 6" xfId="30803"/>
    <cellStyle name="Normal 2 6 5 2 3" xfId="30804"/>
    <cellStyle name="Normal 2 6 5 2 3 2" xfId="30805"/>
    <cellStyle name="Normal 2 6 5 2 3 2 2" xfId="30806"/>
    <cellStyle name="Normal 2 6 5 2 3 3" xfId="30807"/>
    <cellStyle name="Normal 2 6 5 2 3 4" xfId="30808"/>
    <cellStyle name="Normal 2 6 5 2 3 5" xfId="30809"/>
    <cellStyle name="Normal 2 6 5 2 4" xfId="30810"/>
    <cellStyle name="Normal 2 6 5 2 4 2" xfId="30811"/>
    <cellStyle name="Normal 2 6 5 2 4 3" xfId="30812"/>
    <cellStyle name="Normal 2 6 5 2 4 4" xfId="30813"/>
    <cellStyle name="Normal 2 6 5 2 5" xfId="30814"/>
    <cellStyle name="Normal 2 6 5 2 5 2" xfId="30815"/>
    <cellStyle name="Normal 2 6 5 2 6" xfId="30816"/>
    <cellStyle name="Normal 2 6 5 2 7" xfId="30817"/>
    <cellStyle name="Normal 2 6 5 2 8" xfId="30818"/>
    <cellStyle name="Normal 2 6 5 2 9" xfId="30819"/>
    <cellStyle name="Normal 2 6 5 3" xfId="30820"/>
    <cellStyle name="Normal 2 6 5 3 2" xfId="30821"/>
    <cellStyle name="Normal 2 6 5 3 2 2" xfId="30822"/>
    <cellStyle name="Normal 2 6 5 3 2 2 2" xfId="30823"/>
    <cellStyle name="Normal 2 6 5 3 2 2 3" xfId="30824"/>
    <cellStyle name="Normal 2 6 5 3 2 3" xfId="30825"/>
    <cellStyle name="Normal 2 6 5 3 2 4" xfId="30826"/>
    <cellStyle name="Normal 2 6 5 3 2 5" xfId="30827"/>
    <cellStyle name="Normal 2 6 5 3 2 6" xfId="30828"/>
    <cellStyle name="Normal 2 6 5 3 3" xfId="30829"/>
    <cellStyle name="Normal 2 6 5 3 3 2" xfId="30830"/>
    <cellStyle name="Normal 2 6 5 3 3 2 2" xfId="30831"/>
    <cellStyle name="Normal 2 6 5 3 3 3" xfId="30832"/>
    <cellStyle name="Normal 2 6 5 3 3 4" xfId="30833"/>
    <cellStyle name="Normal 2 6 5 3 3 5" xfId="30834"/>
    <cellStyle name="Normal 2 6 5 3 4" xfId="30835"/>
    <cellStyle name="Normal 2 6 5 3 4 2" xfId="30836"/>
    <cellStyle name="Normal 2 6 5 3 4 3" xfId="30837"/>
    <cellStyle name="Normal 2 6 5 3 4 4" xfId="30838"/>
    <cellStyle name="Normal 2 6 5 3 5" xfId="30839"/>
    <cellStyle name="Normal 2 6 5 3 5 2" xfId="30840"/>
    <cellStyle name="Normal 2 6 5 3 6" xfId="30841"/>
    <cellStyle name="Normal 2 6 5 3 7" xfId="30842"/>
    <cellStyle name="Normal 2 6 5 3 8" xfId="30843"/>
    <cellStyle name="Normal 2 6 5 3 9" xfId="30844"/>
    <cellStyle name="Normal 2 6 5 4" xfId="30845"/>
    <cellStyle name="Normal 2 6 5 4 2" xfId="30846"/>
    <cellStyle name="Normal 2 6 5 4 2 2" xfId="30847"/>
    <cellStyle name="Normal 2 6 5 4 2 3" xfId="30848"/>
    <cellStyle name="Normal 2 6 5 4 3" xfId="30849"/>
    <cellStyle name="Normal 2 6 5 4 4" xfId="30850"/>
    <cellStyle name="Normal 2 6 5 4 5" xfId="30851"/>
    <cellStyle name="Normal 2 6 5 4 6" xfId="30852"/>
    <cellStyle name="Normal 2 6 5 5" xfId="30853"/>
    <cellStyle name="Normal 2 6 5 5 2" xfId="30854"/>
    <cellStyle name="Normal 2 6 5 5 2 2" xfId="30855"/>
    <cellStyle name="Normal 2 6 5 5 3" xfId="30856"/>
    <cellStyle name="Normal 2 6 5 5 4" xfId="30857"/>
    <cellStyle name="Normal 2 6 5 5 5" xfId="30858"/>
    <cellStyle name="Normal 2 6 5 6" xfId="30859"/>
    <cellStyle name="Normal 2 6 5 6 2" xfId="30860"/>
    <cellStyle name="Normal 2 6 5 6 3" xfId="30861"/>
    <cellStyle name="Normal 2 6 5 6 4" xfId="30862"/>
    <cellStyle name="Normal 2 6 5 7" xfId="30863"/>
    <cellStyle name="Normal 2 6 5 7 2" xfId="30864"/>
    <cellStyle name="Normal 2 6 5 8" xfId="30865"/>
    <cellStyle name="Normal 2 6 5 9" xfId="30866"/>
    <cellStyle name="Normal 2 6 6" xfId="30867"/>
    <cellStyle name="Normal 2 6 6 10" xfId="30868"/>
    <cellStyle name="Normal 2 6 6 11" xfId="30869"/>
    <cellStyle name="Normal 2 6 6 2" xfId="30870"/>
    <cellStyle name="Normal 2 6 6 2 2" xfId="30871"/>
    <cellStyle name="Normal 2 6 6 2 2 2" xfId="30872"/>
    <cellStyle name="Normal 2 6 6 2 2 2 2" xfId="30873"/>
    <cellStyle name="Normal 2 6 6 2 2 2 3" xfId="30874"/>
    <cellStyle name="Normal 2 6 6 2 2 3" xfId="30875"/>
    <cellStyle name="Normal 2 6 6 2 2 4" xfId="30876"/>
    <cellStyle name="Normal 2 6 6 2 2 5" xfId="30877"/>
    <cellStyle name="Normal 2 6 6 2 2 6" xfId="30878"/>
    <cellStyle name="Normal 2 6 6 2 3" xfId="30879"/>
    <cellStyle name="Normal 2 6 6 2 3 2" xfId="30880"/>
    <cellStyle name="Normal 2 6 6 2 3 2 2" xfId="30881"/>
    <cellStyle name="Normal 2 6 6 2 3 3" xfId="30882"/>
    <cellStyle name="Normal 2 6 6 2 3 4" xfId="30883"/>
    <cellStyle name="Normal 2 6 6 2 3 5" xfId="30884"/>
    <cellStyle name="Normal 2 6 6 2 4" xfId="30885"/>
    <cellStyle name="Normal 2 6 6 2 4 2" xfId="30886"/>
    <cellStyle name="Normal 2 6 6 2 4 3" xfId="30887"/>
    <cellStyle name="Normal 2 6 6 2 4 4" xfId="30888"/>
    <cellStyle name="Normal 2 6 6 2 5" xfId="30889"/>
    <cellStyle name="Normal 2 6 6 2 5 2" xfId="30890"/>
    <cellStyle name="Normal 2 6 6 2 6" xfId="30891"/>
    <cellStyle name="Normal 2 6 6 2 7" xfId="30892"/>
    <cellStyle name="Normal 2 6 6 2 8" xfId="30893"/>
    <cellStyle name="Normal 2 6 6 2 9" xfId="30894"/>
    <cellStyle name="Normal 2 6 6 3" xfId="30895"/>
    <cellStyle name="Normal 2 6 6 3 2" xfId="30896"/>
    <cellStyle name="Normal 2 6 6 3 2 2" xfId="30897"/>
    <cellStyle name="Normal 2 6 6 3 2 2 2" xfId="30898"/>
    <cellStyle name="Normal 2 6 6 3 2 2 3" xfId="30899"/>
    <cellStyle name="Normal 2 6 6 3 2 3" xfId="30900"/>
    <cellStyle name="Normal 2 6 6 3 2 4" xfId="30901"/>
    <cellStyle name="Normal 2 6 6 3 2 5" xfId="30902"/>
    <cellStyle name="Normal 2 6 6 3 2 6" xfId="30903"/>
    <cellStyle name="Normal 2 6 6 3 3" xfId="30904"/>
    <cellStyle name="Normal 2 6 6 3 3 2" xfId="30905"/>
    <cellStyle name="Normal 2 6 6 3 3 2 2" xfId="30906"/>
    <cellStyle name="Normal 2 6 6 3 3 3" xfId="30907"/>
    <cellStyle name="Normal 2 6 6 3 3 4" xfId="30908"/>
    <cellStyle name="Normal 2 6 6 3 3 5" xfId="30909"/>
    <cellStyle name="Normal 2 6 6 3 4" xfId="30910"/>
    <cellStyle name="Normal 2 6 6 3 4 2" xfId="30911"/>
    <cellStyle name="Normal 2 6 6 3 4 3" xfId="30912"/>
    <cellStyle name="Normal 2 6 6 3 4 4" xfId="30913"/>
    <cellStyle name="Normal 2 6 6 3 5" xfId="30914"/>
    <cellStyle name="Normal 2 6 6 3 5 2" xfId="30915"/>
    <cellStyle name="Normal 2 6 6 3 6" xfId="30916"/>
    <cellStyle name="Normal 2 6 6 3 7" xfId="30917"/>
    <cellStyle name="Normal 2 6 6 3 8" xfId="30918"/>
    <cellStyle name="Normal 2 6 6 3 9" xfId="30919"/>
    <cellStyle name="Normal 2 6 6 4" xfId="30920"/>
    <cellStyle name="Normal 2 6 6 4 2" xfId="30921"/>
    <cellStyle name="Normal 2 6 6 4 2 2" xfId="30922"/>
    <cellStyle name="Normal 2 6 6 4 2 3" xfId="30923"/>
    <cellStyle name="Normal 2 6 6 4 3" xfId="30924"/>
    <cellStyle name="Normal 2 6 6 4 4" xfId="30925"/>
    <cellStyle name="Normal 2 6 6 4 5" xfId="30926"/>
    <cellStyle name="Normal 2 6 6 4 6" xfId="30927"/>
    <cellStyle name="Normal 2 6 6 5" xfId="30928"/>
    <cellStyle name="Normal 2 6 6 5 2" xfId="30929"/>
    <cellStyle name="Normal 2 6 6 5 2 2" xfId="30930"/>
    <cellStyle name="Normal 2 6 6 5 3" xfId="30931"/>
    <cellStyle name="Normal 2 6 6 5 4" xfId="30932"/>
    <cellStyle name="Normal 2 6 6 5 5" xfId="30933"/>
    <cellStyle name="Normal 2 6 6 6" xfId="30934"/>
    <cellStyle name="Normal 2 6 6 6 2" xfId="30935"/>
    <cellStyle name="Normal 2 6 6 6 3" xfId="30936"/>
    <cellStyle name="Normal 2 6 6 6 4" xfId="30937"/>
    <cellStyle name="Normal 2 6 6 7" xfId="30938"/>
    <cellStyle name="Normal 2 6 6 7 2" xfId="30939"/>
    <cellStyle name="Normal 2 6 6 8" xfId="30940"/>
    <cellStyle name="Normal 2 6 6 9" xfId="30941"/>
    <cellStyle name="Normal 2 6 7" xfId="30942"/>
    <cellStyle name="Normal 2 6 7 10" xfId="30943"/>
    <cellStyle name="Normal 2 6 7 11" xfId="30944"/>
    <cellStyle name="Normal 2 6 7 2" xfId="30945"/>
    <cellStyle name="Normal 2 6 7 2 2" xfId="30946"/>
    <cellStyle name="Normal 2 6 7 2 2 2" xfId="30947"/>
    <cellStyle name="Normal 2 6 7 2 2 2 2" xfId="30948"/>
    <cellStyle name="Normal 2 6 7 2 2 2 3" xfId="30949"/>
    <cellStyle name="Normal 2 6 7 2 2 3" xfId="30950"/>
    <cellStyle name="Normal 2 6 7 2 2 4" xfId="30951"/>
    <cellStyle name="Normal 2 6 7 2 2 5" xfId="30952"/>
    <cellStyle name="Normal 2 6 7 2 2 6" xfId="30953"/>
    <cellStyle name="Normal 2 6 7 2 3" xfId="30954"/>
    <cellStyle name="Normal 2 6 7 2 3 2" xfId="30955"/>
    <cellStyle name="Normal 2 6 7 2 3 2 2" xfId="30956"/>
    <cellStyle name="Normal 2 6 7 2 3 3" xfId="30957"/>
    <cellStyle name="Normal 2 6 7 2 3 4" xfId="30958"/>
    <cellStyle name="Normal 2 6 7 2 3 5" xfId="30959"/>
    <cellStyle name="Normal 2 6 7 2 4" xfId="30960"/>
    <cellStyle name="Normal 2 6 7 2 4 2" xfId="30961"/>
    <cellStyle name="Normal 2 6 7 2 4 3" xfId="30962"/>
    <cellStyle name="Normal 2 6 7 2 4 4" xfId="30963"/>
    <cellStyle name="Normal 2 6 7 2 5" xfId="30964"/>
    <cellStyle name="Normal 2 6 7 2 5 2" xfId="30965"/>
    <cellStyle name="Normal 2 6 7 2 6" xfId="30966"/>
    <cellStyle name="Normal 2 6 7 2 7" xfId="30967"/>
    <cellStyle name="Normal 2 6 7 2 8" xfId="30968"/>
    <cellStyle name="Normal 2 6 7 2 9" xfId="30969"/>
    <cellStyle name="Normal 2 6 7 3" xfId="30970"/>
    <cellStyle name="Normal 2 6 7 3 2" xfId="30971"/>
    <cellStyle name="Normal 2 6 7 3 2 2" xfId="30972"/>
    <cellStyle name="Normal 2 6 7 3 2 2 2" xfId="30973"/>
    <cellStyle name="Normal 2 6 7 3 2 2 3" xfId="30974"/>
    <cellStyle name="Normal 2 6 7 3 2 3" xfId="30975"/>
    <cellStyle name="Normal 2 6 7 3 2 4" xfId="30976"/>
    <cellStyle name="Normal 2 6 7 3 2 5" xfId="30977"/>
    <cellStyle name="Normal 2 6 7 3 2 6" xfId="30978"/>
    <cellStyle name="Normal 2 6 7 3 3" xfId="30979"/>
    <cellStyle name="Normal 2 6 7 3 3 2" xfId="30980"/>
    <cellStyle name="Normal 2 6 7 3 3 2 2" xfId="30981"/>
    <cellStyle name="Normal 2 6 7 3 3 3" xfId="30982"/>
    <cellStyle name="Normal 2 6 7 3 3 4" xfId="30983"/>
    <cellStyle name="Normal 2 6 7 3 3 5" xfId="30984"/>
    <cellStyle name="Normal 2 6 7 3 4" xfId="30985"/>
    <cellStyle name="Normal 2 6 7 3 4 2" xfId="30986"/>
    <cellStyle name="Normal 2 6 7 3 4 3" xfId="30987"/>
    <cellStyle name="Normal 2 6 7 3 4 4" xfId="30988"/>
    <cellStyle name="Normal 2 6 7 3 5" xfId="30989"/>
    <cellStyle name="Normal 2 6 7 3 5 2" xfId="30990"/>
    <cellStyle name="Normal 2 6 7 3 6" xfId="30991"/>
    <cellStyle name="Normal 2 6 7 3 7" xfId="30992"/>
    <cellStyle name="Normal 2 6 7 3 8" xfId="30993"/>
    <cellStyle name="Normal 2 6 7 3 9" xfId="30994"/>
    <cellStyle name="Normal 2 6 7 4" xfId="30995"/>
    <cellStyle name="Normal 2 6 7 4 2" xfId="30996"/>
    <cellStyle name="Normal 2 6 7 4 2 2" xfId="30997"/>
    <cellStyle name="Normal 2 6 7 4 2 3" xfId="30998"/>
    <cellStyle name="Normal 2 6 7 4 3" xfId="30999"/>
    <cellStyle name="Normal 2 6 7 4 4" xfId="31000"/>
    <cellStyle name="Normal 2 6 7 4 5" xfId="31001"/>
    <cellStyle name="Normal 2 6 7 4 6" xfId="31002"/>
    <cellStyle name="Normal 2 6 7 5" xfId="31003"/>
    <cellStyle name="Normal 2 6 7 5 2" xfId="31004"/>
    <cellStyle name="Normal 2 6 7 5 2 2" xfId="31005"/>
    <cellStyle name="Normal 2 6 7 5 3" xfId="31006"/>
    <cellStyle name="Normal 2 6 7 5 4" xfId="31007"/>
    <cellStyle name="Normal 2 6 7 5 5" xfId="31008"/>
    <cellStyle name="Normal 2 6 7 6" xfId="31009"/>
    <cellStyle name="Normal 2 6 7 6 2" xfId="31010"/>
    <cellStyle name="Normal 2 6 7 6 3" xfId="31011"/>
    <cellStyle name="Normal 2 6 7 6 4" xfId="31012"/>
    <cellStyle name="Normal 2 6 7 7" xfId="31013"/>
    <cellStyle name="Normal 2 6 7 7 2" xfId="31014"/>
    <cellStyle name="Normal 2 6 7 8" xfId="31015"/>
    <cellStyle name="Normal 2 6 7 9" xfId="31016"/>
    <cellStyle name="Normal 2 6 8" xfId="31017"/>
    <cellStyle name="Normal 2 6 8 10" xfId="31018"/>
    <cellStyle name="Normal 2 6 8 11" xfId="31019"/>
    <cellStyle name="Normal 2 6 8 2" xfId="31020"/>
    <cellStyle name="Normal 2 6 8 2 2" xfId="31021"/>
    <cellStyle name="Normal 2 6 8 2 2 2" xfId="31022"/>
    <cellStyle name="Normal 2 6 8 2 2 2 2" xfId="31023"/>
    <cellStyle name="Normal 2 6 8 2 2 2 3" xfId="31024"/>
    <cellStyle name="Normal 2 6 8 2 2 3" xfId="31025"/>
    <cellStyle name="Normal 2 6 8 2 2 4" xfId="31026"/>
    <cellStyle name="Normal 2 6 8 2 2 5" xfId="31027"/>
    <cellStyle name="Normal 2 6 8 2 2 6" xfId="31028"/>
    <cellStyle name="Normal 2 6 8 2 3" xfId="31029"/>
    <cellStyle name="Normal 2 6 8 2 3 2" xfId="31030"/>
    <cellStyle name="Normal 2 6 8 2 3 2 2" xfId="31031"/>
    <cellStyle name="Normal 2 6 8 2 3 3" xfId="31032"/>
    <cellStyle name="Normal 2 6 8 2 3 4" xfId="31033"/>
    <cellStyle name="Normal 2 6 8 2 3 5" xfId="31034"/>
    <cellStyle name="Normal 2 6 8 2 4" xfId="31035"/>
    <cellStyle name="Normal 2 6 8 2 4 2" xfId="31036"/>
    <cellStyle name="Normal 2 6 8 2 4 3" xfId="31037"/>
    <cellStyle name="Normal 2 6 8 2 4 4" xfId="31038"/>
    <cellStyle name="Normal 2 6 8 2 5" xfId="31039"/>
    <cellStyle name="Normal 2 6 8 2 5 2" xfId="31040"/>
    <cellStyle name="Normal 2 6 8 2 6" xfId="31041"/>
    <cellStyle name="Normal 2 6 8 2 7" xfId="31042"/>
    <cellStyle name="Normal 2 6 8 2 8" xfId="31043"/>
    <cellStyle name="Normal 2 6 8 2 9" xfId="31044"/>
    <cellStyle name="Normal 2 6 8 3" xfId="31045"/>
    <cellStyle name="Normal 2 6 8 3 2" xfId="31046"/>
    <cellStyle name="Normal 2 6 8 3 2 2" xfId="31047"/>
    <cellStyle name="Normal 2 6 8 3 2 2 2" xfId="31048"/>
    <cellStyle name="Normal 2 6 8 3 2 2 3" xfId="31049"/>
    <cellStyle name="Normal 2 6 8 3 2 3" xfId="31050"/>
    <cellStyle name="Normal 2 6 8 3 2 4" xfId="31051"/>
    <cellStyle name="Normal 2 6 8 3 2 5" xfId="31052"/>
    <cellStyle name="Normal 2 6 8 3 2 6" xfId="31053"/>
    <cellStyle name="Normal 2 6 8 3 3" xfId="31054"/>
    <cellStyle name="Normal 2 6 8 3 3 2" xfId="31055"/>
    <cellStyle name="Normal 2 6 8 3 3 2 2" xfId="31056"/>
    <cellStyle name="Normal 2 6 8 3 3 3" xfId="31057"/>
    <cellStyle name="Normal 2 6 8 3 3 4" xfId="31058"/>
    <cellStyle name="Normal 2 6 8 3 3 5" xfId="31059"/>
    <cellStyle name="Normal 2 6 8 3 4" xfId="31060"/>
    <cellStyle name="Normal 2 6 8 3 4 2" xfId="31061"/>
    <cellStyle name="Normal 2 6 8 3 4 3" xfId="31062"/>
    <cellStyle name="Normal 2 6 8 3 4 4" xfId="31063"/>
    <cellStyle name="Normal 2 6 8 3 5" xfId="31064"/>
    <cellStyle name="Normal 2 6 8 3 5 2" xfId="31065"/>
    <cellStyle name="Normal 2 6 8 3 6" xfId="31066"/>
    <cellStyle name="Normal 2 6 8 3 7" xfId="31067"/>
    <cellStyle name="Normal 2 6 8 3 8" xfId="31068"/>
    <cellStyle name="Normal 2 6 8 3 9" xfId="31069"/>
    <cellStyle name="Normal 2 6 8 4" xfId="31070"/>
    <cellStyle name="Normal 2 6 8 4 2" xfId="31071"/>
    <cellStyle name="Normal 2 6 8 4 2 2" xfId="31072"/>
    <cellStyle name="Normal 2 6 8 4 2 3" xfId="31073"/>
    <cellStyle name="Normal 2 6 8 4 3" xfId="31074"/>
    <cellStyle name="Normal 2 6 8 4 4" xfId="31075"/>
    <cellStyle name="Normal 2 6 8 4 5" xfId="31076"/>
    <cellStyle name="Normal 2 6 8 4 6" xfId="31077"/>
    <cellStyle name="Normal 2 6 8 5" xfId="31078"/>
    <cellStyle name="Normal 2 6 8 5 2" xfId="31079"/>
    <cellStyle name="Normal 2 6 8 5 2 2" xfId="31080"/>
    <cellStyle name="Normal 2 6 8 5 3" xfId="31081"/>
    <cellStyle name="Normal 2 6 8 5 4" xfId="31082"/>
    <cellStyle name="Normal 2 6 8 5 5" xfId="31083"/>
    <cellStyle name="Normal 2 6 8 6" xfId="31084"/>
    <cellStyle name="Normal 2 6 8 6 2" xfId="31085"/>
    <cellStyle name="Normal 2 6 8 6 3" xfId="31086"/>
    <cellStyle name="Normal 2 6 8 6 4" xfId="31087"/>
    <cellStyle name="Normal 2 6 8 7" xfId="31088"/>
    <cellStyle name="Normal 2 6 8 7 2" xfId="31089"/>
    <cellStyle name="Normal 2 6 8 8" xfId="31090"/>
    <cellStyle name="Normal 2 6 8 9" xfId="31091"/>
    <cellStyle name="Normal 2 6 9" xfId="31092"/>
    <cellStyle name="Normal 2 6 9 10" xfId="31093"/>
    <cellStyle name="Normal 2 6 9 11" xfId="31094"/>
    <cellStyle name="Normal 2 6 9 2" xfId="31095"/>
    <cellStyle name="Normal 2 6 9 2 2" xfId="31096"/>
    <cellStyle name="Normal 2 6 9 2 2 2" xfId="31097"/>
    <cellStyle name="Normal 2 6 9 2 2 2 2" xfId="31098"/>
    <cellStyle name="Normal 2 6 9 2 2 2 3" xfId="31099"/>
    <cellStyle name="Normal 2 6 9 2 2 3" xfId="31100"/>
    <cellStyle name="Normal 2 6 9 2 2 4" xfId="31101"/>
    <cellStyle name="Normal 2 6 9 2 2 5" xfId="31102"/>
    <cellStyle name="Normal 2 6 9 2 2 6" xfId="31103"/>
    <cellStyle name="Normal 2 6 9 2 3" xfId="31104"/>
    <cellStyle name="Normal 2 6 9 2 3 2" xfId="31105"/>
    <cellStyle name="Normal 2 6 9 2 3 2 2" xfId="31106"/>
    <cellStyle name="Normal 2 6 9 2 3 3" xfId="31107"/>
    <cellStyle name="Normal 2 6 9 2 3 4" xfId="31108"/>
    <cellStyle name="Normal 2 6 9 2 3 5" xfId="31109"/>
    <cellStyle name="Normal 2 6 9 2 4" xfId="31110"/>
    <cellStyle name="Normal 2 6 9 2 4 2" xfId="31111"/>
    <cellStyle name="Normal 2 6 9 2 4 3" xfId="31112"/>
    <cellStyle name="Normal 2 6 9 2 4 4" xfId="31113"/>
    <cellStyle name="Normal 2 6 9 2 5" xfId="31114"/>
    <cellStyle name="Normal 2 6 9 2 5 2" xfId="31115"/>
    <cellStyle name="Normal 2 6 9 2 6" xfId="31116"/>
    <cellStyle name="Normal 2 6 9 2 7" xfId="31117"/>
    <cellStyle name="Normal 2 6 9 2 8" xfId="31118"/>
    <cellStyle name="Normal 2 6 9 2 9" xfId="31119"/>
    <cellStyle name="Normal 2 6 9 3" xfId="31120"/>
    <cellStyle name="Normal 2 6 9 3 2" xfId="31121"/>
    <cellStyle name="Normal 2 6 9 3 2 2" xfId="31122"/>
    <cellStyle name="Normal 2 6 9 3 2 2 2" xfId="31123"/>
    <cellStyle name="Normal 2 6 9 3 2 2 3" xfId="31124"/>
    <cellStyle name="Normal 2 6 9 3 2 3" xfId="31125"/>
    <cellStyle name="Normal 2 6 9 3 2 4" xfId="31126"/>
    <cellStyle name="Normal 2 6 9 3 2 5" xfId="31127"/>
    <cellStyle name="Normal 2 6 9 3 2 6" xfId="31128"/>
    <cellStyle name="Normal 2 6 9 3 3" xfId="31129"/>
    <cellStyle name="Normal 2 6 9 3 3 2" xfId="31130"/>
    <cellStyle name="Normal 2 6 9 3 3 2 2" xfId="31131"/>
    <cellStyle name="Normal 2 6 9 3 3 3" xfId="31132"/>
    <cellStyle name="Normal 2 6 9 3 3 4" xfId="31133"/>
    <cellStyle name="Normal 2 6 9 3 3 5" xfId="31134"/>
    <cellStyle name="Normal 2 6 9 3 4" xfId="31135"/>
    <cellStyle name="Normal 2 6 9 3 4 2" xfId="31136"/>
    <cellStyle name="Normal 2 6 9 3 4 3" xfId="31137"/>
    <cellStyle name="Normal 2 6 9 3 4 4" xfId="31138"/>
    <cellStyle name="Normal 2 6 9 3 5" xfId="31139"/>
    <cellStyle name="Normal 2 6 9 3 5 2" xfId="31140"/>
    <cellStyle name="Normal 2 6 9 3 6" xfId="31141"/>
    <cellStyle name="Normal 2 6 9 3 7" xfId="31142"/>
    <cellStyle name="Normal 2 6 9 3 8" xfId="31143"/>
    <cellStyle name="Normal 2 6 9 3 9" xfId="31144"/>
    <cellStyle name="Normal 2 6 9 4" xfId="31145"/>
    <cellStyle name="Normal 2 6 9 4 2" xfId="31146"/>
    <cellStyle name="Normal 2 6 9 4 2 2" xfId="31147"/>
    <cellStyle name="Normal 2 6 9 4 2 3" xfId="31148"/>
    <cellStyle name="Normal 2 6 9 4 3" xfId="31149"/>
    <cellStyle name="Normal 2 6 9 4 4" xfId="31150"/>
    <cellStyle name="Normal 2 6 9 4 5" xfId="31151"/>
    <cellStyle name="Normal 2 6 9 4 6" xfId="31152"/>
    <cellStyle name="Normal 2 6 9 5" xfId="31153"/>
    <cellStyle name="Normal 2 6 9 5 2" xfId="31154"/>
    <cellStyle name="Normal 2 6 9 5 2 2" xfId="31155"/>
    <cellStyle name="Normal 2 6 9 5 3" xfId="31156"/>
    <cellStyle name="Normal 2 6 9 5 4" xfId="31157"/>
    <cellStyle name="Normal 2 6 9 5 5" xfId="31158"/>
    <cellStyle name="Normal 2 6 9 6" xfId="31159"/>
    <cellStyle name="Normal 2 6 9 6 2" xfId="31160"/>
    <cellStyle name="Normal 2 6 9 6 3" xfId="31161"/>
    <cellStyle name="Normal 2 6 9 6 4" xfId="31162"/>
    <cellStyle name="Normal 2 6 9 7" xfId="31163"/>
    <cellStyle name="Normal 2 6 9 7 2" xfId="31164"/>
    <cellStyle name="Normal 2 6 9 8" xfId="31165"/>
    <cellStyle name="Normal 2 6 9 9" xfId="31166"/>
    <cellStyle name="Normal 2 60" xfId="31167"/>
    <cellStyle name="Normal 2 60 10" xfId="31168"/>
    <cellStyle name="Normal 2 60 2" xfId="31169"/>
    <cellStyle name="Normal 2 60 2 2" xfId="31170"/>
    <cellStyle name="Normal 2 60 2 2 2" xfId="31171"/>
    <cellStyle name="Normal 2 60 2 2 3" xfId="31172"/>
    <cellStyle name="Normal 2 60 2 3" xfId="31173"/>
    <cellStyle name="Normal 2 60 2 4" xfId="31174"/>
    <cellStyle name="Normal 2 60 2 5" xfId="31175"/>
    <cellStyle name="Normal 2 60 2 6" xfId="31176"/>
    <cellStyle name="Normal 2 60 3" xfId="31177"/>
    <cellStyle name="Normal 2 60 3 2" xfId="31178"/>
    <cellStyle name="Normal 2 60 3 2 2" xfId="31179"/>
    <cellStyle name="Normal 2 60 3 2 3" xfId="31180"/>
    <cellStyle name="Normal 2 60 3 3" xfId="31181"/>
    <cellStyle name="Normal 2 60 3 4" xfId="31182"/>
    <cellStyle name="Normal 2 60 3 5" xfId="31183"/>
    <cellStyle name="Normal 2 60 3 6" xfId="31184"/>
    <cellStyle name="Normal 2 60 4" xfId="31185"/>
    <cellStyle name="Normal 2 60 4 2" xfId="31186"/>
    <cellStyle name="Normal 2 60 4 2 2" xfId="31187"/>
    <cellStyle name="Normal 2 60 4 3" xfId="31188"/>
    <cellStyle name="Normal 2 60 4 4" xfId="31189"/>
    <cellStyle name="Normal 2 60 4 5" xfId="31190"/>
    <cellStyle name="Normal 2 60 5" xfId="31191"/>
    <cellStyle name="Normal 2 60 5 2" xfId="31192"/>
    <cellStyle name="Normal 2 60 5 3" xfId="31193"/>
    <cellStyle name="Normal 2 60 5 4" xfId="31194"/>
    <cellStyle name="Normal 2 60 6" xfId="31195"/>
    <cellStyle name="Normal 2 60 6 2" xfId="31196"/>
    <cellStyle name="Normal 2 60 7" xfId="31197"/>
    <cellStyle name="Normal 2 60 8" xfId="31198"/>
    <cellStyle name="Normal 2 60 9" xfId="31199"/>
    <cellStyle name="Normal 2 61" xfId="31200"/>
    <cellStyle name="Normal 2 61 2" xfId="31201"/>
    <cellStyle name="Normal 2 61 2 2" xfId="31202"/>
    <cellStyle name="Normal 2 61 2 2 2" xfId="31203"/>
    <cellStyle name="Normal 2 61 2 2 3" xfId="31204"/>
    <cellStyle name="Normal 2 61 2 3" xfId="31205"/>
    <cellStyle name="Normal 2 61 2 4" xfId="31206"/>
    <cellStyle name="Normal 2 61 2 5" xfId="31207"/>
    <cellStyle name="Normal 2 61 2 6" xfId="31208"/>
    <cellStyle name="Normal 2 61 3" xfId="31209"/>
    <cellStyle name="Normal 2 61 3 2" xfId="31210"/>
    <cellStyle name="Normal 2 61 3 2 2" xfId="31211"/>
    <cellStyle name="Normal 2 61 3 3" xfId="31212"/>
    <cellStyle name="Normal 2 61 3 4" xfId="31213"/>
    <cellStyle name="Normal 2 61 3 5" xfId="31214"/>
    <cellStyle name="Normal 2 61 4" xfId="31215"/>
    <cellStyle name="Normal 2 61 4 2" xfId="31216"/>
    <cellStyle name="Normal 2 61 4 3" xfId="31217"/>
    <cellStyle name="Normal 2 61 4 4" xfId="31218"/>
    <cellStyle name="Normal 2 61 5" xfId="31219"/>
    <cellStyle name="Normal 2 61 5 2" xfId="31220"/>
    <cellStyle name="Normal 2 61 6" xfId="31221"/>
    <cellStyle name="Normal 2 61 7" xfId="31222"/>
    <cellStyle name="Normal 2 61 8" xfId="31223"/>
    <cellStyle name="Normal 2 61 9" xfId="31224"/>
    <cellStyle name="Normal 2 62" xfId="31225"/>
    <cellStyle name="Normal 2 62 2" xfId="31226"/>
    <cellStyle name="Normal 2 62 2 2" xfId="31227"/>
    <cellStyle name="Normal 2 62 2 2 2" xfId="31228"/>
    <cellStyle name="Normal 2 62 2 3" xfId="31229"/>
    <cellStyle name="Normal 2 62 2 4" xfId="31230"/>
    <cellStyle name="Normal 2 62 2 5" xfId="31231"/>
    <cellStyle name="Normal 2 62 3" xfId="31232"/>
    <cellStyle name="Normal 2 62 3 2" xfId="31233"/>
    <cellStyle name="Normal 2 62 3 3" xfId="31234"/>
    <cellStyle name="Normal 2 62 3 4" xfId="31235"/>
    <cellStyle name="Normal 2 62 4" xfId="31236"/>
    <cellStyle name="Normal 2 62 4 2" xfId="31237"/>
    <cellStyle name="Normal 2 62 5" xfId="31238"/>
    <cellStyle name="Normal 2 62 6" xfId="31239"/>
    <cellStyle name="Normal 2 62 7" xfId="31240"/>
    <cellStyle name="Normal 2 62 8" xfId="31241"/>
    <cellStyle name="Normal 2 63" xfId="31242"/>
    <cellStyle name="Normal 2 63 2" xfId="31243"/>
    <cellStyle name="Normal 2 63 2 2" xfId="31244"/>
    <cellStyle name="Normal 2 63 2 3" xfId="31245"/>
    <cellStyle name="Normal 2 63 2 4" xfId="31246"/>
    <cellStyle name="Normal 2 63 3" xfId="31247"/>
    <cellStyle name="Normal 2 63 3 2" xfId="31248"/>
    <cellStyle name="Normal 2 63 4" xfId="31249"/>
    <cellStyle name="Normal 2 63 5" xfId="31250"/>
    <cellStyle name="Normal 2 63 6" xfId="31251"/>
    <cellStyle name="Normal 2 63 7" xfId="31252"/>
    <cellStyle name="Normal 2 64" xfId="31253"/>
    <cellStyle name="Normal 2 64 2" xfId="31254"/>
    <cellStyle name="Normal 2 64 2 2" xfId="31255"/>
    <cellStyle name="Normal 2 64 3" xfId="31256"/>
    <cellStyle name="Normal 2 64 4" xfId="31257"/>
    <cellStyle name="Normal 2 64 5" xfId="31258"/>
    <cellStyle name="Normal 2 65" xfId="31259"/>
    <cellStyle name="Normal 2 65 2" xfId="31260"/>
    <cellStyle name="Normal 2 65 3" xfId="31261"/>
    <cellStyle name="Normal 2 65 4" xfId="31262"/>
    <cellStyle name="Normal 2 66" xfId="31263"/>
    <cellStyle name="Normal 2 66 2" xfId="31264"/>
    <cellStyle name="Normal 2 67" xfId="31265"/>
    <cellStyle name="Normal 2 68" xfId="31266"/>
    <cellStyle name="Normal 2 69" xfId="31267"/>
    <cellStyle name="Normal 2 7" xfId="31268"/>
    <cellStyle name="Normal 2 7 10" xfId="31269"/>
    <cellStyle name="Normal 2 7 10 10" xfId="31270"/>
    <cellStyle name="Normal 2 7 10 11" xfId="31271"/>
    <cellStyle name="Normal 2 7 10 2" xfId="31272"/>
    <cellStyle name="Normal 2 7 10 2 2" xfId="31273"/>
    <cellStyle name="Normal 2 7 10 2 2 2" xfId="31274"/>
    <cellStyle name="Normal 2 7 10 2 2 2 2" xfId="31275"/>
    <cellStyle name="Normal 2 7 10 2 2 2 3" xfId="31276"/>
    <cellStyle name="Normal 2 7 10 2 2 3" xfId="31277"/>
    <cellStyle name="Normal 2 7 10 2 2 4" xfId="31278"/>
    <cellStyle name="Normal 2 7 10 2 2 5" xfId="31279"/>
    <cellStyle name="Normal 2 7 10 2 2 6" xfId="31280"/>
    <cellStyle name="Normal 2 7 10 2 3" xfId="31281"/>
    <cellStyle name="Normal 2 7 10 2 3 2" xfId="31282"/>
    <cellStyle name="Normal 2 7 10 2 3 2 2" xfId="31283"/>
    <cellStyle name="Normal 2 7 10 2 3 3" xfId="31284"/>
    <cellStyle name="Normal 2 7 10 2 3 4" xfId="31285"/>
    <cellStyle name="Normal 2 7 10 2 3 5" xfId="31286"/>
    <cellStyle name="Normal 2 7 10 2 4" xfId="31287"/>
    <cellStyle name="Normal 2 7 10 2 4 2" xfId="31288"/>
    <cellStyle name="Normal 2 7 10 2 4 3" xfId="31289"/>
    <cellStyle name="Normal 2 7 10 2 4 4" xfId="31290"/>
    <cellStyle name="Normal 2 7 10 2 5" xfId="31291"/>
    <cellStyle name="Normal 2 7 10 2 5 2" xfId="31292"/>
    <cellStyle name="Normal 2 7 10 2 6" xfId="31293"/>
    <cellStyle name="Normal 2 7 10 2 7" xfId="31294"/>
    <cellStyle name="Normal 2 7 10 2 8" xfId="31295"/>
    <cellStyle name="Normal 2 7 10 2 9" xfId="31296"/>
    <cellStyle name="Normal 2 7 10 3" xfId="31297"/>
    <cellStyle name="Normal 2 7 10 3 2" xfId="31298"/>
    <cellStyle name="Normal 2 7 10 3 2 2" xfId="31299"/>
    <cellStyle name="Normal 2 7 10 3 2 2 2" xfId="31300"/>
    <cellStyle name="Normal 2 7 10 3 2 2 3" xfId="31301"/>
    <cellStyle name="Normal 2 7 10 3 2 3" xfId="31302"/>
    <cellStyle name="Normal 2 7 10 3 2 4" xfId="31303"/>
    <cellStyle name="Normal 2 7 10 3 2 5" xfId="31304"/>
    <cellStyle name="Normal 2 7 10 3 2 6" xfId="31305"/>
    <cellStyle name="Normal 2 7 10 3 3" xfId="31306"/>
    <cellStyle name="Normal 2 7 10 3 3 2" xfId="31307"/>
    <cellStyle name="Normal 2 7 10 3 3 2 2" xfId="31308"/>
    <cellStyle name="Normal 2 7 10 3 3 3" xfId="31309"/>
    <cellStyle name="Normal 2 7 10 3 3 4" xfId="31310"/>
    <cellStyle name="Normal 2 7 10 3 3 5" xfId="31311"/>
    <cellStyle name="Normal 2 7 10 3 4" xfId="31312"/>
    <cellStyle name="Normal 2 7 10 3 4 2" xfId="31313"/>
    <cellStyle name="Normal 2 7 10 3 4 3" xfId="31314"/>
    <cellStyle name="Normal 2 7 10 3 4 4" xfId="31315"/>
    <cellStyle name="Normal 2 7 10 3 5" xfId="31316"/>
    <cellStyle name="Normal 2 7 10 3 5 2" xfId="31317"/>
    <cellStyle name="Normal 2 7 10 3 6" xfId="31318"/>
    <cellStyle name="Normal 2 7 10 3 7" xfId="31319"/>
    <cellStyle name="Normal 2 7 10 3 8" xfId="31320"/>
    <cellStyle name="Normal 2 7 10 3 9" xfId="31321"/>
    <cellStyle name="Normal 2 7 10 4" xfId="31322"/>
    <cellStyle name="Normal 2 7 10 4 2" xfId="31323"/>
    <cellStyle name="Normal 2 7 10 4 2 2" xfId="31324"/>
    <cellStyle name="Normal 2 7 10 4 2 3" xfId="31325"/>
    <cellStyle name="Normal 2 7 10 4 3" xfId="31326"/>
    <cellStyle name="Normal 2 7 10 4 4" xfId="31327"/>
    <cellStyle name="Normal 2 7 10 4 5" xfId="31328"/>
    <cellStyle name="Normal 2 7 10 4 6" xfId="31329"/>
    <cellStyle name="Normal 2 7 10 5" xfId="31330"/>
    <cellStyle name="Normal 2 7 10 5 2" xfId="31331"/>
    <cellStyle name="Normal 2 7 10 5 2 2" xfId="31332"/>
    <cellStyle name="Normal 2 7 10 5 3" xfId="31333"/>
    <cellStyle name="Normal 2 7 10 5 4" xfId="31334"/>
    <cellStyle name="Normal 2 7 10 5 5" xfId="31335"/>
    <cellStyle name="Normal 2 7 10 6" xfId="31336"/>
    <cellStyle name="Normal 2 7 10 6 2" xfId="31337"/>
    <cellStyle name="Normal 2 7 10 6 3" xfId="31338"/>
    <cellStyle name="Normal 2 7 10 6 4" xfId="31339"/>
    <cellStyle name="Normal 2 7 10 7" xfId="31340"/>
    <cellStyle name="Normal 2 7 10 7 2" xfId="31341"/>
    <cellStyle name="Normal 2 7 10 8" xfId="31342"/>
    <cellStyle name="Normal 2 7 10 9" xfId="31343"/>
    <cellStyle name="Normal 2 7 11" xfId="31344"/>
    <cellStyle name="Normal 2 7 11 10" xfId="31345"/>
    <cellStyle name="Normal 2 7 11 2" xfId="31346"/>
    <cellStyle name="Normal 2 7 11 2 2" xfId="31347"/>
    <cellStyle name="Normal 2 7 11 2 2 2" xfId="31348"/>
    <cellStyle name="Normal 2 7 11 2 2 3" xfId="31349"/>
    <cellStyle name="Normal 2 7 11 2 3" xfId="31350"/>
    <cellStyle name="Normal 2 7 11 2 4" xfId="31351"/>
    <cellStyle name="Normal 2 7 11 2 5" xfId="31352"/>
    <cellStyle name="Normal 2 7 11 2 6" xfId="31353"/>
    <cellStyle name="Normal 2 7 11 3" xfId="31354"/>
    <cellStyle name="Normal 2 7 11 3 2" xfId="31355"/>
    <cellStyle name="Normal 2 7 11 3 2 2" xfId="31356"/>
    <cellStyle name="Normal 2 7 11 3 2 3" xfId="31357"/>
    <cellStyle name="Normal 2 7 11 3 3" xfId="31358"/>
    <cellStyle name="Normal 2 7 11 3 4" xfId="31359"/>
    <cellStyle name="Normal 2 7 11 3 5" xfId="31360"/>
    <cellStyle name="Normal 2 7 11 3 6" xfId="31361"/>
    <cellStyle name="Normal 2 7 11 4" xfId="31362"/>
    <cellStyle name="Normal 2 7 11 4 2" xfId="31363"/>
    <cellStyle name="Normal 2 7 11 4 2 2" xfId="31364"/>
    <cellStyle name="Normal 2 7 11 4 3" xfId="31365"/>
    <cellStyle name="Normal 2 7 11 4 4" xfId="31366"/>
    <cellStyle name="Normal 2 7 11 4 5" xfId="31367"/>
    <cellStyle name="Normal 2 7 11 5" xfId="31368"/>
    <cellStyle name="Normal 2 7 11 5 2" xfId="31369"/>
    <cellStyle name="Normal 2 7 11 5 3" xfId="31370"/>
    <cellStyle name="Normal 2 7 11 5 4" xfId="31371"/>
    <cellStyle name="Normal 2 7 11 6" xfId="31372"/>
    <cellStyle name="Normal 2 7 11 6 2" xfId="31373"/>
    <cellStyle name="Normal 2 7 11 7" xfId="31374"/>
    <cellStyle name="Normal 2 7 11 8" xfId="31375"/>
    <cellStyle name="Normal 2 7 11 9" xfId="31376"/>
    <cellStyle name="Normal 2 7 12" xfId="31377"/>
    <cellStyle name="Normal 2 7 12 10" xfId="31378"/>
    <cellStyle name="Normal 2 7 12 2" xfId="31379"/>
    <cellStyle name="Normal 2 7 12 2 2" xfId="31380"/>
    <cellStyle name="Normal 2 7 12 2 2 2" xfId="31381"/>
    <cellStyle name="Normal 2 7 12 2 2 3" xfId="31382"/>
    <cellStyle name="Normal 2 7 12 2 3" xfId="31383"/>
    <cellStyle name="Normal 2 7 12 2 4" xfId="31384"/>
    <cellStyle name="Normal 2 7 12 2 5" xfId="31385"/>
    <cellStyle name="Normal 2 7 12 2 6" xfId="31386"/>
    <cellStyle name="Normal 2 7 12 3" xfId="31387"/>
    <cellStyle name="Normal 2 7 12 3 2" xfId="31388"/>
    <cellStyle name="Normal 2 7 12 3 2 2" xfId="31389"/>
    <cellStyle name="Normal 2 7 12 3 2 3" xfId="31390"/>
    <cellStyle name="Normal 2 7 12 3 3" xfId="31391"/>
    <cellStyle name="Normal 2 7 12 3 4" xfId="31392"/>
    <cellStyle name="Normal 2 7 12 3 5" xfId="31393"/>
    <cellStyle name="Normal 2 7 12 3 6" xfId="31394"/>
    <cellStyle name="Normal 2 7 12 4" xfId="31395"/>
    <cellStyle name="Normal 2 7 12 4 2" xfId="31396"/>
    <cellStyle name="Normal 2 7 12 4 2 2" xfId="31397"/>
    <cellStyle name="Normal 2 7 12 4 3" xfId="31398"/>
    <cellStyle name="Normal 2 7 12 4 4" xfId="31399"/>
    <cellStyle name="Normal 2 7 12 4 5" xfId="31400"/>
    <cellStyle name="Normal 2 7 12 5" xfId="31401"/>
    <cellStyle name="Normal 2 7 12 5 2" xfId="31402"/>
    <cellStyle name="Normal 2 7 12 5 3" xfId="31403"/>
    <cellStyle name="Normal 2 7 12 5 4" xfId="31404"/>
    <cellStyle name="Normal 2 7 12 6" xfId="31405"/>
    <cellStyle name="Normal 2 7 12 6 2" xfId="31406"/>
    <cellStyle name="Normal 2 7 12 7" xfId="31407"/>
    <cellStyle name="Normal 2 7 12 8" xfId="31408"/>
    <cellStyle name="Normal 2 7 12 9" xfId="31409"/>
    <cellStyle name="Normal 2 7 13" xfId="31410"/>
    <cellStyle name="Normal 2 7 13 10" xfId="31411"/>
    <cellStyle name="Normal 2 7 13 2" xfId="31412"/>
    <cellStyle name="Normal 2 7 13 2 2" xfId="31413"/>
    <cellStyle name="Normal 2 7 13 2 2 2" xfId="31414"/>
    <cellStyle name="Normal 2 7 13 2 2 3" xfId="31415"/>
    <cellStyle name="Normal 2 7 13 2 3" xfId="31416"/>
    <cellStyle name="Normal 2 7 13 2 4" xfId="31417"/>
    <cellStyle name="Normal 2 7 13 2 5" xfId="31418"/>
    <cellStyle name="Normal 2 7 13 2 6" xfId="31419"/>
    <cellStyle name="Normal 2 7 13 3" xfId="31420"/>
    <cellStyle name="Normal 2 7 13 3 2" xfId="31421"/>
    <cellStyle name="Normal 2 7 13 3 2 2" xfId="31422"/>
    <cellStyle name="Normal 2 7 13 3 2 3" xfId="31423"/>
    <cellStyle name="Normal 2 7 13 3 3" xfId="31424"/>
    <cellStyle name="Normal 2 7 13 3 4" xfId="31425"/>
    <cellStyle name="Normal 2 7 13 3 5" xfId="31426"/>
    <cellStyle name="Normal 2 7 13 3 6" xfId="31427"/>
    <cellStyle name="Normal 2 7 13 4" xfId="31428"/>
    <cellStyle name="Normal 2 7 13 4 2" xfId="31429"/>
    <cellStyle name="Normal 2 7 13 4 2 2" xfId="31430"/>
    <cellStyle name="Normal 2 7 13 4 3" xfId="31431"/>
    <cellStyle name="Normal 2 7 13 4 4" xfId="31432"/>
    <cellStyle name="Normal 2 7 13 4 5" xfId="31433"/>
    <cellStyle name="Normal 2 7 13 5" xfId="31434"/>
    <cellStyle name="Normal 2 7 13 5 2" xfId="31435"/>
    <cellStyle name="Normal 2 7 13 5 3" xfId="31436"/>
    <cellStyle name="Normal 2 7 13 5 4" xfId="31437"/>
    <cellStyle name="Normal 2 7 13 6" xfId="31438"/>
    <cellStyle name="Normal 2 7 13 6 2" xfId="31439"/>
    <cellStyle name="Normal 2 7 13 7" xfId="31440"/>
    <cellStyle name="Normal 2 7 13 8" xfId="31441"/>
    <cellStyle name="Normal 2 7 13 9" xfId="31442"/>
    <cellStyle name="Normal 2 7 14" xfId="31443"/>
    <cellStyle name="Normal 2 7 14 10" xfId="31444"/>
    <cellStyle name="Normal 2 7 14 2" xfId="31445"/>
    <cellStyle name="Normal 2 7 14 2 2" xfId="31446"/>
    <cellStyle name="Normal 2 7 14 2 2 2" xfId="31447"/>
    <cellStyle name="Normal 2 7 14 2 2 3" xfId="31448"/>
    <cellStyle name="Normal 2 7 14 2 3" xfId="31449"/>
    <cellStyle name="Normal 2 7 14 2 4" xfId="31450"/>
    <cellStyle name="Normal 2 7 14 2 5" xfId="31451"/>
    <cellStyle name="Normal 2 7 14 2 6" xfId="31452"/>
    <cellStyle name="Normal 2 7 14 3" xfId="31453"/>
    <cellStyle name="Normal 2 7 14 3 2" xfId="31454"/>
    <cellStyle name="Normal 2 7 14 3 2 2" xfId="31455"/>
    <cellStyle name="Normal 2 7 14 3 2 3" xfId="31456"/>
    <cellStyle name="Normal 2 7 14 3 3" xfId="31457"/>
    <cellStyle name="Normal 2 7 14 3 4" xfId="31458"/>
    <cellStyle name="Normal 2 7 14 3 5" xfId="31459"/>
    <cellStyle name="Normal 2 7 14 3 6" xfId="31460"/>
    <cellStyle name="Normal 2 7 14 4" xfId="31461"/>
    <cellStyle name="Normal 2 7 14 4 2" xfId="31462"/>
    <cellStyle name="Normal 2 7 14 4 2 2" xfId="31463"/>
    <cellStyle name="Normal 2 7 14 4 3" xfId="31464"/>
    <cellStyle name="Normal 2 7 14 4 4" xfId="31465"/>
    <cellStyle name="Normal 2 7 14 4 5" xfId="31466"/>
    <cellStyle name="Normal 2 7 14 5" xfId="31467"/>
    <cellStyle name="Normal 2 7 14 5 2" xfId="31468"/>
    <cellStyle name="Normal 2 7 14 5 3" xfId="31469"/>
    <cellStyle name="Normal 2 7 14 5 4" xfId="31470"/>
    <cellStyle name="Normal 2 7 14 6" xfId="31471"/>
    <cellStyle name="Normal 2 7 14 6 2" xfId="31472"/>
    <cellStyle name="Normal 2 7 14 7" xfId="31473"/>
    <cellStyle name="Normal 2 7 14 8" xfId="31474"/>
    <cellStyle name="Normal 2 7 14 9" xfId="31475"/>
    <cellStyle name="Normal 2 7 15" xfId="31476"/>
    <cellStyle name="Normal 2 7 15 10" xfId="31477"/>
    <cellStyle name="Normal 2 7 15 2" xfId="31478"/>
    <cellStyle name="Normal 2 7 15 2 2" xfId="31479"/>
    <cellStyle name="Normal 2 7 15 2 2 2" xfId="31480"/>
    <cellStyle name="Normal 2 7 15 2 2 3" xfId="31481"/>
    <cellStyle name="Normal 2 7 15 2 3" xfId="31482"/>
    <cellStyle name="Normal 2 7 15 2 4" xfId="31483"/>
    <cellStyle name="Normal 2 7 15 2 5" xfId="31484"/>
    <cellStyle name="Normal 2 7 15 2 6" xfId="31485"/>
    <cellStyle name="Normal 2 7 15 3" xfId="31486"/>
    <cellStyle name="Normal 2 7 15 3 2" xfId="31487"/>
    <cellStyle name="Normal 2 7 15 3 2 2" xfId="31488"/>
    <cellStyle name="Normal 2 7 15 3 2 3" xfId="31489"/>
    <cellStyle name="Normal 2 7 15 3 3" xfId="31490"/>
    <cellStyle name="Normal 2 7 15 3 4" xfId="31491"/>
    <cellStyle name="Normal 2 7 15 3 5" xfId="31492"/>
    <cellStyle name="Normal 2 7 15 3 6" xfId="31493"/>
    <cellStyle name="Normal 2 7 15 4" xfId="31494"/>
    <cellStyle name="Normal 2 7 15 4 2" xfId="31495"/>
    <cellStyle name="Normal 2 7 15 4 2 2" xfId="31496"/>
    <cellStyle name="Normal 2 7 15 4 3" xfId="31497"/>
    <cellStyle name="Normal 2 7 15 4 4" xfId="31498"/>
    <cellStyle name="Normal 2 7 15 4 5" xfId="31499"/>
    <cellStyle name="Normal 2 7 15 5" xfId="31500"/>
    <cellStyle name="Normal 2 7 15 5 2" xfId="31501"/>
    <cellStyle name="Normal 2 7 15 5 3" xfId="31502"/>
    <cellStyle name="Normal 2 7 15 5 4" xfId="31503"/>
    <cellStyle name="Normal 2 7 15 6" xfId="31504"/>
    <cellStyle name="Normal 2 7 15 6 2" xfId="31505"/>
    <cellStyle name="Normal 2 7 15 7" xfId="31506"/>
    <cellStyle name="Normal 2 7 15 8" xfId="31507"/>
    <cellStyle name="Normal 2 7 15 9" xfId="31508"/>
    <cellStyle name="Normal 2 7 16" xfId="31509"/>
    <cellStyle name="Normal 2 7 16 10" xfId="31510"/>
    <cellStyle name="Normal 2 7 16 2" xfId="31511"/>
    <cellStyle name="Normal 2 7 16 2 2" xfId="31512"/>
    <cellStyle name="Normal 2 7 16 2 2 2" xfId="31513"/>
    <cellStyle name="Normal 2 7 16 2 2 3" xfId="31514"/>
    <cellStyle name="Normal 2 7 16 2 3" xfId="31515"/>
    <cellStyle name="Normal 2 7 16 2 4" xfId="31516"/>
    <cellStyle name="Normal 2 7 16 2 5" xfId="31517"/>
    <cellStyle name="Normal 2 7 16 2 6" xfId="31518"/>
    <cellStyle name="Normal 2 7 16 3" xfId="31519"/>
    <cellStyle name="Normal 2 7 16 3 2" xfId="31520"/>
    <cellStyle name="Normal 2 7 16 3 2 2" xfId="31521"/>
    <cellStyle name="Normal 2 7 16 3 2 3" xfId="31522"/>
    <cellStyle name="Normal 2 7 16 3 3" xfId="31523"/>
    <cellStyle name="Normal 2 7 16 3 4" xfId="31524"/>
    <cellStyle name="Normal 2 7 16 3 5" xfId="31525"/>
    <cellStyle name="Normal 2 7 16 3 6" xfId="31526"/>
    <cellStyle name="Normal 2 7 16 4" xfId="31527"/>
    <cellStyle name="Normal 2 7 16 4 2" xfId="31528"/>
    <cellStyle name="Normal 2 7 16 4 2 2" xfId="31529"/>
    <cellStyle name="Normal 2 7 16 4 3" xfId="31530"/>
    <cellStyle name="Normal 2 7 16 4 4" xfId="31531"/>
    <cellStyle name="Normal 2 7 16 4 5" xfId="31532"/>
    <cellStyle name="Normal 2 7 16 5" xfId="31533"/>
    <cellStyle name="Normal 2 7 16 5 2" xfId="31534"/>
    <cellStyle name="Normal 2 7 16 5 3" xfId="31535"/>
    <cellStyle name="Normal 2 7 16 5 4" xfId="31536"/>
    <cellStyle name="Normal 2 7 16 6" xfId="31537"/>
    <cellStyle name="Normal 2 7 16 6 2" xfId="31538"/>
    <cellStyle name="Normal 2 7 16 7" xfId="31539"/>
    <cellStyle name="Normal 2 7 16 8" xfId="31540"/>
    <cellStyle name="Normal 2 7 16 9" xfId="31541"/>
    <cellStyle name="Normal 2 7 17" xfId="31542"/>
    <cellStyle name="Normal 2 7 17 10" xfId="31543"/>
    <cellStyle name="Normal 2 7 17 2" xfId="31544"/>
    <cellStyle name="Normal 2 7 17 2 2" xfId="31545"/>
    <cellStyle name="Normal 2 7 17 2 2 2" xfId="31546"/>
    <cellStyle name="Normal 2 7 17 2 2 3" xfId="31547"/>
    <cellStyle name="Normal 2 7 17 2 3" xfId="31548"/>
    <cellStyle name="Normal 2 7 17 2 4" xfId="31549"/>
    <cellStyle name="Normal 2 7 17 2 5" xfId="31550"/>
    <cellStyle name="Normal 2 7 17 2 6" xfId="31551"/>
    <cellStyle name="Normal 2 7 17 3" xfId="31552"/>
    <cellStyle name="Normal 2 7 17 3 2" xfId="31553"/>
    <cellStyle name="Normal 2 7 17 3 2 2" xfId="31554"/>
    <cellStyle name="Normal 2 7 17 3 2 3" xfId="31555"/>
    <cellStyle name="Normal 2 7 17 3 3" xfId="31556"/>
    <cellStyle name="Normal 2 7 17 3 4" xfId="31557"/>
    <cellStyle name="Normal 2 7 17 3 5" xfId="31558"/>
    <cellStyle name="Normal 2 7 17 3 6" xfId="31559"/>
    <cellStyle name="Normal 2 7 17 4" xfId="31560"/>
    <cellStyle name="Normal 2 7 17 4 2" xfId="31561"/>
    <cellStyle name="Normal 2 7 17 4 2 2" xfId="31562"/>
    <cellStyle name="Normal 2 7 17 4 3" xfId="31563"/>
    <cellStyle name="Normal 2 7 17 4 4" xfId="31564"/>
    <cellStyle name="Normal 2 7 17 4 5" xfId="31565"/>
    <cellStyle name="Normal 2 7 17 5" xfId="31566"/>
    <cellStyle name="Normal 2 7 17 5 2" xfId="31567"/>
    <cellStyle name="Normal 2 7 17 5 3" xfId="31568"/>
    <cellStyle name="Normal 2 7 17 5 4" xfId="31569"/>
    <cellStyle name="Normal 2 7 17 6" xfId="31570"/>
    <cellStyle name="Normal 2 7 17 6 2" xfId="31571"/>
    <cellStyle name="Normal 2 7 17 7" xfId="31572"/>
    <cellStyle name="Normal 2 7 17 8" xfId="31573"/>
    <cellStyle name="Normal 2 7 17 9" xfId="31574"/>
    <cellStyle name="Normal 2 7 18" xfId="31575"/>
    <cellStyle name="Normal 2 7 18 10" xfId="31576"/>
    <cellStyle name="Normal 2 7 18 2" xfId="31577"/>
    <cellStyle name="Normal 2 7 18 2 2" xfId="31578"/>
    <cellStyle name="Normal 2 7 18 2 2 2" xfId="31579"/>
    <cellStyle name="Normal 2 7 18 2 2 3" xfId="31580"/>
    <cellStyle name="Normal 2 7 18 2 3" xfId="31581"/>
    <cellStyle name="Normal 2 7 18 2 4" xfId="31582"/>
    <cellStyle name="Normal 2 7 18 2 5" xfId="31583"/>
    <cellStyle name="Normal 2 7 18 2 6" xfId="31584"/>
    <cellStyle name="Normal 2 7 18 3" xfId="31585"/>
    <cellStyle name="Normal 2 7 18 3 2" xfId="31586"/>
    <cellStyle name="Normal 2 7 18 3 2 2" xfId="31587"/>
    <cellStyle name="Normal 2 7 18 3 2 3" xfId="31588"/>
    <cellStyle name="Normal 2 7 18 3 3" xfId="31589"/>
    <cellStyle name="Normal 2 7 18 3 4" xfId="31590"/>
    <cellStyle name="Normal 2 7 18 3 5" xfId="31591"/>
    <cellStyle name="Normal 2 7 18 3 6" xfId="31592"/>
    <cellStyle name="Normal 2 7 18 4" xfId="31593"/>
    <cellStyle name="Normal 2 7 18 4 2" xfId="31594"/>
    <cellStyle name="Normal 2 7 18 4 2 2" xfId="31595"/>
    <cellStyle name="Normal 2 7 18 4 3" xfId="31596"/>
    <cellStyle name="Normal 2 7 18 4 4" xfId="31597"/>
    <cellStyle name="Normal 2 7 18 4 5" xfId="31598"/>
    <cellStyle name="Normal 2 7 18 5" xfId="31599"/>
    <cellStyle name="Normal 2 7 18 5 2" xfId="31600"/>
    <cellStyle name="Normal 2 7 18 5 3" xfId="31601"/>
    <cellStyle name="Normal 2 7 18 5 4" xfId="31602"/>
    <cellStyle name="Normal 2 7 18 6" xfId="31603"/>
    <cellStyle name="Normal 2 7 18 6 2" xfId="31604"/>
    <cellStyle name="Normal 2 7 18 7" xfId="31605"/>
    <cellStyle name="Normal 2 7 18 8" xfId="31606"/>
    <cellStyle name="Normal 2 7 18 9" xfId="31607"/>
    <cellStyle name="Normal 2 7 19" xfId="31608"/>
    <cellStyle name="Normal 2 7 19 10" xfId="31609"/>
    <cellStyle name="Normal 2 7 19 2" xfId="31610"/>
    <cellStyle name="Normal 2 7 19 2 2" xfId="31611"/>
    <cellStyle name="Normal 2 7 19 2 2 2" xfId="31612"/>
    <cellStyle name="Normal 2 7 19 2 2 3" xfId="31613"/>
    <cellStyle name="Normal 2 7 19 2 3" xfId="31614"/>
    <cellStyle name="Normal 2 7 19 2 4" xfId="31615"/>
    <cellStyle name="Normal 2 7 19 2 5" xfId="31616"/>
    <cellStyle name="Normal 2 7 19 2 6" xfId="31617"/>
    <cellStyle name="Normal 2 7 19 3" xfId="31618"/>
    <cellStyle name="Normal 2 7 19 3 2" xfId="31619"/>
    <cellStyle name="Normal 2 7 19 3 2 2" xfId="31620"/>
    <cellStyle name="Normal 2 7 19 3 2 3" xfId="31621"/>
    <cellStyle name="Normal 2 7 19 3 3" xfId="31622"/>
    <cellStyle name="Normal 2 7 19 3 4" xfId="31623"/>
    <cellStyle name="Normal 2 7 19 3 5" xfId="31624"/>
    <cellStyle name="Normal 2 7 19 3 6" xfId="31625"/>
    <cellStyle name="Normal 2 7 19 4" xfId="31626"/>
    <cellStyle name="Normal 2 7 19 4 2" xfId="31627"/>
    <cellStyle name="Normal 2 7 19 4 2 2" xfId="31628"/>
    <cellStyle name="Normal 2 7 19 4 3" xfId="31629"/>
    <cellStyle name="Normal 2 7 19 4 4" xfId="31630"/>
    <cellStyle name="Normal 2 7 19 4 5" xfId="31631"/>
    <cellStyle name="Normal 2 7 19 5" xfId="31632"/>
    <cellStyle name="Normal 2 7 19 5 2" xfId="31633"/>
    <cellStyle name="Normal 2 7 19 5 3" xfId="31634"/>
    <cellStyle name="Normal 2 7 19 5 4" xfId="31635"/>
    <cellStyle name="Normal 2 7 19 6" xfId="31636"/>
    <cellStyle name="Normal 2 7 19 6 2" xfId="31637"/>
    <cellStyle name="Normal 2 7 19 7" xfId="31638"/>
    <cellStyle name="Normal 2 7 19 8" xfId="31639"/>
    <cellStyle name="Normal 2 7 19 9" xfId="31640"/>
    <cellStyle name="Normal 2 7 2" xfId="31641"/>
    <cellStyle name="Normal 2 7 2 10" xfId="31642"/>
    <cellStyle name="Normal 2 7 2 10 10" xfId="31643"/>
    <cellStyle name="Normal 2 7 2 10 2" xfId="31644"/>
    <cellStyle name="Normal 2 7 2 10 2 2" xfId="31645"/>
    <cellStyle name="Normal 2 7 2 10 2 2 2" xfId="31646"/>
    <cellStyle name="Normal 2 7 2 10 2 2 3" xfId="31647"/>
    <cellStyle name="Normal 2 7 2 10 2 3" xfId="31648"/>
    <cellStyle name="Normal 2 7 2 10 2 4" xfId="31649"/>
    <cellStyle name="Normal 2 7 2 10 2 5" xfId="31650"/>
    <cellStyle name="Normal 2 7 2 10 2 6" xfId="31651"/>
    <cellStyle name="Normal 2 7 2 10 3" xfId="31652"/>
    <cellStyle name="Normal 2 7 2 10 3 2" xfId="31653"/>
    <cellStyle name="Normal 2 7 2 10 3 2 2" xfId="31654"/>
    <cellStyle name="Normal 2 7 2 10 3 2 3" xfId="31655"/>
    <cellStyle name="Normal 2 7 2 10 3 3" xfId="31656"/>
    <cellStyle name="Normal 2 7 2 10 3 4" xfId="31657"/>
    <cellStyle name="Normal 2 7 2 10 3 5" xfId="31658"/>
    <cellStyle name="Normal 2 7 2 10 3 6" xfId="31659"/>
    <cellStyle name="Normal 2 7 2 10 4" xfId="31660"/>
    <cellStyle name="Normal 2 7 2 10 4 2" xfId="31661"/>
    <cellStyle name="Normal 2 7 2 10 4 2 2" xfId="31662"/>
    <cellStyle name="Normal 2 7 2 10 4 3" xfId="31663"/>
    <cellStyle name="Normal 2 7 2 10 4 4" xfId="31664"/>
    <cellStyle name="Normal 2 7 2 10 4 5" xfId="31665"/>
    <cellStyle name="Normal 2 7 2 10 5" xfId="31666"/>
    <cellStyle name="Normal 2 7 2 10 5 2" xfId="31667"/>
    <cellStyle name="Normal 2 7 2 10 5 3" xfId="31668"/>
    <cellStyle name="Normal 2 7 2 10 5 4" xfId="31669"/>
    <cellStyle name="Normal 2 7 2 10 6" xfId="31670"/>
    <cellStyle name="Normal 2 7 2 10 6 2" xfId="31671"/>
    <cellStyle name="Normal 2 7 2 10 7" xfId="31672"/>
    <cellStyle name="Normal 2 7 2 10 8" xfId="31673"/>
    <cellStyle name="Normal 2 7 2 10 9" xfId="31674"/>
    <cellStyle name="Normal 2 7 2 11" xfId="31675"/>
    <cellStyle name="Normal 2 7 2 11 10" xfId="31676"/>
    <cellStyle name="Normal 2 7 2 11 2" xfId="31677"/>
    <cellStyle name="Normal 2 7 2 11 2 2" xfId="31678"/>
    <cellStyle name="Normal 2 7 2 11 2 2 2" xfId="31679"/>
    <cellStyle name="Normal 2 7 2 11 2 2 3" xfId="31680"/>
    <cellStyle name="Normal 2 7 2 11 2 3" xfId="31681"/>
    <cellStyle name="Normal 2 7 2 11 2 4" xfId="31682"/>
    <cellStyle name="Normal 2 7 2 11 2 5" xfId="31683"/>
    <cellStyle name="Normal 2 7 2 11 2 6" xfId="31684"/>
    <cellStyle name="Normal 2 7 2 11 3" xfId="31685"/>
    <cellStyle name="Normal 2 7 2 11 3 2" xfId="31686"/>
    <cellStyle name="Normal 2 7 2 11 3 2 2" xfId="31687"/>
    <cellStyle name="Normal 2 7 2 11 3 2 3" xfId="31688"/>
    <cellStyle name="Normal 2 7 2 11 3 3" xfId="31689"/>
    <cellStyle name="Normal 2 7 2 11 3 4" xfId="31690"/>
    <cellStyle name="Normal 2 7 2 11 3 5" xfId="31691"/>
    <cellStyle name="Normal 2 7 2 11 3 6" xfId="31692"/>
    <cellStyle name="Normal 2 7 2 11 4" xfId="31693"/>
    <cellStyle name="Normal 2 7 2 11 4 2" xfId="31694"/>
    <cellStyle name="Normal 2 7 2 11 4 2 2" xfId="31695"/>
    <cellStyle name="Normal 2 7 2 11 4 3" xfId="31696"/>
    <cellStyle name="Normal 2 7 2 11 4 4" xfId="31697"/>
    <cellStyle name="Normal 2 7 2 11 4 5" xfId="31698"/>
    <cellStyle name="Normal 2 7 2 11 5" xfId="31699"/>
    <cellStyle name="Normal 2 7 2 11 5 2" xfId="31700"/>
    <cellStyle name="Normal 2 7 2 11 5 3" xfId="31701"/>
    <cellStyle name="Normal 2 7 2 11 5 4" xfId="31702"/>
    <cellStyle name="Normal 2 7 2 11 6" xfId="31703"/>
    <cellStyle name="Normal 2 7 2 11 6 2" xfId="31704"/>
    <cellStyle name="Normal 2 7 2 11 7" xfId="31705"/>
    <cellStyle name="Normal 2 7 2 11 8" xfId="31706"/>
    <cellStyle name="Normal 2 7 2 11 9" xfId="31707"/>
    <cellStyle name="Normal 2 7 2 12" xfId="31708"/>
    <cellStyle name="Normal 2 7 2 12 10" xfId="31709"/>
    <cellStyle name="Normal 2 7 2 12 2" xfId="31710"/>
    <cellStyle name="Normal 2 7 2 12 2 2" xfId="31711"/>
    <cellStyle name="Normal 2 7 2 12 2 2 2" xfId="31712"/>
    <cellStyle name="Normal 2 7 2 12 2 2 3" xfId="31713"/>
    <cellStyle name="Normal 2 7 2 12 2 3" xfId="31714"/>
    <cellStyle name="Normal 2 7 2 12 2 4" xfId="31715"/>
    <cellStyle name="Normal 2 7 2 12 2 5" xfId="31716"/>
    <cellStyle name="Normal 2 7 2 12 2 6" xfId="31717"/>
    <cellStyle name="Normal 2 7 2 12 3" xfId="31718"/>
    <cellStyle name="Normal 2 7 2 12 3 2" xfId="31719"/>
    <cellStyle name="Normal 2 7 2 12 3 2 2" xfId="31720"/>
    <cellStyle name="Normal 2 7 2 12 3 2 3" xfId="31721"/>
    <cellStyle name="Normal 2 7 2 12 3 3" xfId="31722"/>
    <cellStyle name="Normal 2 7 2 12 3 4" xfId="31723"/>
    <cellStyle name="Normal 2 7 2 12 3 5" xfId="31724"/>
    <cellStyle name="Normal 2 7 2 12 3 6" xfId="31725"/>
    <cellStyle name="Normal 2 7 2 12 4" xfId="31726"/>
    <cellStyle name="Normal 2 7 2 12 4 2" xfId="31727"/>
    <cellStyle name="Normal 2 7 2 12 4 2 2" xfId="31728"/>
    <cellStyle name="Normal 2 7 2 12 4 3" xfId="31729"/>
    <cellStyle name="Normal 2 7 2 12 4 4" xfId="31730"/>
    <cellStyle name="Normal 2 7 2 12 4 5" xfId="31731"/>
    <cellStyle name="Normal 2 7 2 12 5" xfId="31732"/>
    <cellStyle name="Normal 2 7 2 12 5 2" xfId="31733"/>
    <cellStyle name="Normal 2 7 2 12 5 3" xfId="31734"/>
    <cellStyle name="Normal 2 7 2 12 5 4" xfId="31735"/>
    <cellStyle name="Normal 2 7 2 12 6" xfId="31736"/>
    <cellStyle name="Normal 2 7 2 12 6 2" xfId="31737"/>
    <cellStyle name="Normal 2 7 2 12 7" xfId="31738"/>
    <cellStyle name="Normal 2 7 2 12 8" xfId="31739"/>
    <cellStyle name="Normal 2 7 2 12 9" xfId="31740"/>
    <cellStyle name="Normal 2 7 2 13" xfId="31741"/>
    <cellStyle name="Normal 2 7 2 13 2" xfId="31742"/>
    <cellStyle name="Normal 2 7 2 13 2 2" xfId="31743"/>
    <cellStyle name="Normal 2 7 2 13 2 2 2" xfId="31744"/>
    <cellStyle name="Normal 2 7 2 13 2 2 3" xfId="31745"/>
    <cellStyle name="Normal 2 7 2 13 2 3" xfId="31746"/>
    <cellStyle name="Normal 2 7 2 13 2 4" xfId="31747"/>
    <cellStyle name="Normal 2 7 2 13 2 5" xfId="31748"/>
    <cellStyle name="Normal 2 7 2 13 2 6" xfId="31749"/>
    <cellStyle name="Normal 2 7 2 13 3" xfId="31750"/>
    <cellStyle name="Normal 2 7 2 13 3 2" xfId="31751"/>
    <cellStyle name="Normal 2 7 2 13 3 2 2" xfId="31752"/>
    <cellStyle name="Normal 2 7 2 13 3 3" xfId="31753"/>
    <cellStyle name="Normal 2 7 2 13 3 4" xfId="31754"/>
    <cellStyle name="Normal 2 7 2 13 3 5" xfId="31755"/>
    <cellStyle name="Normal 2 7 2 13 4" xfId="31756"/>
    <cellStyle name="Normal 2 7 2 13 4 2" xfId="31757"/>
    <cellStyle name="Normal 2 7 2 13 4 3" xfId="31758"/>
    <cellStyle name="Normal 2 7 2 13 4 4" xfId="31759"/>
    <cellStyle name="Normal 2 7 2 13 5" xfId="31760"/>
    <cellStyle name="Normal 2 7 2 13 5 2" xfId="31761"/>
    <cellStyle name="Normal 2 7 2 13 6" xfId="31762"/>
    <cellStyle name="Normal 2 7 2 13 7" xfId="31763"/>
    <cellStyle name="Normal 2 7 2 13 8" xfId="31764"/>
    <cellStyle name="Normal 2 7 2 13 9" xfId="31765"/>
    <cellStyle name="Normal 2 7 2 14" xfId="31766"/>
    <cellStyle name="Normal 2 7 2 14 2" xfId="31767"/>
    <cellStyle name="Normal 2 7 2 14 2 2" xfId="31768"/>
    <cellStyle name="Normal 2 7 2 14 2 2 2" xfId="31769"/>
    <cellStyle name="Normal 2 7 2 14 2 2 3" xfId="31770"/>
    <cellStyle name="Normal 2 7 2 14 2 3" xfId="31771"/>
    <cellStyle name="Normal 2 7 2 14 2 4" xfId="31772"/>
    <cellStyle name="Normal 2 7 2 14 2 5" xfId="31773"/>
    <cellStyle name="Normal 2 7 2 14 2 6" xfId="31774"/>
    <cellStyle name="Normal 2 7 2 14 3" xfId="31775"/>
    <cellStyle name="Normal 2 7 2 14 3 2" xfId="31776"/>
    <cellStyle name="Normal 2 7 2 14 3 2 2" xfId="31777"/>
    <cellStyle name="Normal 2 7 2 14 3 3" xfId="31778"/>
    <cellStyle name="Normal 2 7 2 14 3 4" xfId="31779"/>
    <cellStyle name="Normal 2 7 2 14 3 5" xfId="31780"/>
    <cellStyle name="Normal 2 7 2 14 4" xfId="31781"/>
    <cellStyle name="Normal 2 7 2 14 4 2" xfId="31782"/>
    <cellStyle name="Normal 2 7 2 14 4 3" xfId="31783"/>
    <cellStyle name="Normal 2 7 2 14 4 4" xfId="31784"/>
    <cellStyle name="Normal 2 7 2 14 5" xfId="31785"/>
    <cellStyle name="Normal 2 7 2 14 5 2" xfId="31786"/>
    <cellStyle name="Normal 2 7 2 14 6" xfId="31787"/>
    <cellStyle name="Normal 2 7 2 14 7" xfId="31788"/>
    <cellStyle name="Normal 2 7 2 14 8" xfId="31789"/>
    <cellStyle name="Normal 2 7 2 14 9" xfId="31790"/>
    <cellStyle name="Normal 2 7 2 15" xfId="31791"/>
    <cellStyle name="Normal 2 7 2 15 2" xfId="31792"/>
    <cellStyle name="Normal 2 7 2 15 2 2" xfId="31793"/>
    <cellStyle name="Normal 2 7 2 15 2 3" xfId="31794"/>
    <cellStyle name="Normal 2 7 2 15 3" xfId="31795"/>
    <cellStyle name="Normal 2 7 2 15 4" xfId="31796"/>
    <cellStyle name="Normal 2 7 2 15 5" xfId="31797"/>
    <cellStyle name="Normal 2 7 2 15 6" xfId="31798"/>
    <cellStyle name="Normal 2 7 2 16" xfId="31799"/>
    <cellStyle name="Normal 2 7 2 16 2" xfId="31800"/>
    <cellStyle name="Normal 2 7 2 16 2 2" xfId="31801"/>
    <cellStyle name="Normal 2 7 2 16 3" xfId="31802"/>
    <cellStyle name="Normal 2 7 2 16 4" xfId="31803"/>
    <cellStyle name="Normal 2 7 2 16 5" xfId="31804"/>
    <cellStyle name="Normal 2 7 2 17" xfId="31805"/>
    <cellStyle name="Normal 2 7 2 17 2" xfId="31806"/>
    <cellStyle name="Normal 2 7 2 17 2 2" xfId="31807"/>
    <cellStyle name="Normal 2 7 2 17 3" xfId="31808"/>
    <cellStyle name="Normal 2 7 2 17 4" xfId="31809"/>
    <cellStyle name="Normal 2 7 2 17 5" xfId="31810"/>
    <cellStyle name="Normal 2 7 2 18" xfId="31811"/>
    <cellStyle name="Normal 2 7 2 18 2" xfId="31812"/>
    <cellStyle name="Normal 2 7 2 19" xfId="31813"/>
    <cellStyle name="Normal 2 7 2 2" xfId="31814"/>
    <cellStyle name="Normal 2 7 2 2 10" xfId="31815"/>
    <cellStyle name="Normal 2 7 2 2 11" xfId="31816"/>
    <cellStyle name="Normal 2 7 2 2 2" xfId="31817"/>
    <cellStyle name="Normal 2 7 2 2 2 2" xfId="31818"/>
    <cellStyle name="Normal 2 7 2 2 2 2 2" xfId="31819"/>
    <cellStyle name="Normal 2 7 2 2 2 2 2 2" xfId="31820"/>
    <cellStyle name="Normal 2 7 2 2 2 2 2 3" xfId="31821"/>
    <cellStyle name="Normal 2 7 2 2 2 2 3" xfId="31822"/>
    <cellStyle name="Normal 2 7 2 2 2 2 4" xfId="31823"/>
    <cellStyle name="Normal 2 7 2 2 2 2 5" xfId="31824"/>
    <cellStyle name="Normal 2 7 2 2 2 2 6" xfId="31825"/>
    <cellStyle name="Normal 2 7 2 2 2 3" xfId="31826"/>
    <cellStyle name="Normal 2 7 2 2 2 3 2" xfId="31827"/>
    <cellStyle name="Normal 2 7 2 2 2 3 2 2" xfId="31828"/>
    <cellStyle name="Normal 2 7 2 2 2 3 3" xfId="31829"/>
    <cellStyle name="Normal 2 7 2 2 2 3 4" xfId="31830"/>
    <cellStyle name="Normal 2 7 2 2 2 3 5" xfId="31831"/>
    <cellStyle name="Normal 2 7 2 2 2 4" xfId="31832"/>
    <cellStyle name="Normal 2 7 2 2 2 4 2" xfId="31833"/>
    <cellStyle name="Normal 2 7 2 2 2 4 3" xfId="31834"/>
    <cellStyle name="Normal 2 7 2 2 2 4 4" xfId="31835"/>
    <cellStyle name="Normal 2 7 2 2 2 5" xfId="31836"/>
    <cellStyle name="Normal 2 7 2 2 2 5 2" xfId="31837"/>
    <cellStyle name="Normal 2 7 2 2 2 6" xfId="31838"/>
    <cellStyle name="Normal 2 7 2 2 2 7" xfId="31839"/>
    <cellStyle name="Normal 2 7 2 2 2 8" xfId="31840"/>
    <cellStyle name="Normal 2 7 2 2 2 9" xfId="31841"/>
    <cellStyle name="Normal 2 7 2 2 3" xfId="31842"/>
    <cellStyle name="Normal 2 7 2 2 3 2" xfId="31843"/>
    <cellStyle name="Normal 2 7 2 2 3 2 2" xfId="31844"/>
    <cellStyle name="Normal 2 7 2 2 3 2 2 2" xfId="31845"/>
    <cellStyle name="Normal 2 7 2 2 3 2 2 3" xfId="31846"/>
    <cellStyle name="Normal 2 7 2 2 3 2 3" xfId="31847"/>
    <cellStyle name="Normal 2 7 2 2 3 2 4" xfId="31848"/>
    <cellStyle name="Normal 2 7 2 2 3 2 5" xfId="31849"/>
    <cellStyle name="Normal 2 7 2 2 3 2 6" xfId="31850"/>
    <cellStyle name="Normal 2 7 2 2 3 3" xfId="31851"/>
    <cellStyle name="Normal 2 7 2 2 3 3 2" xfId="31852"/>
    <cellStyle name="Normal 2 7 2 2 3 3 2 2" xfId="31853"/>
    <cellStyle name="Normal 2 7 2 2 3 3 3" xfId="31854"/>
    <cellStyle name="Normal 2 7 2 2 3 3 4" xfId="31855"/>
    <cellStyle name="Normal 2 7 2 2 3 3 5" xfId="31856"/>
    <cellStyle name="Normal 2 7 2 2 3 4" xfId="31857"/>
    <cellStyle name="Normal 2 7 2 2 3 4 2" xfId="31858"/>
    <cellStyle name="Normal 2 7 2 2 3 4 3" xfId="31859"/>
    <cellStyle name="Normal 2 7 2 2 3 4 4" xfId="31860"/>
    <cellStyle name="Normal 2 7 2 2 3 5" xfId="31861"/>
    <cellStyle name="Normal 2 7 2 2 3 5 2" xfId="31862"/>
    <cellStyle name="Normal 2 7 2 2 3 6" xfId="31863"/>
    <cellStyle name="Normal 2 7 2 2 3 7" xfId="31864"/>
    <cellStyle name="Normal 2 7 2 2 3 8" xfId="31865"/>
    <cellStyle name="Normal 2 7 2 2 3 9" xfId="31866"/>
    <cellStyle name="Normal 2 7 2 2 4" xfId="31867"/>
    <cellStyle name="Normal 2 7 2 2 4 2" xfId="31868"/>
    <cellStyle name="Normal 2 7 2 2 4 2 2" xfId="31869"/>
    <cellStyle name="Normal 2 7 2 2 4 2 3" xfId="31870"/>
    <cellStyle name="Normal 2 7 2 2 4 3" xfId="31871"/>
    <cellStyle name="Normal 2 7 2 2 4 4" xfId="31872"/>
    <cellStyle name="Normal 2 7 2 2 4 5" xfId="31873"/>
    <cellStyle name="Normal 2 7 2 2 4 6" xfId="31874"/>
    <cellStyle name="Normal 2 7 2 2 5" xfId="31875"/>
    <cellStyle name="Normal 2 7 2 2 5 2" xfId="31876"/>
    <cellStyle name="Normal 2 7 2 2 5 2 2" xfId="31877"/>
    <cellStyle name="Normal 2 7 2 2 5 3" xfId="31878"/>
    <cellStyle name="Normal 2 7 2 2 5 4" xfId="31879"/>
    <cellStyle name="Normal 2 7 2 2 5 5" xfId="31880"/>
    <cellStyle name="Normal 2 7 2 2 6" xfId="31881"/>
    <cellStyle name="Normal 2 7 2 2 6 2" xfId="31882"/>
    <cellStyle name="Normal 2 7 2 2 6 3" xfId="31883"/>
    <cellStyle name="Normal 2 7 2 2 6 4" xfId="31884"/>
    <cellStyle name="Normal 2 7 2 2 7" xfId="31885"/>
    <cellStyle name="Normal 2 7 2 2 7 2" xfId="31886"/>
    <cellStyle name="Normal 2 7 2 2 8" xfId="31887"/>
    <cellStyle name="Normal 2 7 2 2 9" xfId="31888"/>
    <cellStyle name="Normal 2 7 2 20" xfId="31889"/>
    <cellStyle name="Normal 2 7 2 21" xfId="31890"/>
    <cellStyle name="Normal 2 7 2 22" xfId="31891"/>
    <cellStyle name="Normal 2 7 2 3" xfId="31892"/>
    <cellStyle name="Normal 2 7 2 3 10" xfId="31893"/>
    <cellStyle name="Normal 2 7 2 3 11" xfId="31894"/>
    <cellStyle name="Normal 2 7 2 3 2" xfId="31895"/>
    <cellStyle name="Normal 2 7 2 3 2 2" xfId="31896"/>
    <cellStyle name="Normal 2 7 2 3 2 2 2" xfId="31897"/>
    <cellStyle name="Normal 2 7 2 3 2 2 2 2" xfId="31898"/>
    <cellStyle name="Normal 2 7 2 3 2 2 2 3" xfId="31899"/>
    <cellStyle name="Normal 2 7 2 3 2 2 3" xfId="31900"/>
    <cellStyle name="Normal 2 7 2 3 2 2 4" xfId="31901"/>
    <cellStyle name="Normal 2 7 2 3 2 2 5" xfId="31902"/>
    <cellStyle name="Normal 2 7 2 3 2 2 6" xfId="31903"/>
    <cellStyle name="Normal 2 7 2 3 2 3" xfId="31904"/>
    <cellStyle name="Normal 2 7 2 3 2 3 2" xfId="31905"/>
    <cellStyle name="Normal 2 7 2 3 2 3 2 2" xfId="31906"/>
    <cellStyle name="Normal 2 7 2 3 2 3 3" xfId="31907"/>
    <cellStyle name="Normal 2 7 2 3 2 3 4" xfId="31908"/>
    <cellStyle name="Normal 2 7 2 3 2 3 5" xfId="31909"/>
    <cellStyle name="Normal 2 7 2 3 2 4" xfId="31910"/>
    <cellStyle name="Normal 2 7 2 3 2 4 2" xfId="31911"/>
    <cellStyle name="Normal 2 7 2 3 2 4 3" xfId="31912"/>
    <cellStyle name="Normal 2 7 2 3 2 4 4" xfId="31913"/>
    <cellStyle name="Normal 2 7 2 3 2 5" xfId="31914"/>
    <cellStyle name="Normal 2 7 2 3 2 5 2" xfId="31915"/>
    <cellStyle name="Normal 2 7 2 3 2 6" xfId="31916"/>
    <cellStyle name="Normal 2 7 2 3 2 7" xfId="31917"/>
    <cellStyle name="Normal 2 7 2 3 2 8" xfId="31918"/>
    <cellStyle name="Normal 2 7 2 3 2 9" xfId="31919"/>
    <cellStyle name="Normal 2 7 2 3 3" xfId="31920"/>
    <cellStyle name="Normal 2 7 2 3 3 2" xfId="31921"/>
    <cellStyle name="Normal 2 7 2 3 3 2 2" xfId="31922"/>
    <cellStyle name="Normal 2 7 2 3 3 2 2 2" xfId="31923"/>
    <cellStyle name="Normal 2 7 2 3 3 2 2 3" xfId="31924"/>
    <cellStyle name="Normal 2 7 2 3 3 2 3" xfId="31925"/>
    <cellStyle name="Normal 2 7 2 3 3 2 4" xfId="31926"/>
    <cellStyle name="Normal 2 7 2 3 3 2 5" xfId="31927"/>
    <cellStyle name="Normal 2 7 2 3 3 2 6" xfId="31928"/>
    <cellStyle name="Normal 2 7 2 3 3 3" xfId="31929"/>
    <cellStyle name="Normal 2 7 2 3 3 3 2" xfId="31930"/>
    <cellStyle name="Normal 2 7 2 3 3 3 2 2" xfId="31931"/>
    <cellStyle name="Normal 2 7 2 3 3 3 3" xfId="31932"/>
    <cellStyle name="Normal 2 7 2 3 3 3 4" xfId="31933"/>
    <cellStyle name="Normal 2 7 2 3 3 3 5" xfId="31934"/>
    <cellStyle name="Normal 2 7 2 3 3 4" xfId="31935"/>
    <cellStyle name="Normal 2 7 2 3 3 4 2" xfId="31936"/>
    <cellStyle name="Normal 2 7 2 3 3 4 3" xfId="31937"/>
    <cellStyle name="Normal 2 7 2 3 3 4 4" xfId="31938"/>
    <cellStyle name="Normal 2 7 2 3 3 5" xfId="31939"/>
    <cellStyle name="Normal 2 7 2 3 3 5 2" xfId="31940"/>
    <cellStyle name="Normal 2 7 2 3 3 6" xfId="31941"/>
    <cellStyle name="Normal 2 7 2 3 3 7" xfId="31942"/>
    <cellStyle name="Normal 2 7 2 3 3 8" xfId="31943"/>
    <cellStyle name="Normal 2 7 2 3 3 9" xfId="31944"/>
    <cellStyle name="Normal 2 7 2 3 4" xfId="31945"/>
    <cellStyle name="Normal 2 7 2 3 4 2" xfId="31946"/>
    <cellStyle name="Normal 2 7 2 3 4 2 2" xfId="31947"/>
    <cellStyle name="Normal 2 7 2 3 4 2 3" xfId="31948"/>
    <cellStyle name="Normal 2 7 2 3 4 3" xfId="31949"/>
    <cellStyle name="Normal 2 7 2 3 4 4" xfId="31950"/>
    <cellStyle name="Normal 2 7 2 3 4 5" xfId="31951"/>
    <cellStyle name="Normal 2 7 2 3 4 6" xfId="31952"/>
    <cellStyle name="Normal 2 7 2 3 5" xfId="31953"/>
    <cellStyle name="Normal 2 7 2 3 5 2" xfId="31954"/>
    <cellStyle name="Normal 2 7 2 3 5 2 2" xfId="31955"/>
    <cellStyle name="Normal 2 7 2 3 5 3" xfId="31956"/>
    <cellStyle name="Normal 2 7 2 3 5 4" xfId="31957"/>
    <cellStyle name="Normal 2 7 2 3 5 5" xfId="31958"/>
    <cellStyle name="Normal 2 7 2 3 6" xfId="31959"/>
    <cellStyle name="Normal 2 7 2 3 6 2" xfId="31960"/>
    <cellStyle name="Normal 2 7 2 3 6 3" xfId="31961"/>
    <cellStyle name="Normal 2 7 2 3 6 4" xfId="31962"/>
    <cellStyle name="Normal 2 7 2 3 7" xfId="31963"/>
    <cellStyle name="Normal 2 7 2 3 7 2" xfId="31964"/>
    <cellStyle name="Normal 2 7 2 3 8" xfId="31965"/>
    <cellStyle name="Normal 2 7 2 3 9" xfId="31966"/>
    <cellStyle name="Normal 2 7 2 4" xfId="31967"/>
    <cellStyle name="Normal 2 7 2 4 10" xfId="31968"/>
    <cellStyle name="Normal 2 7 2 4 11" xfId="31969"/>
    <cellStyle name="Normal 2 7 2 4 2" xfId="31970"/>
    <cellStyle name="Normal 2 7 2 4 2 2" xfId="31971"/>
    <cellStyle name="Normal 2 7 2 4 2 2 2" xfId="31972"/>
    <cellStyle name="Normal 2 7 2 4 2 2 2 2" xfId="31973"/>
    <cellStyle name="Normal 2 7 2 4 2 2 2 3" xfId="31974"/>
    <cellStyle name="Normal 2 7 2 4 2 2 3" xfId="31975"/>
    <cellStyle name="Normal 2 7 2 4 2 2 4" xfId="31976"/>
    <cellStyle name="Normal 2 7 2 4 2 2 5" xfId="31977"/>
    <cellStyle name="Normal 2 7 2 4 2 2 6" xfId="31978"/>
    <cellStyle name="Normal 2 7 2 4 2 3" xfId="31979"/>
    <cellStyle name="Normal 2 7 2 4 2 3 2" xfId="31980"/>
    <cellStyle name="Normal 2 7 2 4 2 3 2 2" xfId="31981"/>
    <cellStyle name="Normal 2 7 2 4 2 3 3" xfId="31982"/>
    <cellStyle name="Normal 2 7 2 4 2 3 4" xfId="31983"/>
    <cellStyle name="Normal 2 7 2 4 2 3 5" xfId="31984"/>
    <cellStyle name="Normal 2 7 2 4 2 4" xfId="31985"/>
    <cellStyle name="Normal 2 7 2 4 2 4 2" xfId="31986"/>
    <cellStyle name="Normal 2 7 2 4 2 4 3" xfId="31987"/>
    <cellStyle name="Normal 2 7 2 4 2 4 4" xfId="31988"/>
    <cellStyle name="Normal 2 7 2 4 2 5" xfId="31989"/>
    <cellStyle name="Normal 2 7 2 4 2 5 2" xfId="31990"/>
    <cellStyle name="Normal 2 7 2 4 2 6" xfId="31991"/>
    <cellStyle name="Normal 2 7 2 4 2 7" xfId="31992"/>
    <cellStyle name="Normal 2 7 2 4 2 8" xfId="31993"/>
    <cellStyle name="Normal 2 7 2 4 2 9" xfId="31994"/>
    <cellStyle name="Normal 2 7 2 4 3" xfId="31995"/>
    <cellStyle name="Normal 2 7 2 4 3 2" xfId="31996"/>
    <cellStyle name="Normal 2 7 2 4 3 2 2" xfId="31997"/>
    <cellStyle name="Normal 2 7 2 4 3 2 2 2" xfId="31998"/>
    <cellStyle name="Normal 2 7 2 4 3 2 2 3" xfId="31999"/>
    <cellStyle name="Normal 2 7 2 4 3 2 3" xfId="32000"/>
    <cellStyle name="Normal 2 7 2 4 3 2 4" xfId="32001"/>
    <cellStyle name="Normal 2 7 2 4 3 2 5" xfId="32002"/>
    <cellStyle name="Normal 2 7 2 4 3 2 6" xfId="32003"/>
    <cellStyle name="Normal 2 7 2 4 3 3" xfId="32004"/>
    <cellStyle name="Normal 2 7 2 4 3 3 2" xfId="32005"/>
    <cellStyle name="Normal 2 7 2 4 3 3 2 2" xfId="32006"/>
    <cellStyle name="Normal 2 7 2 4 3 3 3" xfId="32007"/>
    <cellStyle name="Normal 2 7 2 4 3 3 4" xfId="32008"/>
    <cellStyle name="Normal 2 7 2 4 3 3 5" xfId="32009"/>
    <cellStyle name="Normal 2 7 2 4 3 4" xfId="32010"/>
    <cellStyle name="Normal 2 7 2 4 3 4 2" xfId="32011"/>
    <cellStyle name="Normal 2 7 2 4 3 4 3" xfId="32012"/>
    <cellStyle name="Normal 2 7 2 4 3 4 4" xfId="32013"/>
    <cellStyle name="Normal 2 7 2 4 3 5" xfId="32014"/>
    <cellStyle name="Normal 2 7 2 4 3 5 2" xfId="32015"/>
    <cellStyle name="Normal 2 7 2 4 3 6" xfId="32016"/>
    <cellStyle name="Normal 2 7 2 4 3 7" xfId="32017"/>
    <cellStyle name="Normal 2 7 2 4 3 8" xfId="32018"/>
    <cellStyle name="Normal 2 7 2 4 3 9" xfId="32019"/>
    <cellStyle name="Normal 2 7 2 4 4" xfId="32020"/>
    <cellStyle name="Normal 2 7 2 4 4 2" xfId="32021"/>
    <cellStyle name="Normal 2 7 2 4 4 2 2" xfId="32022"/>
    <cellStyle name="Normal 2 7 2 4 4 2 3" xfId="32023"/>
    <cellStyle name="Normal 2 7 2 4 4 3" xfId="32024"/>
    <cellStyle name="Normal 2 7 2 4 4 4" xfId="32025"/>
    <cellStyle name="Normal 2 7 2 4 4 5" xfId="32026"/>
    <cellStyle name="Normal 2 7 2 4 4 6" xfId="32027"/>
    <cellStyle name="Normal 2 7 2 4 5" xfId="32028"/>
    <cellStyle name="Normal 2 7 2 4 5 2" xfId="32029"/>
    <cellStyle name="Normal 2 7 2 4 5 2 2" xfId="32030"/>
    <cellStyle name="Normal 2 7 2 4 5 3" xfId="32031"/>
    <cellStyle name="Normal 2 7 2 4 5 4" xfId="32032"/>
    <cellStyle name="Normal 2 7 2 4 5 5" xfId="32033"/>
    <cellStyle name="Normal 2 7 2 4 6" xfId="32034"/>
    <cellStyle name="Normal 2 7 2 4 6 2" xfId="32035"/>
    <cellStyle name="Normal 2 7 2 4 6 3" xfId="32036"/>
    <cellStyle name="Normal 2 7 2 4 6 4" xfId="32037"/>
    <cellStyle name="Normal 2 7 2 4 7" xfId="32038"/>
    <cellStyle name="Normal 2 7 2 4 7 2" xfId="32039"/>
    <cellStyle name="Normal 2 7 2 4 8" xfId="32040"/>
    <cellStyle name="Normal 2 7 2 4 9" xfId="32041"/>
    <cellStyle name="Normal 2 7 2 5" xfId="32042"/>
    <cellStyle name="Normal 2 7 2 5 10" xfId="32043"/>
    <cellStyle name="Normal 2 7 2 5 11" xfId="32044"/>
    <cellStyle name="Normal 2 7 2 5 2" xfId="32045"/>
    <cellStyle name="Normal 2 7 2 5 2 2" xfId="32046"/>
    <cellStyle name="Normal 2 7 2 5 2 2 2" xfId="32047"/>
    <cellStyle name="Normal 2 7 2 5 2 2 2 2" xfId="32048"/>
    <cellStyle name="Normal 2 7 2 5 2 2 2 3" xfId="32049"/>
    <cellStyle name="Normal 2 7 2 5 2 2 3" xfId="32050"/>
    <cellStyle name="Normal 2 7 2 5 2 2 4" xfId="32051"/>
    <cellStyle name="Normal 2 7 2 5 2 2 5" xfId="32052"/>
    <cellStyle name="Normal 2 7 2 5 2 2 6" xfId="32053"/>
    <cellStyle name="Normal 2 7 2 5 2 3" xfId="32054"/>
    <cellStyle name="Normal 2 7 2 5 2 3 2" xfId="32055"/>
    <cellStyle name="Normal 2 7 2 5 2 3 2 2" xfId="32056"/>
    <cellStyle name="Normal 2 7 2 5 2 3 3" xfId="32057"/>
    <cellStyle name="Normal 2 7 2 5 2 3 4" xfId="32058"/>
    <cellStyle name="Normal 2 7 2 5 2 3 5" xfId="32059"/>
    <cellStyle name="Normal 2 7 2 5 2 4" xfId="32060"/>
    <cellStyle name="Normal 2 7 2 5 2 4 2" xfId="32061"/>
    <cellStyle name="Normal 2 7 2 5 2 4 3" xfId="32062"/>
    <cellStyle name="Normal 2 7 2 5 2 4 4" xfId="32063"/>
    <cellStyle name="Normal 2 7 2 5 2 5" xfId="32064"/>
    <cellStyle name="Normal 2 7 2 5 2 5 2" xfId="32065"/>
    <cellStyle name="Normal 2 7 2 5 2 6" xfId="32066"/>
    <cellStyle name="Normal 2 7 2 5 2 7" xfId="32067"/>
    <cellStyle name="Normal 2 7 2 5 2 8" xfId="32068"/>
    <cellStyle name="Normal 2 7 2 5 2 9" xfId="32069"/>
    <cellStyle name="Normal 2 7 2 5 3" xfId="32070"/>
    <cellStyle name="Normal 2 7 2 5 3 2" xfId="32071"/>
    <cellStyle name="Normal 2 7 2 5 3 2 2" xfId="32072"/>
    <cellStyle name="Normal 2 7 2 5 3 2 2 2" xfId="32073"/>
    <cellStyle name="Normal 2 7 2 5 3 2 2 3" xfId="32074"/>
    <cellStyle name="Normal 2 7 2 5 3 2 3" xfId="32075"/>
    <cellStyle name="Normal 2 7 2 5 3 2 4" xfId="32076"/>
    <cellStyle name="Normal 2 7 2 5 3 2 5" xfId="32077"/>
    <cellStyle name="Normal 2 7 2 5 3 2 6" xfId="32078"/>
    <cellStyle name="Normal 2 7 2 5 3 3" xfId="32079"/>
    <cellStyle name="Normal 2 7 2 5 3 3 2" xfId="32080"/>
    <cellStyle name="Normal 2 7 2 5 3 3 2 2" xfId="32081"/>
    <cellStyle name="Normal 2 7 2 5 3 3 3" xfId="32082"/>
    <cellStyle name="Normal 2 7 2 5 3 3 4" xfId="32083"/>
    <cellStyle name="Normal 2 7 2 5 3 3 5" xfId="32084"/>
    <cellStyle name="Normal 2 7 2 5 3 4" xfId="32085"/>
    <cellStyle name="Normal 2 7 2 5 3 4 2" xfId="32086"/>
    <cellStyle name="Normal 2 7 2 5 3 4 3" xfId="32087"/>
    <cellStyle name="Normal 2 7 2 5 3 4 4" xfId="32088"/>
    <cellStyle name="Normal 2 7 2 5 3 5" xfId="32089"/>
    <cellStyle name="Normal 2 7 2 5 3 5 2" xfId="32090"/>
    <cellStyle name="Normal 2 7 2 5 3 6" xfId="32091"/>
    <cellStyle name="Normal 2 7 2 5 3 7" xfId="32092"/>
    <cellStyle name="Normal 2 7 2 5 3 8" xfId="32093"/>
    <cellStyle name="Normal 2 7 2 5 3 9" xfId="32094"/>
    <cellStyle name="Normal 2 7 2 5 4" xfId="32095"/>
    <cellStyle name="Normal 2 7 2 5 4 2" xfId="32096"/>
    <cellStyle name="Normal 2 7 2 5 4 2 2" xfId="32097"/>
    <cellStyle name="Normal 2 7 2 5 4 2 3" xfId="32098"/>
    <cellStyle name="Normal 2 7 2 5 4 3" xfId="32099"/>
    <cellStyle name="Normal 2 7 2 5 4 4" xfId="32100"/>
    <cellStyle name="Normal 2 7 2 5 4 5" xfId="32101"/>
    <cellStyle name="Normal 2 7 2 5 4 6" xfId="32102"/>
    <cellStyle name="Normal 2 7 2 5 5" xfId="32103"/>
    <cellStyle name="Normal 2 7 2 5 5 2" xfId="32104"/>
    <cellStyle name="Normal 2 7 2 5 5 2 2" xfId="32105"/>
    <cellStyle name="Normal 2 7 2 5 5 3" xfId="32106"/>
    <cellStyle name="Normal 2 7 2 5 5 4" xfId="32107"/>
    <cellStyle name="Normal 2 7 2 5 5 5" xfId="32108"/>
    <cellStyle name="Normal 2 7 2 5 6" xfId="32109"/>
    <cellStyle name="Normal 2 7 2 5 6 2" xfId="32110"/>
    <cellStyle name="Normal 2 7 2 5 6 3" xfId="32111"/>
    <cellStyle name="Normal 2 7 2 5 6 4" xfId="32112"/>
    <cellStyle name="Normal 2 7 2 5 7" xfId="32113"/>
    <cellStyle name="Normal 2 7 2 5 7 2" xfId="32114"/>
    <cellStyle name="Normal 2 7 2 5 8" xfId="32115"/>
    <cellStyle name="Normal 2 7 2 5 9" xfId="32116"/>
    <cellStyle name="Normal 2 7 2 6" xfId="32117"/>
    <cellStyle name="Normal 2 7 2 6 10" xfId="32118"/>
    <cellStyle name="Normal 2 7 2 6 11" xfId="32119"/>
    <cellStyle name="Normal 2 7 2 6 2" xfId="32120"/>
    <cellStyle name="Normal 2 7 2 6 2 2" xfId="32121"/>
    <cellStyle name="Normal 2 7 2 6 2 2 2" xfId="32122"/>
    <cellStyle name="Normal 2 7 2 6 2 2 2 2" xfId="32123"/>
    <cellStyle name="Normal 2 7 2 6 2 2 2 3" xfId="32124"/>
    <cellStyle name="Normal 2 7 2 6 2 2 3" xfId="32125"/>
    <cellStyle name="Normal 2 7 2 6 2 2 4" xfId="32126"/>
    <cellStyle name="Normal 2 7 2 6 2 2 5" xfId="32127"/>
    <cellStyle name="Normal 2 7 2 6 2 2 6" xfId="32128"/>
    <cellStyle name="Normal 2 7 2 6 2 3" xfId="32129"/>
    <cellStyle name="Normal 2 7 2 6 2 3 2" xfId="32130"/>
    <cellStyle name="Normal 2 7 2 6 2 3 2 2" xfId="32131"/>
    <cellStyle name="Normal 2 7 2 6 2 3 3" xfId="32132"/>
    <cellStyle name="Normal 2 7 2 6 2 3 4" xfId="32133"/>
    <cellStyle name="Normal 2 7 2 6 2 3 5" xfId="32134"/>
    <cellStyle name="Normal 2 7 2 6 2 4" xfId="32135"/>
    <cellStyle name="Normal 2 7 2 6 2 4 2" xfId="32136"/>
    <cellStyle name="Normal 2 7 2 6 2 4 3" xfId="32137"/>
    <cellStyle name="Normal 2 7 2 6 2 4 4" xfId="32138"/>
    <cellStyle name="Normal 2 7 2 6 2 5" xfId="32139"/>
    <cellStyle name="Normal 2 7 2 6 2 5 2" xfId="32140"/>
    <cellStyle name="Normal 2 7 2 6 2 6" xfId="32141"/>
    <cellStyle name="Normal 2 7 2 6 2 7" xfId="32142"/>
    <cellStyle name="Normal 2 7 2 6 2 8" xfId="32143"/>
    <cellStyle name="Normal 2 7 2 6 2 9" xfId="32144"/>
    <cellStyle name="Normal 2 7 2 6 3" xfId="32145"/>
    <cellStyle name="Normal 2 7 2 6 3 2" xfId="32146"/>
    <cellStyle name="Normal 2 7 2 6 3 2 2" xfId="32147"/>
    <cellStyle name="Normal 2 7 2 6 3 2 2 2" xfId="32148"/>
    <cellStyle name="Normal 2 7 2 6 3 2 2 3" xfId="32149"/>
    <cellStyle name="Normal 2 7 2 6 3 2 3" xfId="32150"/>
    <cellStyle name="Normal 2 7 2 6 3 2 4" xfId="32151"/>
    <cellStyle name="Normal 2 7 2 6 3 2 5" xfId="32152"/>
    <cellStyle name="Normal 2 7 2 6 3 2 6" xfId="32153"/>
    <cellStyle name="Normal 2 7 2 6 3 3" xfId="32154"/>
    <cellStyle name="Normal 2 7 2 6 3 3 2" xfId="32155"/>
    <cellStyle name="Normal 2 7 2 6 3 3 2 2" xfId="32156"/>
    <cellStyle name="Normal 2 7 2 6 3 3 3" xfId="32157"/>
    <cellStyle name="Normal 2 7 2 6 3 3 4" xfId="32158"/>
    <cellStyle name="Normal 2 7 2 6 3 3 5" xfId="32159"/>
    <cellStyle name="Normal 2 7 2 6 3 4" xfId="32160"/>
    <cellStyle name="Normal 2 7 2 6 3 4 2" xfId="32161"/>
    <cellStyle name="Normal 2 7 2 6 3 4 3" xfId="32162"/>
    <cellStyle name="Normal 2 7 2 6 3 4 4" xfId="32163"/>
    <cellStyle name="Normal 2 7 2 6 3 5" xfId="32164"/>
    <cellStyle name="Normal 2 7 2 6 3 5 2" xfId="32165"/>
    <cellStyle name="Normal 2 7 2 6 3 6" xfId="32166"/>
    <cellStyle name="Normal 2 7 2 6 3 7" xfId="32167"/>
    <cellStyle name="Normal 2 7 2 6 3 8" xfId="32168"/>
    <cellStyle name="Normal 2 7 2 6 3 9" xfId="32169"/>
    <cellStyle name="Normal 2 7 2 6 4" xfId="32170"/>
    <cellStyle name="Normal 2 7 2 6 4 2" xfId="32171"/>
    <cellStyle name="Normal 2 7 2 6 4 2 2" xfId="32172"/>
    <cellStyle name="Normal 2 7 2 6 4 2 3" xfId="32173"/>
    <cellStyle name="Normal 2 7 2 6 4 3" xfId="32174"/>
    <cellStyle name="Normal 2 7 2 6 4 4" xfId="32175"/>
    <cellStyle name="Normal 2 7 2 6 4 5" xfId="32176"/>
    <cellStyle name="Normal 2 7 2 6 4 6" xfId="32177"/>
    <cellStyle name="Normal 2 7 2 6 5" xfId="32178"/>
    <cellStyle name="Normal 2 7 2 6 5 2" xfId="32179"/>
    <cellStyle name="Normal 2 7 2 6 5 2 2" xfId="32180"/>
    <cellStyle name="Normal 2 7 2 6 5 3" xfId="32181"/>
    <cellStyle name="Normal 2 7 2 6 5 4" xfId="32182"/>
    <cellStyle name="Normal 2 7 2 6 5 5" xfId="32183"/>
    <cellStyle name="Normal 2 7 2 6 6" xfId="32184"/>
    <cellStyle name="Normal 2 7 2 6 6 2" xfId="32185"/>
    <cellStyle name="Normal 2 7 2 6 6 3" xfId="32186"/>
    <cellStyle name="Normal 2 7 2 6 6 4" xfId="32187"/>
    <cellStyle name="Normal 2 7 2 6 7" xfId="32188"/>
    <cellStyle name="Normal 2 7 2 6 7 2" xfId="32189"/>
    <cellStyle name="Normal 2 7 2 6 8" xfId="32190"/>
    <cellStyle name="Normal 2 7 2 6 9" xfId="32191"/>
    <cellStyle name="Normal 2 7 2 7" xfId="32192"/>
    <cellStyle name="Normal 2 7 2 7 10" xfId="32193"/>
    <cellStyle name="Normal 2 7 2 7 11" xfId="32194"/>
    <cellStyle name="Normal 2 7 2 7 2" xfId="32195"/>
    <cellStyle name="Normal 2 7 2 7 2 2" xfId="32196"/>
    <cellStyle name="Normal 2 7 2 7 2 2 2" xfId="32197"/>
    <cellStyle name="Normal 2 7 2 7 2 2 2 2" xfId="32198"/>
    <cellStyle name="Normal 2 7 2 7 2 2 2 3" xfId="32199"/>
    <cellStyle name="Normal 2 7 2 7 2 2 3" xfId="32200"/>
    <cellStyle name="Normal 2 7 2 7 2 2 4" xfId="32201"/>
    <cellStyle name="Normal 2 7 2 7 2 2 5" xfId="32202"/>
    <cellStyle name="Normal 2 7 2 7 2 2 6" xfId="32203"/>
    <cellStyle name="Normal 2 7 2 7 2 3" xfId="32204"/>
    <cellStyle name="Normal 2 7 2 7 2 3 2" xfId="32205"/>
    <cellStyle name="Normal 2 7 2 7 2 3 2 2" xfId="32206"/>
    <cellStyle name="Normal 2 7 2 7 2 3 3" xfId="32207"/>
    <cellStyle name="Normal 2 7 2 7 2 3 4" xfId="32208"/>
    <cellStyle name="Normal 2 7 2 7 2 3 5" xfId="32209"/>
    <cellStyle name="Normal 2 7 2 7 2 4" xfId="32210"/>
    <cellStyle name="Normal 2 7 2 7 2 4 2" xfId="32211"/>
    <cellStyle name="Normal 2 7 2 7 2 4 3" xfId="32212"/>
    <cellStyle name="Normal 2 7 2 7 2 4 4" xfId="32213"/>
    <cellStyle name="Normal 2 7 2 7 2 5" xfId="32214"/>
    <cellStyle name="Normal 2 7 2 7 2 5 2" xfId="32215"/>
    <cellStyle name="Normal 2 7 2 7 2 6" xfId="32216"/>
    <cellStyle name="Normal 2 7 2 7 2 7" xfId="32217"/>
    <cellStyle name="Normal 2 7 2 7 2 8" xfId="32218"/>
    <cellStyle name="Normal 2 7 2 7 2 9" xfId="32219"/>
    <cellStyle name="Normal 2 7 2 7 3" xfId="32220"/>
    <cellStyle name="Normal 2 7 2 7 3 2" xfId="32221"/>
    <cellStyle name="Normal 2 7 2 7 3 2 2" xfId="32222"/>
    <cellStyle name="Normal 2 7 2 7 3 2 2 2" xfId="32223"/>
    <cellStyle name="Normal 2 7 2 7 3 2 2 3" xfId="32224"/>
    <cellStyle name="Normal 2 7 2 7 3 2 3" xfId="32225"/>
    <cellStyle name="Normal 2 7 2 7 3 2 4" xfId="32226"/>
    <cellStyle name="Normal 2 7 2 7 3 2 5" xfId="32227"/>
    <cellStyle name="Normal 2 7 2 7 3 2 6" xfId="32228"/>
    <cellStyle name="Normal 2 7 2 7 3 3" xfId="32229"/>
    <cellStyle name="Normal 2 7 2 7 3 3 2" xfId="32230"/>
    <cellStyle name="Normal 2 7 2 7 3 3 2 2" xfId="32231"/>
    <cellStyle name="Normal 2 7 2 7 3 3 3" xfId="32232"/>
    <cellStyle name="Normal 2 7 2 7 3 3 4" xfId="32233"/>
    <cellStyle name="Normal 2 7 2 7 3 3 5" xfId="32234"/>
    <cellStyle name="Normal 2 7 2 7 3 4" xfId="32235"/>
    <cellStyle name="Normal 2 7 2 7 3 4 2" xfId="32236"/>
    <cellStyle name="Normal 2 7 2 7 3 4 3" xfId="32237"/>
    <cellStyle name="Normal 2 7 2 7 3 4 4" xfId="32238"/>
    <cellStyle name="Normal 2 7 2 7 3 5" xfId="32239"/>
    <cellStyle name="Normal 2 7 2 7 3 5 2" xfId="32240"/>
    <cellStyle name="Normal 2 7 2 7 3 6" xfId="32241"/>
    <cellStyle name="Normal 2 7 2 7 3 7" xfId="32242"/>
    <cellStyle name="Normal 2 7 2 7 3 8" xfId="32243"/>
    <cellStyle name="Normal 2 7 2 7 3 9" xfId="32244"/>
    <cellStyle name="Normal 2 7 2 7 4" xfId="32245"/>
    <cellStyle name="Normal 2 7 2 7 4 2" xfId="32246"/>
    <cellStyle name="Normal 2 7 2 7 4 2 2" xfId="32247"/>
    <cellStyle name="Normal 2 7 2 7 4 2 3" xfId="32248"/>
    <cellStyle name="Normal 2 7 2 7 4 3" xfId="32249"/>
    <cellStyle name="Normal 2 7 2 7 4 4" xfId="32250"/>
    <cellStyle name="Normal 2 7 2 7 4 5" xfId="32251"/>
    <cellStyle name="Normal 2 7 2 7 4 6" xfId="32252"/>
    <cellStyle name="Normal 2 7 2 7 5" xfId="32253"/>
    <cellStyle name="Normal 2 7 2 7 5 2" xfId="32254"/>
    <cellStyle name="Normal 2 7 2 7 5 2 2" xfId="32255"/>
    <cellStyle name="Normal 2 7 2 7 5 3" xfId="32256"/>
    <cellStyle name="Normal 2 7 2 7 5 4" xfId="32257"/>
    <cellStyle name="Normal 2 7 2 7 5 5" xfId="32258"/>
    <cellStyle name="Normal 2 7 2 7 6" xfId="32259"/>
    <cellStyle name="Normal 2 7 2 7 6 2" xfId="32260"/>
    <cellStyle name="Normal 2 7 2 7 6 3" xfId="32261"/>
    <cellStyle name="Normal 2 7 2 7 6 4" xfId="32262"/>
    <cellStyle name="Normal 2 7 2 7 7" xfId="32263"/>
    <cellStyle name="Normal 2 7 2 7 7 2" xfId="32264"/>
    <cellStyle name="Normal 2 7 2 7 8" xfId="32265"/>
    <cellStyle name="Normal 2 7 2 7 9" xfId="32266"/>
    <cellStyle name="Normal 2 7 2 8" xfId="32267"/>
    <cellStyle name="Normal 2 7 2 8 10" xfId="32268"/>
    <cellStyle name="Normal 2 7 2 8 2" xfId="32269"/>
    <cellStyle name="Normal 2 7 2 8 2 2" xfId="32270"/>
    <cellStyle name="Normal 2 7 2 8 2 2 2" xfId="32271"/>
    <cellStyle name="Normal 2 7 2 8 2 2 3" xfId="32272"/>
    <cellStyle name="Normal 2 7 2 8 2 3" xfId="32273"/>
    <cellStyle name="Normal 2 7 2 8 2 4" xfId="32274"/>
    <cellStyle name="Normal 2 7 2 8 2 5" xfId="32275"/>
    <cellStyle name="Normal 2 7 2 8 2 6" xfId="32276"/>
    <cellStyle name="Normal 2 7 2 8 3" xfId="32277"/>
    <cellStyle name="Normal 2 7 2 8 3 2" xfId="32278"/>
    <cellStyle name="Normal 2 7 2 8 3 2 2" xfId="32279"/>
    <cellStyle name="Normal 2 7 2 8 3 2 3" xfId="32280"/>
    <cellStyle name="Normal 2 7 2 8 3 3" xfId="32281"/>
    <cellStyle name="Normal 2 7 2 8 3 4" xfId="32282"/>
    <cellStyle name="Normal 2 7 2 8 3 5" xfId="32283"/>
    <cellStyle name="Normal 2 7 2 8 3 6" xfId="32284"/>
    <cellStyle name="Normal 2 7 2 8 4" xfId="32285"/>
    <cellStyle name="Normal 2 7 2 8 4 2" xfId="32286"/>
    <cellStyle name="Normal 2 7 2 8 4 2 2" xfId="32287"/>
    <cellStyle name="Normal 2 7 2 8 4 3" xfId="32288"/>
    <cellStyle name="Normal 2 7 2 8 4 4" xfId="32289"/>
    <cellStyle name="Normal 2 7 2 8 4 5" xfId="32290"/>
    <cellStyle name="Normal 2 7 2 8 5" xfId="32291"/>
    <cellStyle name="Normal 2 7 2 8 5 2" xfId="32292"/>
    <cellStyle name="Normal 2 7 2 8 5 3" xfId="32293"/>
    <cellStyle name="Normal 2 7 2 8 5 4" xfId="32294"/>
    <cellStyle name="Normal 2 7 2 8 6" xfId="32295"/>
    <cellStyle name="Normal 2 7 2 8 6 2" xfId="32296"/>
    <cellStyle name="Normal 2 7 2 8 7" xfId="32297"/>
    <cellStyle name="Normal 2 7 2 8 8" xfId="32298"/>
    <cellStyle name="Normal 2 7 2 8 9" xfId="32299"/>
    <cellStyle name="Normal 2 7 2 9" xfId="32300"/>
    <cellStyle name="Normal 2 7 2 9 10" xfId="32301"/>
    <cellStyle name="Normal 2 7 2 9 2" xfId="32302"/>
    <cellStyle name="Normal 2 7 2 9 2 2" xfId="32303"/>
    <cellStyle name="Normal 2 7 2 9 2 2 2" xfId="32304"/>
    <cellStyle name="Normal 2 7 2 9 2 2 3" xfId="32305"/>
    <cellStyle name="Normal 2 7 2 9 2 3" xfId="32306"/>
    <cellStyle name="Normal 2 7 2 9 2 4" xfId="32307"/>
    <cellStyle name="Normal 2 7 2 9 2 5" xfId="32308"/>
    <cellStyle name="Normal 2 7 2 9 2 6" xfId="32309"/>
    <cellStyle name="Normal 2 7 2 9 3" xfId="32310"/>
    <cellStyle name="Normal 2 7 2 9 3 2" xfId="32311"/>
    <cellStyle name="Normal 2 7 2 9 3 2 2" xfId="32312"/>
    <cellStyle name="Normal 2 7 2 9 3 2 3" xfId="32313"/>
    <cellStyle name="Normal 2 7 2 9 3 3" xfId="32314"/>
    <cellStyle name="Normal 2 7 2 9 3 4" xfId="32315"/>
    <cellStyle name="Normal 2 7 2 9 3 5" xfId="32316"/>
    <cellStyle name="Normal 2 7 2 9 3 6" xfId="32317"/>
    <cellStyle name="Normal 2 7 2 9 4" xfId="32318"/>
    <cellStyle name="Normal 2 7 2 9 4 2" xfId="32319"/>
    <cellStyle name="Normal 2 7 2 9 4 2 2" xfId="32320"/>
    <cellStyle name="Normal 2 7 2 9 4 3" xfId="32321"/>
    <cellStyle name="Normal 2 7 2 9 4 4" xfId="32322"/>
    <cellStyle name="Normal 2 7 2 9 4 5" xfId="32323"/>
    <cellStyle name="Normal 2 7 2 9 5" xfId="32324"/>
    <cellStyle name="Normal 2 7 2 9 5 2" xfId="32325"/>
    <cellStyle name="Normal 2 7 2 9 5 3" xfId="32326"/>
    <cellStyle name="Normal 2 7 2 9 5 4" xfId="32327"/>
    <cellStyle name="Normal 2 7 2 9 6" xfId="32328"/>
    <cellStyle name="Normal 2 7 2 9 6 2" xfId="32329"/>
    <cellStyle name="Normal 2 7 2 9 7" xfId="32330"/>
    <cellStyle name="Normal 2 7 2 9 8" xfId="32331"/>
    <cellStyle name="Normal 2 7 2 9 9" xfId="32332"/>
    <cellStyle name="Normal 2 7 20" xfId="32333"/>
    <cellStyle name="Normal 2 7 20 10" xfId="32334"/>
    <cellStyle name="Normal 2 7 20 2" xfId="32335"/>
    <cellStyle name="Normal 2 7 20 2 2" xfId="32336"/>
    <cellStyle name="Normal 2 7 20 2 2 2" xfId="32337"/>
    <cellStyle name="Normal 2 7 20 2 2 3" xfId="32338"/>
    <cellStyle name="Normal 2 7 20 2 3" xfId="32339"/>
    <cellStyle name="Normal 2 7 20 2 4" xfId="32340"/>
    <cellStyle name="Normal 2 7 20 2 5" xfId="32341"/>
    <cellStyle name="Normal 2 7 20 2 6" xfId="32342"/>
    <cellStyle name="Normal 2 7 20 3" xfId="32343"/>
    <cellStyle name="Normal 2 7 20 3 2" xfId="32344"/>
    <cellStyle name="Normal 2 7 20 3 2 2" xfId="32345"/>
    <cellStyle name="Normal 2 7 20 3 2 3" xfId="32346"/>
    <cellStyle name="Normal 2 7 20 3 3" xfId="32347"/>
    <cellStyle name="Normal 2 7 20 3 4" xfId="32348"/>
    <cellStyle name="Normal 2 7 20 3 5" xfId="32349"/>
    <cellStyle name="Normal 2 7 20 3 6" xfId="32350"/>
    <cellStyle name="Normal 2 7 20 4" xfId="32351"/>
    <cellStyle name="Normal 2 7 20 4 2" xfId="32352"/>
    <cellStyle name="Normal 2 7 20 4 2 2" xfId="32353"/>
    <cellStyle name="Normal 2 7 20 4 3" xfId="32354"/>
    <cellStyle name="Normal 2 7 20 4 4" xfId="32355"/>
    <cellStyle name="Normal 2 7 20 4 5" xfId="32356"/>
    <cellStyle name="Normal 2 7 20 5" xfId="32357"/>
    <cellStyle name="Normal 2 7 20 5 2" xfId="32358"/>
    <cellStyle name="Normal 2 7 20 5 3" xfId="32359"/>
    <cellStyle name="Normal 2 7 20 5 4" xfId="32360"/>
    <cellStyle name="Normal 2 7 20 6" xfId="32361"/>
    <cellStyle name="Normal 2 7 20 6 2" xfId="32362"/>
    <cellStyle name="Normal 2 7 20 7" xfId="32363"/>
    <cellStyle name="Normal 2 7 20 8" xfId="32364"/>
    <cellStyle name="Normal 2 7 20 9" xfId="32365"/>
    <cellStyle name="Normal 2 7 21" xfId="32366"/>
    <cellStyle name="Normal 2 7 21 10" xfId="32367"/>
    <cellStyle name="Normal 2 7 21 2" xfId="32368"/>
    <cellStyle name="Normal 2 7 21 2 2" xfId="32369"/>
    <cellStyle name="Normal 2 7 21 2 2 2" xfId="32370"/>
    <cellStyle name="Normal 2 7 21 2 2 3" xfId="32371"/>
    <cellStyle name="Normal 2 7 21 2 3" xfId="32372"/>
    <cellStyle name="Normal 2 7 21 2 4" xfId="32373"/>
    <cellStyle name="Normal 2 7 21 2 5" xfId="32374"/>
    <cellStyle name="Normal 2 7 21 2 6" xfId="32375"/>
    <cellStyle name="Normal 2 7 21 3" xfId="32376"/>
    <cellStyle name="Normal 2 7 21 3 2" xfId="32377"/>
    <cellStyle name="Normal 2 7 21 3 2 2" xfId="32378"/>
    <cellStyle name="Normal 2 7 21 3 2 3" xfId="32379"/>
    <cellStyle name="Normal 2 7 21 3 3" xfId="32380"/>
    <cellStyle name="Normal 2 7 21 3 4" xfId="32381"/>
    <cellStyle name="Normal 2 7 21 3 5" xfId="32382"/>
    <cellStyle name="Normal 2 7 21 3 6" xfId="32383"/>
    <cellStyle name="Normal 2 7 21 4" xfId="32384"/>
    <cellStyle name="Normal 2 7 21 4 2" xfId="32385"/>
    <cellStyle name="Normal 2 7 21 4 2 2" xfId="32386"/>
    <cellStyle name="Normal 2 7 21 4 3" xfId="32387"/>
    <cellStyle name="Normal 2 7 21 4 4" xfId="32388"/>
    <cellStyle name="Normal 2 7 21 4 5" xfId="32389"/>
    <cellStyle name="Normal 2 7 21 5" xfId="32390"/>
    <cellStyle name="Normal 2 7 21 5 2" xfId="32391"/>
    <cellStyle name="Normal 2 7 21 5 3" xfId="32392"/>
    <cellStyle name="Normal 2 7 21 5 4" xfId="32393"/>
    <cellStyle name="Normal 2 7 21 6" xfId="32394"/>
    <cellStyle name="Normal 2 7 21 6 2" xfId="32395"/>
    <cellStyle name="Normal 2 7 21 7" xfId="32396"/>
    <cellStyle name="Normal 2 7 21 8" xfId="32397"/>
    <cellStyle name="Normal 2 7 21 9" xfId="32398"/>
    <cellStyle name="Normal 2 7 22" xfId="32399"/>
    <cellStyle name="Normal 2 7 22 10" xfId="32400"/>
    <cellStyle name="Normal 2 7 22 2" xfId="32401"/>
    <cellStyle name="Normal 2 7 22 2 2" xfId="32402"/>
    <cellStyle name="Normal 2 7 22 2 2 2" xfId="32403"/>
    <cellStyle name="Normal 2 7 22 2 2 3" xfId="32404"/>
    <cellStyle name="Normal 2 7 22 2 3" xfId="32405"/>
    <cellStyle name="Normal 2 7 22 2 4" xfId="32406"/>
    <cellStyle name="Normal 2 7 22 2 5" xfId="32407"/>
    <cellStyle name="Normal 2 7 22 2 6" xfId="32408"/>
    <cellStyle name="Normal 2 7 22 3" xfId="32409"/>
    <cellStyle name="Normal 2 7 22 3 2" xfId="32410"/>
    <cellStyle name="Normal 2 7 22 3 2 2" xfId="32411"/>
    <cellStyle name="Normal 2 7 22 3 2 3" xfId="32412"/>
    <cellStyle name="Normal 2 7 22 3 3" xfId="32413"/>
    <cellStyle name="Normal 2 7 22 3 4" xfId="32414"/>
    <cellStyle name="Normal 2 7 22 3 5" xfId="32415"/>
    <cellStyle name="Normal 2 7 22 3 6" xfId="32416"/>
    <cellStyle name="Normal 2 7 22 4" xfId="32417"/>
    <cellStyle name="Normal 2 7 22 4 2" xfId="32418"/>
    <cellStyle name="Normal 2 7 22 4 2 2" xfId="32419"/>
    <cellStyle name="Normal 2 7 22 4 3" xfId="32420"/>
    <cellStyle name="Normal 2 7 22 4 4" xfId="32421"/>
    <cellStyle name="Normal 2 7 22 4 5" xfId="32422"/>
    <cellStyle name="Normal 2 7 22 5" xfId="32423"/>
    <cellStyle name="Normal 2 7 22 5 2" xfId="32424"/>
    <cellStyle name="Normal 2 7 22 5 3" xfId="32425"/>
    <cellStyle name="Normal 2 7 22 5 4" xfId="32426"/>
    <cellStyle name="Normal 2 7 22 6" xfId="32427"/>
    <cellStyle name="Normal 2 7 22 6 2" xfId="32428"/>
    <cellStyle name="Normal 2 7 22 7" xfId="32429"/>
    <cellStyle name="Normal 2 7 22 8" xfId="32430"/>
    <cellStyle name="Normal 2 7 22 9" xfId="32431"/>
    <cellStyle name="Normal 2 7 23" xfId="32432"/>
    <cellStyle name="Normal 2 7 23 10" xfId="32433"/>
    <cellStyle name="Normal 2 7 23 2" xfId="32434"/>
    <cellStyle name="Normal 2 7 23 2 2" xfId="32435"/>
    <cellStyle name="Normal 2 7 23 2 2 2" xfId="32436"/>
    <cellStyle name="Normal 2 7 23 2 2 3" xfId="32437"/>
    <cellStyle name="Normal 2 7 23 2 3" xfId="32438"/>
    <cellStyle name="Normal 2 7 23 2 4" xfId="32439"/>
    <cellStyle name="Normal 2 7 23 2 5" xfId="32440"/>
    <cellStyle name="Normal 2 7 23 2 6" xfId="32441"/>
    <cellStyle name="Normal 2 7 23 3" xfId="32442"/>
    <cellStyle name="Normal 2 7 23 3 2" xfId="32443"/>
    <cellStyle name="Normal 2 7 23 3 2 2" xfId="32444"/>
    <cellStyle name="Normal 2 7 23 3 2 3" xfId="32445"/>
    <cellStyle name="Normal 2 7 23 3 3" xfId="32446"/>
    <cellStyle name="Normal 2 7 23 3 4" xfId="32447"/>
    <cellStyle name="Normal 2 7 23 3 5" xfId="32448"/>
    <cellStyle name="Normal 2 7 23 3 6" xfId="32449"/>
    <cellStyle name="Normal 2 7 23 4" xfId="32450"/>
    <cellStyle name="Normal 2 7 23 4 2" xfId="32451"/>
    <cellStyle name="Normal 2 7 23 4 2 2" xfId="32452"/>
    <cellStyle name="Normal 2 7 23 4 3" xfId="32453"/>
    <cellStyle name="Normal 2 7 23 4 4" xfId="32454"/>
    <cellStyle name="Normal 2 7 23 4 5" xfId="32455"/>
    <cellStyle name="Normal 2 7 23 5" xfId="32456"/>
    <cellStyle name="Normal 2 7 23 5 2" xfId="32457"/>
    <cellStyle name="Normal 2 7 23 5 3" xfId="32458"/>
    <cellStyle name="Normal 2 7 23 5 4" xfId="32459"/>
    <cellStyle name="Normal 2 7 23 6" xfId="32460"/>
    <cellStyle name="Normal 2 7 23 6 2" xfId="32461"/>
    <cellStyle name="Normal 2 7 23 7" xfId="32462"/>
    <cellStyle name="Normal 2 7 23 8" xfId="32463"/>
    <cellStyle name="Normal 2 7 23 9" xfId="32464"/>
    <cellStyle name="Normal 2 7 24" xfId="32465"/>
    <cellStyle name="Normal 2 7 24 10" xfId="32466"/>
    <cellStyle name="Normal 2 7 24 2" xfId="32467"/>
    <cellStyle name="Normal 2 7 24 2 2" xfId="32468"/>
    <cellStyle name="Normal 2 7 24 2 2 2" xfId="32469"/>
    <cellStyle name="Normal 2 7 24 2 2 3" xfId="32470"/>
    <cellStyle name="Normal 2 7 24 2 3" xfId="32471"/>
    <cellStyle name="Normal 2 7 24 2 4" xfId="32472"/>
    <cellStyle name="Normal 2 7 24 2 5" xfId="32473"/>
    <cellStyle name="Normal 2 7 24 2 6" xfId="32474"/>
    <cellStyle name="Normal 2 7 24 3" xfId="32475"/>
    <cellStyle name="Normal 2 7 24 3 2" xfId="32476"/>
    <cellStyle name="Normal 2 7 24 3 2 2" xfId="32477"/>
    <cellStyle name="Normal 2 7 24 3 2 3" xfId="32478"/>
    <cellStyle name="Normal 2 7 24 3 3" xfId="32479"/>
    <cellStyle name="Normal 2 7 24 3 4" xfId="32480"/>
    <cellStyle name="Normal 2 7 24 3 5" xfId="32481"/>
    <cellStyle name="Normal 2 7 24 3 6" xfId="32482"/>
    <cellStyle name="Normal 2 7 24 4" xfId="32483"/>
    <cellStyle name="Normal 2 7 24 4 2" xfId="32484"/>
    <cellStyle name="Normal 2 7 24 4 2 2" xfId="32485"/>
    <cellStyle name="Normal 2 7 24 4 3" xfId="32486"/>
    <cellStyle name="Normal 2 7 24 4 4" xfId="32487"/>
    <cellStyle name="Normal 2 7 24 4 5" xfId="32488"/>
    <cellStyle name="Normal 2 7 24 5" xfId="32489"/>
    <cellStyle name="Normal 2 7 24 5 2" xfId="32490"/>
    <cellStyle name="Normal 2 7 24 5 3" xfId="32491"/>
    <cellStyle name="Normal 2 7 24 5 4" xfId="32492"/>
    <cellStyle name="Normal 2 7 24 6" xfId="32493"/>
    <cellStyle name="Normal 2 7 24 6 2" xfId="32494"/>
    <cellStyle name="Normal 2 7 24 7" xfId="32495"/>
    <cellStyle name="Normal 2 7 24 8" xfId="32496"/>
    <cellStyle name="Normal 2 7 24 9" xfId="32497"/>
    <cellStyle name="Normal 2 7 25" xfId="32498"/>
    <cellStyle name="Normal 2 7 25 10" xfId="32499"/>
    <cellStyle name="Normal 2 7 25 2" xfId="32500"/>
    <cellStyle name="Normal 2 7 25 2 2" xfId="32501"/>
    <cellStyle name="Normal 2 7 25 2 2 2" xfId="32502"/>
    <cellStyle name="Normal 2 7 25 2 2 3" xfId="32503"/>
    <cellStyle name="Normal 2 7 25 2 3" xfId="32504"/>
    <cellStyle name="Normal 2 7 25 2 4" xfId="32505"/>
    <cellStyle name="Normal 2 7 25 2 5" xfId="32506"/>
    <cellStyle name="Normal 2 7 25 2 6" xfId="32507"/>
    <cellStyle name="Normal 2 7 25 3" xfId="32508"/>
    <cellStyle name="Normal 2 7 25 3 2" xfId="32509"/>
    <cellStyle name="Normal 2 7 25 3 2 2" xfId="32510"/>
    <cellStyle name="Normal 2 7 25 3 2 3" xfId="32511"/>
    <cellStyle name="Normal 2 7 25 3 3" xfId="32512"/>
    <cellStyle name="Normal 2 7 25 3 4" xfId="32513"/>
    <cellStyle name="Normal 2 7 25 3 5" xfId="32514"/>
    <cellStyle name="Normal 2 7 25 3 6" xfId="32515"/>
    <cellStyle name="Normal 2 7 25 4" xfId="32516"/>
    <cellStyle name="Normal 2 7 25 4 2" xfId="32517"/>
    <cellStyle name="Normal 2 7 25 4 2 2" xfId="32518"/>
    <cellStyle name="Normal 2 7 25 4 3" xfId="32519"/>
    <cellStyle name="Normal 2 7 25 4 4" xfId="32520"/>
    <cellStyle name="Normal 2 7 25 4 5" xfId="32521"/>
    <cellStyle name="Normal 2 7 25 5" xfId="32522"/>
    <cellStyle name="Normal 2 7 25 5 2" xfId="32523"/>
    <cellStyle name="Normal 2 7 25 5 3" xfId="32524"/>
    <cellStyle name="Normal 2 7 25 5 4" xfId="32525"/>
    <cellStyle name="Normal 2 7 25 6" xfId="32526"/>
    <cellStyle name="Normal 2 7 25 6 2" xfId="32527"/>
    <cellStyle name="Normal 2 7 25 7" xfId="32528"/>
    <cellStyle name="Normal 2 7 25 8" xfId="32529"/>
    <cellStyle name="Normal 2 7 25 9" xfId="32530"/>
    <cellStyle name="Normal 2 7 26" xfId="32531"/>
    <cellStyle name="Normal 2 7 26 10" xfId="32532"/>
    <cellStyle name="Normal 2 7 26 2" xfId="32533"/>
    <cellStyle name="Normal 2 7 26 2 2" xfId="32534"/>
    <cellStyle name="Normal 2 7 26 2 2 2" xfId="32535"/>
    <cellStyle name="Normal 2 7 26 2 2 3" xfId="32536"/>
    <cellStyle name="Normal 2 7 26 2 3" xfId="32537"/>
    <cellStyle name="Normal 2 7 26 2 4" xfId="32538"/>
    <cellStyle name="Normal 2 7 26 2 5" xfId="32539"/>
    <cellStyle name="Normal 2 7 26 2 6" xfId="32540"/>
    <cellStyle name="Normal 2 7 26 3" xfId="32541"/>
    <cellStyle name="Normal 2 7 26 3 2" xfId="32542"/>
    <cellStyle name="Normal 2 7 26 3 2 2" xfId="32543"/>
    <cellStyle name="Normal 2 7 26 3 2 3" xfId="32544"/>
    <cellStyle name="Normal 2 7 26 3 3" xfId="32545"/>
    <cellStyle name="Normal 2 7 26 3 4" xfId="32546"/>
    <cellStyle name="Normal 2 7 26 3 5" xfId="32547"/>
    <cellStyle name="Normal 2 7 26 3 6" xfId="32548"/>
    <cellStyle name="Normal 2 7 26 4" xfId="32549"/>
    <cellStyle name="Normal 2 7 26 4 2" xfId="32550"/>
    <cellStyle name="Normal 2 7 26 4 2 2" xfId="32551"/>
    <cellStyle name="Normal 2 7 26 4 3" xfId="32552"/>
    <cellStyle name="Normal 2 7 26 4 4" xfId="32553"/>
    <cellStyle name="Normal 2 7 26 4 5" xfId="32554"/>
    <cellStyle name="Normal 2 7 26 5" xfId="32555"/>
    <cellStyle name="Normal 2 7 26 5 2" xfId="32556"/>
    <cellStyle name="Normal 2 7 26 5 3" xfId="32557"/>
    <cellStyle name="Normal 2 7 26 5 4" xfId="32558"/>
    <cellStyle name="Normal 2 7 26 6" xfId="32559"/>
    <cellStyle name="Normal 2 7 26 6 2" xfId="32560"/>
    <cellStyle name="Normal 2 7 26 7" xfId="32561"/>
    <cellStyle name="Normal 2 7 26 8" xfId="32562"/>
    <cellStyle name="Normal 2 7 26 9" xfId="32563"/>
    <cellStyle name="Normal 2 7 27" xfId="32564"/>
    <cellStyle name="Normal 2 7 27 10" xfId="32565"/>
    <cellStyle name="Normal 2 7 27 2" xfId="32566"/>
    <cellStyle name="Normal 2 7 27 2 2" xfId="32567"/>
    <cellStyle name="Normal 2 7 27 2 2 2" xfId="32568"/>
    <cellStyle name="Normal 2 7 27 2 2 3" xfId="32569"/>
    <cellStyle name="Normal 2 7 27 2 3" xfId="32570"/>
    <cellStyle name="Normal 2 7 27 2 4" xfId="32571"/>
    <cellStyle name="Normal 2 7 27 2 5" xfId="32572"/>
    <cellStyle name="Normal 2 7 27 2 6" xfId="32573"/>
    <cellStyle name="Normal 2 7 27 3" xfId="32574"/>
    <cellStyle name="Normal 2 7 27 3 2" xfId="32575"/>
    <cellStyle name="Normal 2 7 27 3 2 2" xfId="32576"/>
    <cellStyle name="Normal 2 7 27 3 2 3" xfId="32577"/>
    <cellStyle name="Normal 2 7 27 3 3" xfId="32578"/>
    <cellStyle name="Normal 2 7 27 3 4" xfId="32579"/>
    <cellStyle name="Normal 2 7 27 3 5" xfId="32580"/>
    <cellStyle name="Normal 2 7 27 3 6" xfId="32581"/>
    <cellStyle name="Normal 2 7 27 4" xfId="32582"/>
    <cellStyle name="Normal 2 7 27 4 2" xfId="32583"/>
    <cellStyle name="Normal 2 7 27 4 2 2" xfId="32584"/>
    <cellStyle name="Normal 2 7 27 4 3" xfId="32585"/>
    <cellStyle name="Normal 2 7 27 4 4" xfId="32586"/>
    <cellStyle name="Normal 2 7 27 4 5" xfId="32587"/>
    <cellStyle name="Normal 2 7 27 5" xfId="32588"/>
    <cellStyle name="Normal 2 7 27 5 2" xfId="32589"/>
    <cellStyle name="Normal 2 7 27 5 3" xfId="32590"/>
    <cellStyle name="Normal 2 7 27 5 4" xfId="32591"/>
    <cellStyle name="Normal 2 7 27 6" xfId="32592"/>
    <cellStyle name="Normal 2 7 27 6 2" xfId="32593"/>
    <cellStyle name="Normal 2 7 27 7" xfId="32594"/>
    <cellStyle name="Normal 2 7 27 8" xfId="32595"/>
    <cellStyle name="Normal 2 7 27 9" xfId="32596"/>
    <cellStyle name="Normal 2 7 28" xfId="32597"/>
    <cellStyle name="Normal 2 7 28 10" xfId="32598"/>
    <cellStyle name="Normal 2 7 28 2" xfId="32599"/>
    <cellStyle name="Normal 2 7 28 2 2" xfId="32600"/>
    <cellStyle name="Normal 2 7 28 2 2 2" xfId="32601"/>
    <cellStyle name="Normal 2 7 28 2 2 3" xfId="32602"/>
    <cellStyle name="Normal 2 7 28 2 3" xfId="32603"/>
    <cellStyle name="Normal 2 7 28 2 4" xfId="32604"/>
    <cellStyle name="Normal 2 7 28 2 5" xfId="32605"/>
    <cellStyle name="Normal 2 7 28 2 6" xfId="32606"/>
    <cellStyle name="Normal 2 7 28 3" xfId="32607"/>
    <cellStyle name="Normal 2 7 28 3 2" xfId="32608"/>
    <cellStyle name="Normal 2 7 28 3 2 2" xfId="32609"/>
    <cellStyle name="Normal 2 7 28 3 2 3" xfId="32610"/>
    <cellStyle name="Normal 2 7 28 3 3" xfId="32611"/>
    <cellStyle name="Normal 2 7 28 3 4" xfId="32612"/>
    <cellStyle name="Normal 2 7 28 3 5" xfId="32613"/>
    <cellStyle name="Normal 2 7 28 3 6" xfId="32614"/>
    <cellStyle name="Normal 2 7 28 4" xfId="32615"/>
    <cellStyle name="Normal 2 7 28 4 2" xfId="32616"/>
    <cellStyle name="Normal 2 7 28 4 2 2" xfId="32617"/>
    <cellStyle name="Normal 2 7 28 4 3" xfId="32618"/>
    <cellStyle name="Normal 2 7 28 4 4" xfId="32619"/>
    <cellStyle name="Normal 2 7 28 4 5" xfId="32620"/>
    <cellStyle name="Normal 2 7 28 5" xfId="32621"/>
    <cellStyle name="Normal 2 7 28 5 2" xfId="32622"/>
    <cellStyle name="Normal 2 7 28 5 3" xfId="32623"/>
    <cellStyle name="Normal 2 7 28 5 4" xfId="32624"/>
    <cellStyle name="Normal 2 7 28 6" xfId="32625"/>
    <cellStyle name="Normal 2 7 28 6 2" xfId="32626"/>
    <cellStyle name="Normal 2 7 28 7" xfId="32627"/>
    <cellStyle name="Normal 2 7 28 8" xfId="32628"/>
    <cellStyle name="Normal 2 7 28 9" xfId="32629"/>
    <cellStyle name="Normal 2 7 29" xfId="32630"/>
    <cellStyle name="Normal 2 7 29 10" xfId="32631"/>
    <cellStyle name="Normal 2 7 29 2" xfId="32632"/>
    <cellStyle name="Normal 2 7 29 2 2" xfId="32633"/>
    <cellStyle name="Normal 2 7 29 2 2 2" xfId="32634"/>
    <cellStyle name="Normal 2 7 29 2 2 3" xfId="32635"/>
    <cellStyle name="Normal 2 7 29 2 3" xfId="32636"/>
    <cellStyle name="Normal 2 7 29 2 4" xfId="32637"/>
    <cellStyle name="Normal 2 7 29 2 5" xfId="32638"/>
    <cellStyle name="Normal 2 7 29 2 6" xfId="32639"/>
    <cellStyle name="Normal 2 7 29 3" xfId="32640"/>
    <cellStyle name="Normal 2 7 29 3 2" xfId="32641"/>
    <cellStyle name="Normal 2 7 29 3 2 2" xfId="32642"/>
    <cellStyle name="Normal 2 7 29 3 2 3" xfId="32643"/>
    <cellStyle name="Normal 2 7 29 3 3" xfId="32644"/>
    <cellStyle name="Normal 2 7 29 3 4" xfId="32645"/>
    <cellStyle name="Normal 2 7 29 3 5" xfId="32646"/>
    <cellStyle name="Normal 2 7 29 3 6" xfId="32647"/>
    <cellStyle name="Normal 2 7 29 4" xfId="32648"/>
    <cellStyle name="Normal 2 7 29 4 2" xfId="32649"/>
    <cellStyle name="Normal 2 7 29 4 2 2" xfId="32650"/>
    <cellStyle name="Normal 2 7 29 4 3" xfId="32651"/>
    <cellStyle name="Normal 2 7 29 4 4" xfId="32652"/>
    <cellStyle name="Normal 2 7 29 4 5" xfId="32653"/>
    <cellStyle name="Normal 2 7 29 5" xfId="32654"/>
    <cellStyle name="Normal 2 7 29 5 2" xfId="32655"/>
    <cellStyle name="Normal 2 7 29 5 3" xfId="32656"/>
    <cellStyle name="Normal 2 7 29 5 4" xfId="32657"/>
    <cellStyle name="Normal 2 7 29 6" xfId="32658"/>
    <cellStyle name="Normal 2 7 29 6 2" xfId="32659"/>
    <cellStyle name="Normal 2 7 29 7" xfId="32660"/>
    <cellStyle name="Normal 2 7 29 8" xfId="32661"/>
    <cellStyle name="Normal 2 7 29 9" xfId="32662"/>
    <cellStyle name="Normal 2 7 3" xfId="32663"/>
    <cellStyle name="Normal 2 7 3 10" xfId="32664"/>
    <cellStyle name="Normal 2 7 3 10 10" xfId="32665"/>
    <cellStyle name="Normal 2 7 3 10 2" xfId="32666"/>
    <cellStyle name="Normal 2 7 3 10 2 2" xfId="32667"/>
    <cellStyle name="Normal 2 7 3 10 2 2 2" xfId="32668"/>
    <cellStyle name="Normal 2 7 3 10 2 2 3" xfId="32669"/>
    <cellStyle name="Normal 2 7 3 10 2 3" xfId="32670"/>
    <cellStyle name="Normal 2 7 3 10 2 4" xfId="32671"/>
    <cellStyle name="Normal 2 7 3 10 2 5" xfId="32672"/>
    <cellStyle name="Normal 2 7 3 10 2 6" xfId="32673"/>
    <cellStyle name="Normal 2 7 3 10 3" xfId="32674"/>
    <cellStyle name="Normal 2 7 3 10 3 2" xfId="32675"/>
    <cellStyle name="Normal 2 7 3 10 3 2 2" xfId="32676"/>
    <cellStyle name="Normal 2 7 3 10 3 2 3" xfId="32677"/>
    <cellStyle name="Normal 2 7 3 10 3 3" xfId="32678"/>
    <cellStyle name="Normal 2 7 3 10 3 4" xfId="32679"/>
    <cellStyle name="Normal 2 7 3 10 3 5" xfId="32680"/>
    <cellStyle name="Normal 2 7 3 10 3 6" xfId="32681"/>
    <cellStyle name="Normal 2 7 3 10 4" xfId="32682"/>
    <cellStyle name="Normal 2 7 3 10 4 2" xfId="32683"/>
    <cellStyle name="Normal 2 7 3 10 4 2 2" xfId="32684"/>
    <cellStyle name="Normal 2 7 3 10 4 3" xfId="32685"/>
    <cellStyle name="Normal 2 7 3 10 4 4" xfId="32686"/>
    <cellStyle name="Normal 2 7 3 10 4 5" xfId="32687"/>
    <cellStyle name="Normal 2 7 3 10 5" xfId="32688"/>
    <cellStyle name="Normal 2 7 3 10 5 2" xfId="32689"/>
    <cellStyle name="Normal 2 7 3 10 5 3" xfId="32690"/>
    <cellStyle name="Normal 2 7 3 10 5 4" xfId="32691"/>
    <cellStyle name="Normal 2 7 3 10 6" xfId="32692"/>
    <cellStyle name="Normal 2 7 3 10 6 2" xfId="32693"/>
    <cellStyle name="Normal 2 7 3 10 7" xfId="32694"/>
    <cellStyle name="Normal 2 7 3 10 8" xfId="32695"/>
    <cellStyle name="Normal 2 7 3 10 9" xfId="32696"/>
    <cellStyle name="Normal 2 7 3 11" xfId="32697"/>
    <cellStyle name="Normal 2 7 3 11 10" xfId="32698"/>
    <cellStyle name="Normal 2 7 3 11 2" xfId="32699"/>
    <cellStyle name="Normal 2 7 3 11 2 2" xfId="32700"/>
    <cellStyle name="Normal 2 7 3 11 2 2 2" xfId="32701"/>
    <cellStyle name="Normal 2 7 3 11 2 2 3" xfId="32702"/>
    <cellStyle name="Normal 2 7 3 11 2 3" xfId="32703"/>
    <cellStyle name="Normal 2 7 3 11 2 4" xfId="32704"/>
    <cellStyle name="Normal 2 7 3 11 2 5" xfId="32705"/>
    <cellStyle name="Normal 2 7 3 11 2 6" xfId="32706"/>
    <cellStyle name="Normal 2 7 3 11 3" xfId="32707"/>
    <cellStyle name="Normal 2 7 3 11 3 2" xfId="32708"/>
    <cellStyle name="Normal 2 7 3 11 3 2 2" xfId="32709"/>
    <cellStyle name="Normal 2 7 3 11 3 2 3" xfId="32710"/>
    <cellStyle name="Normal 2 7 3 11 3 3" xfId="32711"/>
    <cellStyle name="Normal 2 7 3 11 3 4" xfId="32712"/>
    <cellStyle name="Normal 2 7 3 11 3 5" xfId="32713"/>
    <cellStyle name="Normal 2 7 3 11 3 6" xfId="32714"/>
    <cellStyle name="Normal 2 7 3 11 4" xfId="32715"/>
    <cellStyle name="Normal 2 7 3 11 4 2" xfId="32716"/>
    <cellStyle name="Normal 2 7 3 11 4 2 2" xfId="32717"/>
    <cellStyle name="Normal 2 7 3 11 4 3" xfId="32718"/>
    <cellStyle name="Normal 2 7 3 11 4 4" xfId="32719"/>
    <cellStyle name="Normal 2 7 3 11 4 5" xfId="32720"/>
    <cellStyle name="Normal 2 7 3 11 5" xfId="32721"/>
    <cellStyle name="Normal 2 7 3 11 5 2" xfId="32722"/>
    <cellStyle name="Normal 2 7 3 11 5 3" xfId="32723"/>
    <cellStyle name="Normal 2 7 3 11 5 4" xfId="32724"/>
    <cellStyle name="Normal 2 7 3 11 6" xfId="32725"/>
    <cellStyle name="Normal 2 7 3 11 6 2" xfId="32726"/>
    <cellStyle name="Normal 2 7 3 11 7" xfId="32727"/>
    <cellStyle name="Normal 2 7 3 11 8" xfId="32728"/>
    <cellStyle name="Normal 2 7 3 11 9" xfId="32729"/>
    <cellStyle name="Normal 2 7 3 12" xfId="32730"/>
    <cellStyle name="Normal 2 7 3 12 10" xfId="32731"/>
    <cellStyle name="Normal 2 7 3 12 2" xfId="32732"/>
    <cellStyle name="Normal 2 7 3 12 2 2" xfId="32733"/>
    <cellStyle name="Normal 2 7 3 12 2 2 2" xfId="32734"/>
    <cellStyle name="Normal 2 7 3 12 2 2 3" xfId="32735"/>
    <cellStyle name="Normal 2 7 3 12 2 3" xfId="32736"/>
    <cellStyle name="Normal 2 7 3 12 2 4" xfId="32737"/>
    <cellStyle name="Normal 2 7 3 12 2 5" xfId="32738"/>
    <cellStyle name="Normal 2 7 3 12 2 6" xfId="32739"/>
    <cellStyle name="Normal 2 7 3 12 3" xfId="32740"/>
    <cellStyle name="Normal 2 7 3 12 3 2" xfId="32741"/>
    <cellStyle name="Normal 2 7 3 12 3 2 2" xfId="32742"/>
    <cellStyle name="Normal 2 7 3 12 3 2 3" xfId="32743"/>
    <cellStyle name="Normal 2 7 3 12 3 3" xfId="32744"/>
    <cellStyle name="Normal 2 7 3 12 3 4" xfId="32745"/>
    <cellStyle name="Normal 2 7 3 12 3 5" xfId="32746"/>
    <cellStyle name="Normal 2 7 3 12 3 6" xfId="32747"/>
    <cellStyle name="Normal 2 7 3 12 4" xfId="32748"/>
    <cellStyle name="Normal 2 7 3 12 4 2" xfId="32749"/>
    <cellStyle name="Normal 2 7 3 12 4 2 2" xfId="32750"/>
    <cellStyle name="Normal 2 7 3 12 4 3" xfId="32751"/>
    <cellStyle name="Normal 2 7 3 12 4 4" xfId="32752"/>
    <cellStyle name="Normal 2 7 3 12 4 5" xfId="32753"/>
    <cellStyle name="Normal 2 7 3 12 5" xfId="32754"/>
    <cellStyle name="Normal 2 7 3 12 5 2" xfId="32755"/>
    <cellStyle name="Normal 2 7 3 12 5 3" xfId="32756"/>
    <cellStyle name="Normal 2 7 3 12 5 4" xfId="32757"/>
    <cellStyle name="Normal 2 7 3 12 6" xfId="32758"/>
    <cellStyle name="Normal 2 7 3 12 6 2" xfId="32759"/>
    <cellStyle name="Normal 2 7 3 12 7" xfId="32760"/>
    <cellStyle name="Normal 2 7 3 12 8" xfId="32761"/>
    <cellStyle name="Normal 2 7 3 12 9" xfId="32762"/>
    <cellStyle name="Normal 2 7 3 13" xfId="32763"/>
    <cellStyle name="Normal 2 7 3 13 2" xfId="32764"/>
    <cellStyle name="Normal 2 7 3 13 2 2" xfId="32765"/>
    <cellStyle name="Normal 2 7 3 13 2 2 2" xfId="32766"/>
    <cellStyle name="Normal 2 7 3 13 2 2 3" xfId="32767"/>
    <cellStyle name="Normal 2 7 3 13 2 3" xfId="32768"/>
    <cellStyle name="Normal 2 7 3 13 2 4" xfId="32769"/>
    <cellStyle name="Normal 2 7 3 13 2 5" xfId="32770"/>
    <cellStyle name="Normal 2 7 3 13 2 6" xfId="32771"/>
    <cellStyle name="Normal 2 7 3 13 3" xfId="32772"/>
    <cellStyle name="Normal 2 7 3 13 3 2" xfId="32773"/>
    <cellStyle name="Normal 2 7 3 13 3 2 2" xfId="32774"/>
    <cellStyle name="Normal 2 7 3 13 3 3" xfId="32775"/>
    <cellStyle name="Normal 2 7 3 13 3 4" xfId="32776"/>
    <cellStyle name="Normal 2 7 3 13 3 5" xfId="32777"/>
    <cellStyle name="Normal 2 7 3 13 4" xfId="32778"/>
    <cellStyle name="Normal 2 7 3 13 4 2" xfId="32779"/>
    <cellStyle name="Normal 2 7 3 13 4 3" xfId="32780"/>
    <cellStyle name="Normal 2 7 3 13 4 4" xfId="32781"/>
    <cellStyle name="Normal 2 7 3 13 5" xfId="32782"/>
    <cellStyle name="Normal 2 7 3 13 5 2" xfId="32783"/>
    <cellStyle name="Normal 2 7 3 13 6" xfId="32784"/>
    <cellStyle name="Normal 2 7 3 13 7" xfId="32785"/>
    <cellStyle name="Normal 2 7 3 13 8" xfId="32786"/>
    <cellStyle name="Normal 2 7 3 13 9" xfId="32787"/>
    <cellStyle name="Normal 2 7 3 14" xfId="32788"/>
    <cellStyle name="Normal 2 7 3 14 2" xfId="32789"/>
    <cellStyle name="Normal 2 7 3 14 2 2" xfId="32790"/>
    <cellStyle name="Normal 2 7 3 14 2 2 2" xfId="32791"/>
    <cellStyle name="Normal 2 7 3 14 2 2 3" xfId="32792"/>
    <cellStyle name="Normal 2 7 3 14 2 3" xfId="32793"/>
    <cellStyle name="Normal 2 7 3 14 2 4" xfId="32794"/>
    <cellStyle name="Normal 2 7 3 14 2 5" xfId="32795"/>
    <cellStyle name="Normal 2 7 3 14 2 6" xfId="32796"/>
    <cellStyle name="Normal 2 7 3 14 3" xfId="32797"/>
    <cellStyle name="Normal 2 7 3 14 3 2" xfId="32798"/>
    <cellStyle name="Normal 2 7 3 14 3 2 2" xfId="32799"/>
    <cellStyle name="Normal 2 7 3 14 3 3" xfId="32800"/>
    <cellStyle name="Normal 2 7 3 14 3 4" xfId="32801"/>
    <cellStyle name="Normal 2 7 3 14 3 5" xfId="32802"/>
    <cellStyle name="Normal 2 7 3 14 4" xfId="32803"/>
    <cellStyle name="Normal 2 7 3 14 4 2" xfId="32804"/>
    <cellStyle name="Normal 2 7 3 14 4 3" xfId="32805"/>
    <cellStyle name="Normal 2 7 3 14 4 4" xfId="32806"/>
    <cellStyle name="Normal 2 7 3 14 5" xfId="32807"/>
    <cellStyle name="Normal 2 7 3 14 5 2" xfId="32808"/>
    <cellStyle name="Normal 2 7 3 14 6" xfId="32809"/>
    <cellStyle name="Normal 2 7 3 14 7" xfId="32810"/>
    <cellStyle name="Normal 2 7 3 14 8" xfId="32811"/>
    <cellStyle name="Normal 2 7 3 14 9" xfId="32812"/>
    <cellStyle name="Normal 2 7 3 15" xfId="32813"/>
    <cellStyle name="Normal 2 7 3 15 2" xfId="32814"/>
    <cellStyle name="Normal 2 7 3 15 2 2" xfId="32815"/>
    <cellStyle name="Normal 2 7 3 15 2 3" xfId="32816"/>
    <cellStyle name="Normal 2 7 3 15 3" xfId="32817"/>
    <cellStyle name="Normal 2 7 3 15 4" xfId="32818"/>
    <cellStyle name="Normal 2 7 3 15 5" xfId="32819"/>
    <cellStyle name="Normal 2 7 3 15 6" xfId="32820"/>
    <cellStyle name="Normal 2 7 3 16" xfId="32821"/>
    <cellStyle name="Normal 2 7 3 16 2" xfId="32822"/>
    <cellStyle name="Normal 2 7 3 16 2 2" xfId="32823"/>
    <cellStyle name="Normal 2 7 3 16 3" xfId="32824"/>
    <cellStyle name="Normal 2 7 3 16 4" xfId="32825"/>
    <cellStyle name="Normal 2 7 3 16 5" xfId="32826"/>
    <cellStyle name="Normal 2 7 3 17" xfId="32827"/>
    <cellStyle name="Normal 2 7 3 17 2" xfId="32828"/>
    <cellStyle name="Normal 2 7 3 17 2 2" xfId="32829"/>
    <cellStyle name="Normal 2 7 3 17 3" xfId="32830"/>
    <cellStyle name="Normal 2 7 3 17 4" xfId="32831"/>
    <cellStyle name="Normal 2 7 3 17 5" xfId="32832"/>
    <cellStyle name="Normal 2 7 3 18" xfId="32833"/>
    <cellStyle name="Normal 2 7 3 18 2" xfId="32834"/>
    <cellStyle name="Normal 2 7 3 19" xfId="32835"/>
    <cellStyle name="Normal 2 7 3 2" xfId="32836"/>
    <cellStyle name="Normal 2 7 3 2 10" xfId="32837"/>
    <cellStyle name="Normal 2 7 3 2 11" xfId="32838"/>
    <cellStyle name="Normal 2 7 3 2 2" xfId="32839"/>
    <cellStyle name="Normal 2 7 3 2 2 2" xfId="32840"/>
    <cellStyle name="Normal 2 7 3 2 2 2 2" xfId="32841"/>
    <cellStyle name="Normal 2 7 3 2 2 2 2 2" xfId="32842"/>
    <cellStyle name="Normal 2 7 3 2 2 2 2 3" xfId="32843"/>
    <cellStyle name="Normal 2 7 3 2 2 2 3" xfId="32844"/>
    <cellStyle name="Normal 2 7 3 2 2 2 4" xfId="32845"/>
    <cellStyle name="Normal 2 7 3 2 2 2 5" xfId="32846"/>
    <cellStyle name="Normal 2 7 3 2 2 2 6" xfId="32847"/>
    <cellStyle name="Normal 2 7 3 2 2 3" xfId="32848"/>
    <cellStyle name="Normal 2 7 3 2 2 3 2" xfId="32849"/>
    <cellStyle name="Normal 2 7 3 2 2 3 2 2" xfId="32850"/>
    <cellStyle name="Normal 2 7 3 2 2 3 3" xfId="32851"/>
    <cellStyle name="Normal 2 7 3 2 2 3 4" xfId="32852"/>
    <cellStyle name="Normal 2 7 3 2 2 3 5" xfId="32853"/>
    <cellStyle name="Normal 2 7 3 2 2 4" xfId="32854"/>
    <cellStyle name="Normal 2 7 3 2 2 4 2" xfId="32855"/>
    <cellStyle name="Normal 2 7 3 2 2 4 3" xfId="32856"/>
    <cellStyle name="Normal 2 7 3 2 2 4 4" xfId="32857"/>
    <cellStyle name="Normal 2 7 3 2 2 5" xfId="32858"/>
    <cellStyle name="Normal 2 7 3 2 2 5 2" xfId="32859"/>
    <cellStyle name="Normal 2 7 3 2 2 6" xfId="32860"/>
    <cellStyle name="Normal 2 7 3 2 2 7" xfId="32861"/>
    <cellStyle name="Normal 2 7 3 2 2 8" xfId="32862"/>
    <cellStyle name="Normal 2 7 3 2 2 9" xfId="32863"/>
    <cellStyle name="Normal 2 7 3 2 3" xfId="32864"/>
    <cellStyle name="Normal 2 7 3 2 3 2" xfId="32865"/>
    <cellStyle name="Normal 2 7 3 2 3 2 2" xfId="32866"/>
    <cellStyle name="Normal 2 7 3 2 3 2 2 2" xfId="32867"/>
    <cellStyle name="Normal 2 7 3 2 3 2 2 3" xfId="32868"/>
    <cellStyle name="Normal 2 7 3 2 3 2 3" xfId="32869"/>
    <cellStyle name="Normal 2 7 3 2 3 2 4" xfId="32870"/>
    <cellStyle name="Normal 2 7 3 2 3 2 5" xfId="32871"/>
    <cellStyle name="Normal 2 7 3 2 3 2 6" xfId="32872"/>
    <cellStyle name="Normal 2 7 3 2 3 3" xfId="32873"/>
    <cellStyle name="Normal 2 7 3 2 3 3 2" xfId="32874"/>
    <cellStyle name="Normal 2 7 3 2 3 3 2 2" xfId="32875"/>
    <cellStyle name="Normal 2 7 3 2 3 3 3" xfId="32876"/>
    <cellStyle name="Normal 2 7 3 2 3 3 4" xfId="32877"/>
    <cellStyle name="Normal 2 7 3 2 3 3 5" xfId="32878"/>
    <cellStyle name="Normal 2 7 3 2 3 4" xfId="32879"/>
    <cellStyle name="Normal 2 7 3 2 3 4 2" xfId="32880"/>
    <cellStyle name="Normal 2 7 3 2 3 4 3" xfId="32881"/>
    <cellStyle name="Normal 2 7 3 2 3 4 4" xfId="32882"/>
    <cellStyle name="Normal 2 7 3 2 3 5" xfId="32883"/>
    <cellStyle name="Normal 2 7 3 2 3 5 2" xfId="32884"/>
    <cellStyle name="Normal 2 7 3 2 3 6" xfId="32885"/>
    <cellStyle name="Normal 2 7 3 2 3 7" xfId="32886"/>
    <cellStyle name="Normal 2 7 3 2 3 8" xfId="32887"/>
    <cellStyle name="Normal 2 7 3 2 3 9" xfId="32888"/>
    <cellStyle name="Normal 2 7 3 2 4" xfId="32889"/>
    <cellStyle name="Normal 2 7 3 2 4 2" xfId="32890"/>
    <cellStyle name="Normal 2 7 3 2 4 2 2" xfId="32891"/>
    <cellStyle name="Normal 2 7 3 2 4 2 3" xfId="32892"/>
    <cellStyle name="Normal 2 7 3 2 4 3" xfId="32893"/>
    <cellStyle name="Normal 2 7 3 2 4 4" xfId="32894"/>
    <cellStyle name="Normal 2 7 3 2 4 5" xfId="32895"/>
    <cellStyle name="Normal 2 7 3 2 4 6" xfId="32896"/>
    <cellStyle name="Normal 2 7 3 2 5" xfId="32897"/>
    <cellStyle name="Normal 2 7 3 2 5 2" xfId="32898"/>
    <cellStyle name="Normal 2 7 3 2 5 2 2" xfId="32899"/>
    <cellStyle name="Normal 2 7 3 2 5 3" xfId="32900"/>
    <cellStyle name="Normal 2 7 3 2 5 4" xfId="32901"/>
    <cellStyle name="Normal 2 7 3 2 5 5" xfId="32902"/>
    <cellStyle name="Normal 2 7 3 2 6" xfId="32903"/>
    <cellStyle name="Normal 2 7 3 2 6 2" xfId="32904"/>
    <cellStyle name="Normal 2 7 3 2 6 3" xfId="32905"/>
    <cellStyle name="Normal 2 7 3 2 6 4" xfId="32906"/>
    <cellStyle name="Normal 2 7 3 2 7" xfId="32907"/>
    <cellStyle name="Normal 2 7 3 2 7 2" xfId="32908"/>
    <cellStyle name="Normal 2 7 3 2 8" xfId="32909"/>
    <cellStyle name="Normal 2 7 3 2 9" xfId="32910"/>
    <cellStyle name="Normal 2 7 3 20" xfId="32911"/>
    <cellStyle name="Normal 2 7 3 21" xfId="32912"/>
    <cellStyle name="Normal 2 7 3 22" xfId="32913"/>
    <cellStyle name="Normal 2 7 3 3" xfId="32914"/>
    <cellStyle name="Normal 2 7 3 3 10" xfId="32915"/>
    <cellStyle name="Normal 2 7 3 3 11" xfId="32916"/>
    <cellStyle name="Normal 2 7 3 3 2" xfId="32917"/>
    <cellStyle name="Normal 2 7 3 3 2 2" xfId="32918"/>
    <cellStyle name="Normal 2 7 3 3 2 2 2" xfId="32919"/>
    <cellStyle name="Normal 2 7 3 3 2 2 2 2" xfId="32920"/>
    <cellStyle name="Normal 2 7 3 3 2 2 2 3" xfId="32921"/>
    <cellStyle name="Normal 2 7 3 3 2 2 3" xfId="32922"/>
    <cellStyle name="Normal 2 7 3 3 2 2 4" xfId="32923"/>
    <cellStyle name="Normal 2 7 3 3 2 2 5" xfId="32924"/>
    <cellStyle name="Normal 2 7 3 3 2 2 6" xfId="32925"/>
    <cellStyle name="Normal 2 7 3 3 2 3" xfId="32926"/>
    <cellStyle name="Normal 2 7 3 3 2 3 2" xfId="32927"/>
    <cellStyle name="Normal 2 7 3 3 2 3 2 2" xfId="32928"/>
    <cellStyle name="Normal 2 7 3 3 2 3 3" xfId="32929"/>
    <cellStyle name="Normal 2 7 3 3 2 3 4" xfId="32930"/>
    <cellStyle name="Normal 2 7 3 3 2 3 5" xfId="32931"/>
    <cellStyle name="Normal 2 7 3 3 2 4" xfId="32932"/>
    <cellStyle name="Normal 2 7 3 3 2 4 2" xfId="32933"/>
    <cellStyle name="Normal 2 7 3 3 2 4 3" xfId="32934"/>
    <cellStyle name="Normal 2 7 3 3 2 4 4" xfId="32935"/>
    <cellStyle name="Normal 2 7 3 3 2 5" xfId="32936"/>
    <cellStyle name="Normal 2 7 3 3 2 5 2" xfId="32937"/>
    <cellStyle name="Normal 2 7 3 3 2 6" xfId="32938"/>
    <cellStyle name="Normal 2 7 3 3 2 7" xfId="32939"/>
    <cellStyle name="Normal 2 7 3 3 2 8" xfId="32940"/>
    <cellStyle name="Normal 2 7 3 3 2 9" xfId="32941"/>
    <cellStyle name="Normal 2 7 3 3 3" xfId="32942"/>
    <cellStyle name="Normal 2 7 3 3 3 2" xfId="32943"/>
    <cellStyle name="Normal 2 7 3 3 3 2 2" xfId="32944"/>
    <cellStyle name="Normal 2 7 3 3 3 2 2 2" xfId="32945"/>
    <cellStyle name="Normal 2 7 3 3 3 2 2 3" xfId="32946"/>
    <cellStyle name="Normal 2 7 3 3 3 2 3" xfId="32947"/>
    <cellStyle name="Normal 2 7 3 3 3 2 4" xfId="32948"/>
    <cellStyle name="Normal 2 7 3 3 3 2 5" xfId="32949"/>
    <cellStyle name="Normal 2 7 3 3 3 2 6" xfId="32950"/>
    <cellStyle name="Normal 2 7 3 3 3 3" xfId="32951"/>
    <cellStyle name="Normal 2 7 3 3 3 3 2" xfId="32952"/>
    <cellStyle name="Normal 2 7 3 3 3 3 2 2" xfId="32953"/>
    <cellStyle name="Normal 2 7 3 3 3 3 3" xfId="32954"/>
    <cellStyle name="Normal 2 7 3 3 3 3 4" xfId="32955"/>
    <cellStyle name="Normal 2 7 3 3 3 3 5" xfId="32956"/>
    <cellStyle name="Normal 2 7 3 3 3 4" xfId="32957"/>
    <cellStyle name="Normal 2 7 3 3 3 4 2" xfId="32958"/>
    <cellStyle name="Normal 2 7 3 3 3 4 3" xfId="32959"/>
    <cellStyle name="Normal 2 7 3 3 3 4 4" xfId="32960"/>
    <cellStyle name="Normal 2 7 3 3 3 5" xfId="32961"/>
    <cellStyle name="Normal 2 7 3 3 3 5 2" xfId="32962"/>
    <cellStyle name="Normal 2 7 3 3 3 6" xfId="32963"/>
    <cellStyle name="Normal 2 7 3 3 3 7" xfId="32964"/>
    <cellStyle name="Normal 2 7 3 3 3 8" xfId="32965"/>
    <cellStyle name="Normal 2 7 3 3 3 9" xfId="32966"/>
    <cellStyle name="Normal 2 7 3 3 4" xfId="32967"/>
    <cellStyle name="Normal 2 7 3 3 4 2" xfId="32968"/>
    <cellStyle name="Normal 2 7 3 3 4 2 2" xfId="32969"/>
    <cellStyle name="Normal 2 7 3 3 4 2 3" xfId="32970"/>
    <cellStyle name="Normal 2 7 3 3 4 3" xfId="32971"/>
    <cellStyle name="Normal 2 7 3 3 4 4" xfId="32972"/>
    <cellStyle name="Normal 2 7 3 3 4 5" xfId="32973"/>
    <cellStyle name="Normal 2 7 3 3 4 6" xfId="32974"/>
    <cellStyle name="Normal 2 7 3 3 5" xfId="32975"/>
    <cellStyle name="Normal 2 7 3 3 5 2" xfId="32976"/>
    <cellStyle name="Normal 2 7 3 3 5 2 2" xfId="32977"/>
    <cellStyle name="Normal 2 7 3 3 5 3" xfId="32978"/>
    <cellStyle name="Normal 2 7 3 3 5 4" xfId="32979"/>
    <cellStyle name="Normal 2 7 3 3 5 5" xfId="32980"/>
    <cellStyle name="Normal 2 7 3 3 6" xfId="32981"/>
    <cellStyle name="Normal 2 7 3 3 6 2" xfId="32982"/>
    <cellStyle name="Normal 2 7 3 3 6 3" xfId="32983"/>
    <cellStyle name="Normal 2 7 3 3 6 4" xfId="32984"/>
    <cellStyle name="Normal 2 7 3 3 7" xfId="32985"/>
    <cellStyle name="Normal 2 7 3 3 7 2" xfId="32986"/>
    <cellStyle name="Normal 2 7 3 3 8" xfId="32987"/>
    <cellStyle name="Normal 2 7 3 3 9" xfId="32988"/>
    <cellStyle name="Normal 2 7 3 4" xfId="32989"/>
    <cellStyle name="Normal 2 7 3 4 10" xfId="32990"/>
    <cellStyle name="Normal 2 7 3 4 11" xfId="32991"/>
    <cellStyle name="Normal 2 7 3 4 2" xfId="32992"/>
    <cellStyle name="Normal 2 7 3 4 2 2" xfId="32993"/>
    <cellStyle name="Normal 2 7 3 4 2 2 2" xfId="32994"/>
    <cellStyle name="Normal 2 7 3 4 2 2 2 2" xfId="32995"/>
    <cellStyle name="Normal 2 7 3 4 2 2 2 3" xfId="32996"/>
    <cellStyle name="Normal 2 7 3 4 2 2 3" xfId="32997"/>
    <cellStyle name="Normal 2 7 3 4 2 2 4" xfId="32998"/>
    <cellStyle name="Normal 2 7 3 4 2 2 5" xfId="32999"/>
    <cellStyle name="Normal 2 7 3 4 2 2 6" xfId="33000"/>
    <cellStyle name="Normal 2 7 3 4 2 3" xfId="33001"/>
    <cellStyle name="Normal 2 7 3 4 2 3 2" xfId="33002"/>
    <cellStyle name="Normal 2 7 3 4 2 3 2 2" xfId="33003"/>
    <cellStyle name="Normal 2 7 3 4 2 3 3" xfId="33004"/>
    <cellStyle name="Normal 2 7 3 4 2 3 4" xfId="33005"/>
    <cellStyle name="Normal 2 7 3 4 2 3 5" xfId="33006"/>
    <cellStyle name="Normal 2 7 3 4 2 4" xfId="33007"/>
    <cellStyle name="Normal 2 7 3 4 2 4 2" xfId="33008"/>
    <cellStyle name="Normal 2 7 3 4 2 4 3" xfId="33009"/>
    <cellStyle name="Normal 2 7 3 4 2 4 4" xfId="33010"/>
    <cellStyle name="Normal 2 7 3 4 2 5" xfId="33011"/>
    <cellStyle name="Normal 2 7 3 4 2 5 2" xfId="33012"/>
    <cellStyle name="Normal 2 7 3 4 2 6" xfId="33013"/>
    <cellStyle name="Normal 2 7 3 4 2 7" xfId="33014"/>
    <cellStyle name="Normal 2 7 3 4 2 8" xfId="33015"/>
    <cellStyle name="Normal 2 7 3 4 2 9" xfId="33016"/>
    <cellStyle name="Normal 2 7 3 4 3" xfId="33017"/>
    <cellStyle name="Normal 2 7 3 4 3 2" xfId="33018"/>
    <cellStyle name="Normal 2 7 3 4 3 2 2" xfId="33019"/>
    <cellStyle name="Normal 2 7 3 4 3 2 2 2" xfId="33020"/>
    <cellStyle name="Normal 2 7 3 4 3 2 2 3" xfId="33021"/>
    <cellStyle name="Normal 2 7 3 4 3 2 3" xfId="33022"/>
    <cellStyle name="Normal 2 7 3 4 3 2 4" xfId="33023"/>
    <cellStyle name="Normal 2 7 3 4 3 2 5" xfId="33024"/>
    <cellStyle name="Normal 2 7 3 4 3 2 6" xfId="33025"/>
    <cellStyle name="Normal 2 7 3 4 3 3" xfId="33026"/>
    <cellStyle name="Normal 2 7 3 4 3 3 2" xfId="33027"/>
    <cellStyle name="Normal 2 7 3 4 3 3 2 2" xfId="33028"/>
    <cellStyle name="Normal 2 7 3 4 3 3 3" xfId="33029"/>
    <cellStyle name="Normal 2 7 3 4 3 3 4" xfId="33030"/>
    <cellStyle name="Normal 2 7 3 4 3 3 5" xfId="33031"/>
    <cellStyle name="Normal 2 7 3 4 3 4" xfId="33032"/>
    <cellStyle name="Normal 2 7 3 4 3 4 2" xfId="33033"/>
    <cellStyle name="Normal 2 7 3 4 3 4 3" xfId="33034"/>
    <cellStyle name="Normal 2 7 3 4 3 4 4" xfId="33035"/>
    <cellStyle name="Normal 2 7 3 4 3 5" xfId="33036"/>
    <cellStyle name="Normal 2 7 3 4 3 5 2" xfId="33037"/>
    <cellStyle name="Normal 2 7 3 4 3 6" xfId="33038"/>
    <cellStyle name="Normal 2 7 3 4 3 7" xfId="33039"/>
    <cellStyle name="Normal 2 7 3 4 3 8" xfId="33040"/>
    <cellStyle name="Normal 2 7 3 4 3 9" xfId="33041"/>
    <cellStyle name="Normal 2 7 3 4 4" xfId="33042"/>
    <cellStyle name="Normal 2 7 3 4 4 2" xfId="33043"/>
    <cellStyle name="Normal 2 7 3 4 4 2 2" xfId="33044"/>
    <cellStyle name="Normal 2 7 3 4 4 2 3" xfId="33045"/>
    <cellStyle name="Normal 2 7 3 4 4 3" xfId="33046"/>
    <cellStyle name="Normal 2 7 3 4 4 4" xfId="33047"/>
    <cellStyle name="Normal 2 7 3 4 4 5" xfId="33048"/>
    <cellStyle name="Normal 2 7 3 4 4 6" xfId="33049"/>
    <cellStyle name="Normal 2 7 3 4 5" xfId="33050"/>
    <cellStyle name="Normal 2 7 3 4 5 2" xfId="33051"/>
    <cellStyle name="Normal 2 7 3 4 5 2 2" xfId="33052"/>
    <cellStyle name="Normal 2 7 3 4 5 3" xfId="33053"/>
    <cellStyle name="Normal 2 7 3 4 5 4" xfId="33054"/>
    <cellStyle name="Normal 2 7 3 4 5 5" xfId="33055"/>
    <cellStyle name="Normal 2 7 3 4 6" xfId="33056"/>
    <cellStyle name="Normal 2 7 3 4 6 2" xfId="33057"/>
    <cellStyle name="Normal 2 7 3 4 6 3" xfId="33058"/>
    <cellStyle name="Normal 2 7 3 4 6 4" xfId="33059"/>
    <cellStyle name="Normal 2 7 3 4 7" xfId="33060"/>
    <cellStyle name="Normal 2 7 3 4 7 2" xfId="33061"/>
    <cellStyle name="Normal 2 7 3 4 8" xfId="33062"/>
    <cellStyle name="Normal 2 7 3 4 9" xfId="33063"/>
    <cellStyle name="Normal 2 7 3 5" xfId="33064"/>
    <cellStyle name="Normal 2 7 3 5 10" xfId="33065"/>
    <cellStyle name="Normal 2 7 3 5 11" xfId="33066"/>
    <cellStyle name="Normal 2 7 3 5 2" xfId="33067"/>
    <cellStyle name="Normal 2 7 3 5 2 2" xfId="33068"/>
    <cellStyle name="Normal 2 7 3 5 2 2 2" xfId="33069"/>
    <cellStyle name="Normal 2 7 3 5 2 2 2 2" xfId="33070"/>
    <cellStyle name="Normal 2 7 3 5 2 2 2 3" xfId="33071"/>
    <cellStyle name="Normal 2 7 3 5 2 2 3" xfId="33072"/>
    <cellStyle name="Normal 2 7 3 5 2 2 4" xfId="33073"/>
    <cellStyle name="Normal 2 7 3 5 2 2 5" xfId="33074"/>
    <cellStyle name="Normal 2 7 3 5 2 2 6" xfId="33075"/>
    <cellStyle name="Normal 2 7 3 5 2 3" xfId="33076"/>
    <cellStyle name="Normal 2 7 3 5 2 3 2" xfId="33077"/>
    <cellStyle name="Normal 2 7 3 5 2 3 2 2" xfId="33078"/>
    <cellStyle name="Normal 2 7 3 5 2 3 3" xfId="33079"/>
    <cellStyle name="Normal 2 7 3 5 2 3 4" xfId="33080"/>
    <cellStyle name="Normal 2 7 3 5 2 3 5" xfId="33081"/>
    <cellStyle name="Normal 2 7 3 5 2 4" xfId="33082"/>
    <cellStyle name="Normal 2 7 3 5 2 4 2" xfId="33083"/>
    <cellStyle name="Normal 2 7 3 5 2 4 3" xfId="33084"/>
    <cellStyle name="Normal 2 7 3 5 2 4 4" xfId="33085"/>
    <cellStyle name="Normal 2 7 3 5 2 5" xfId="33086"/>
    <cellStyle name="Normal 2 7 3 5 2 5 2" xfId="33087"/>
    <cellStyle name="Normal 2 7 3 5 2 6" xfId="33088"/>
    <cellStyle name="Normal 2 7 3 5 2 7" xfId="33089"/>
    <cellStyle name="Normal 2 7 3 5 2 8" xfId="33090"/>
    <cellStyle name="Normal 2 7 3 5 2 9" xfId="33091"/>
    <cellStyle name="Normal 2 7 3 5 3" xfId="33092"/>
    <cellStyle name="Normal 2 7 3 5 3 2" xfId="33093"/>
    <cellStyle name="Normal 2 7 3 5 3 2 2" xfId="33094"/>
    <cellStyle name="Normal 2 7 3 5 3 2 2 2" xfId="33095"/>
    <cellStyle name="Normal 2 7 3 5 3 2 2 3" xfId="33096"/>
    <cellStyle name="Normal 2 7 3 5 3 2 3" xfId="33097"/>
    <cellStyle name="Normal 2 7 3 5 3 2 4" xfId="33098"/>
    <cellStyle name="Normal 2 7 3 5 3 2 5" xfId="33099"/>
    <cellStyle name="Normal 2 7 3 5 3 2 6" xfId="33100"/>
    <cellStyle name="Normal 2 7 3 5 3 3" xfId="33101"/>
    <cellStyle name="Normal 2 7 3 5 3 3 2" xfId="33102"/>
    <cellStyle name="Normal 2 7 3 5 3 3 2 2" xfId="33103"/>
    <cellStyle name="Normal 2 7 3 5 3 3 3" xfId="33104"/>
    <cellStyle name="Normal 2 7 3 5 3 3 4" xfId="33105"/>
    <cellStyle name="Normal 2 7 3 5 3 3 5" xfId="33106"/>
    <cellStyle name="Normal 2 7 3 5 3 4" xfId="33107"/>
    <cellStyle name="Normal 2 7 3 5 3 4 2" xfId="33108"/>
    <cellStyle name="Normal 2 7 3 5 3 4 3" xfId="33109"/>
    <cellStyle name="Normal 2 7 3 5 3 4 4" xfId="33110"/>
    <cellStyle name="Normal 2 7 3 5 3 5" xfId="33111"/>
    <cellStyle name="Normal 2 7 3 5 3 5 2" xfId="33112"/>
    <cellStyle name="Normal 2 7 3 5 3 6" xfId="33113"/>
    <cellStyle name="Normal 2 7 3 5 3 7" xfId="33114"/>
    <cellStyle name="Normal 2 7 3 5 3 8" xfId="33115"/>
    <cellStyle name="Normal 2 7 3 5 3 9" xfId="33116"/>
    <cellStyle name="Normal 2 7 3 5 4" xfId="33117"/>
    <cellStyle name="Normal 2 7 3 5 4 2" xfId="33118"/>
    <cellStyle name="Normal 2 7 3 5 4 2 2" xfId="33119"/>
    <cellStyle name="Normal 2 7 3 5 4 2 3" xfId="33120"/>
    <cellStyle name="Normal 2 7 3 5 4 3" xfId="33121"/>
    <cellStyle name="Normal 2 7 3 5 4 4" xfId="33122"/>
    <cellStyle name="Normal 2 7 3 5 4 5" xfId="33123"/>
    <cellStyle name="Normal 2 7 3 5 4 6" xfId="33124"/>
    <cellStyle name="Normal 2 7 3 5 5" xfId="33125"/>
    <cellStyle name="Normal 2 7 3 5 5 2" xfId="33126"/>
    <cellStyle name="Normal 2 7 3 5 5 2 2" xfId="33127"/>
    <cellStyle name="Normal 2 7 3 5 5 3" xfId="33128"/>
    <cellStyle name="Normal 2 7 3 5 5 4" xfId="33129"/>
    <cellStyle name="Normal 2 7 3 5 5 5" xfId="33130"/>
    <cellStyle name="Normal 2 7 3 5 6" xfId="33131"/>
    <cellStyle name="Normal 2 7 3 5 6 2" xfId="33132"/>
    <cellStyle name="Normal 2 7 3 5 6 3" xfId="33133"/>
    <cellStyle name="Normal 2 7 3 5 6 4" xfId="33134"/>
    <cellStyle name="Normal 2 7 3 5 7" xfId="33135"/>
    <cellStyle name="Normal 2 7 3 5 7 2" xfId="33136"/>
    <cellStyle name="Normal 2 7 3 5 8" xfId="33137"/>
    <cellStyle name="Normal 2 7 3 5 9" xfId="33138"/>
    <cellStyle name="Normal 2 7 3 6" xfId="33139"/>
    <cellStyle name="Normal 2 7 3 6 10" xfId="33140"/>
    <cellStyle name="Normal 2 7 3 6 11" xfId="33141"/>
    <cellStyle name="Normal 2 7 3 6 2" xfId="33142"/>
    <cellStyle name="Normal 2 7 3 6 2 2" xfId="33143"/>
    <cellStyle name="Normal 2 7 3 6 2 2 2" xfId="33144"/>
    <cellStyle name="Normal 2 7 3 6 2 2 2 2" xfId="33145"/>
    <cellStyle name="Normal 2 7 3 6 2 2 2 3" xfId="33146"/>
    <cellStyle name="Normal 2 7 3 6 2 2 3" xfId="33147"/>
    <cellStyle name="Normal 2 7 3 6 2 2 4" xfId="33148"/>
    <cellStyle name="Normal 2 7 3 6 2 2 5" xfId="33149"/>
    <cellStyle name="Normal 2 7 3 6 2 2 6" xfId="33150"/>
    <cellStyle name="Normal 2 7 3 6 2 3" xfId="33151"/>
    <cellStyle name="Normal 2 7 3 6 2 3 2" xfId="33152"/>
    <cellStyle name="Normal 2 7 3 6 2 3 2 2" xfId="33153"/>
    <cellStyle name="Normal 2 7 3 6 2 3 3" xfId="33154"/>
    <cellStyle name="Normal 2 7 3 6 2 3 4" xfId="33155"/>
    <cellStyle name="Normal 2 7 3 6 2 3 5" xfId="33156"/>
    <cellStyle name="Normal 2 7 3 6 2 4" xfId="33157"/>
    <cellStyle name="Normal 2 7 3 6 2 4 2" xfId="33158"/>
    <cellStyle name="Normal 2 7 3 6 2 4 3" xfId="33159"/>
    <cellStyle name="Normal 2 7 3 6 2 4 4" xfId="33160"/>
    <cellStyle name="Normal 2 7 3 6 2 5" xfId="33161"/>
    <cellStyle name="Normal 2 7 3 6 2 5 2" xfId="33162"/>
    <cellStyle name="Normal 2 7 3 6 2 6" xfId="33163"/>
    <cellStyle name="Normal 2 7 3 6 2 7" xfId="33164"/>
    <cellStyle name="Normal 2 7 3 6 2 8" xfId="33165"/>
    <cellStyle name="Normal 2 7 3 6 2 9" xfId="33166"/>
    <cellStyle name="Normal 2 7 3 6 3" xfId="33167"/>
    <cellStyle name="Normal 2 7 3 6 3 2" xfId="33168"/>
    <cellStyle name="Normal 2 7 3 6 3 2 2" xfId="33169"/>
    <cellStyle name="Normal 2 7 3 6 3 2 2 2" xfId="33170"/>
    <cellStyle name="Normal 2 7 3 6 3 2 2 3" xfId="33171"/>
    <cellStyle name="Normal 2 7 3 6 3 2 3" xfId="33172"/>
    <cellStyle name="Normal 2 7 3 6 3 2 4" xfId="33173"/>
    <cellStyle name="Normal 2 7 3 6 3 2 5" xfId="33174"/>
    <cellStyle name="Normal 2 7 3 6 3 2 6" xfId="33175"/>
    <cellStyle name="Normal 2 7 3 6 3 3" xfId="33176"/>
    <cellStyle name="Normal 2 7 3 6 3 3 2" xfId="33177"/>
    <cellStyle name="Normal 2 7 3 6 3 3 2 2" xfId="33178"/>
    <cellStyle name="Normal 2 7 3 6 3 3 3" xfId="33179"/>
    <cellStyle name="Normal 2 7 3 6 3 3 4" xfId="33180"/>
    <cellStyle name="Normal 2 7 3 6 3 3 5" xfId="33181"/>
    <cellStyle name="Normal 2 7 3 6 3 4" xfId="33182"/>
    <cellStyle name="Normal 2 7 3 6 3 4 2" xfId="33183"/>
    <cellStyle name="Normal 2 7 3 6 3 4 3" xfId="33184"/>
    <cellStyle name="Normal 2 7 3 6 3 4 4" xfId="33185"/>
    <cellStyle name="Normal 2 7 3 6 3 5" xfId="33186"/>
    <cellStyle name="Normal 2 7 3 6 3 5 2" xfId="33187"/>
    <cellStyle name="Normal 2 7 3 6 3 6" xfId="33188"/>
    <cellStyle name="Normal 2 7 3 6 3 7" xfId="33189"/>
    <cellStyle name="Normal 2 7 3 6 3 8" xfId="33190"/>
    <cellStyle name="Normal 2 7 3 6 3 9" xfId="33191"/>
    <cellStyle name="Normal 2 7 3 6 4" xfId="33192"/>
    <cellStyle name="Normal 2 7 3 6 4 2" xfId="33193"/>
    <cellStyle name="Normal 2 7 3 6 4 2 2" xfId="33194"/>
    <cellStyle name="Normal 2 7 3 6 4 2 3" xfId="33195"/>
    <cellStyle name="Normal 2 7 3 6 4 3" xfId="33196"/>
    <cellStyle name="Normal 2 7 3 6 4 4" xfId="33197"/>
    <cellStyle name="Normal 2 7 3 6 4 5" xfId="33198"/>
    <cellStyle name="Normal 2 7 3 6 4 6" xfId="33199"/>
    <cellStyle name="Normal 2 7 3 6 5" xfId="33200"/>
    <cellStyle name="Normal 2 7 3 6 5 2" xfId="33201"/>
    <cellStyle name="Normal 2 7 3 6 5 2 2" xfId="33202"/>
    <cellStyle name="Normal 2 7 3 6 5 3" xfId="33203"/>
    <cellStyle name="Normal 2 7 3 6 5 4" xfId="33204"/>
    <cellStyle name="Normal 2 7 3 6 5 5" xfId="33205"/>
    <cellStyle name="Normal 2 7 3 6 6" xfId="33206"/>
    <cellStyle name="Normal 2 7 3 6 6 2" xfId="33207"/>
    <cellStyle name="Normal 2 7 3 6 6 3" xfId="33208"/>
    <cellStyle name="Normal 2 7 3 6 6 4" xfId="33209"/>
    <cellStyle name="Normal 2 7 3 6 7" xfId="33210"/>
    <cellStyle name="Normal 2 7 3 6 7 2" xfId="33211"/>
    <cellStyle name="Normal 2 7 3 6 8" xfId="33212"/>
    <cellStyle name="Normal 2 7 3 6 9" xfId="33213"/>
    <cellStyle name="Normal 2 7 3 7" xfId="33214"/>
    <cellStyle name="Normal 2 7 3 7 10" xfId="33215"/>
    <cellStyle name="Normal 2 7 3 7 11" xfId="33216"/>
    <cellStyle name="Normal 2 7 3 7 2" xfId="33217"/>
    <cellStyle name="Normal 2 7 3 7 2 2" xfId="33218"/>
    <cellStyle name="Normal 2 7 3 7 2 2 2" xfId="33219"/>
    <cellStyle name="Normal 2 7 3 7 2 2 2 2" xfId="33220"/>
    <cellStyle name="Normal 2 7 3 7 2 2 2 3" xfId="33221"/>
    <cellStyle name="Normal 2 7 3 7 2 2 3" xfId="33222"/>
    <cellStyle name="Normal 2 7 3 7 2 2 4" xfId="33223"/>
    <cellStyle name="Normal 2 7 3 7 2 2 5" xfId="33224"/>
    <cellStyle name="Normal 2 7 3 7 2 2 6" xfId="33225"/>
    <cellStyle name="Normal 2 7 3 7 2 3" xfId="33226"/>
    <cellStyle name="Normal 2 7 3 7 2 3 2" xfId="33227"/>
    <cellStyle name="Normal 2 7 3 7 2 3 2 2" xfId="33228"/>
    <cellStyle name="Normal 2 7 3 7 2 3 3" xfId="33229"/>
    <cellStyle name="Normal 2 7 3 7 2 3 4" xfId="33230"/>
    <cellStyle name="Normal 2 7 3 7 2 3 5" xfId="33231"/>
    <cellStyle name="Normal 2 7 3 7 2 4" xfId="33232"/>
    <cellStyle name="Normal 2 7 3 7 2 4 2" xfId="33233"/>
    <cellStyle name="Normal 2 7 3 7 2 4 3" xfId="33234"/>
    <cellStyle name="Normal 2 7 3 7 2 4 4" xfId="33235"/>
    <cellStyle name="Normal 2 7 3 7 2 5" xfId="33236"/>
    <cellStyle name="Normal 2 7 3 7 2 5 2" xfId="33237"/>
    <cellStyle name="Normal 2 7 3 7 2 6" xfId="33238"/>
    <cellStyle name="Normal 2 7 3 7 2 7" xfId="33239"/>
    <cellStyle name="Normal 2 7 3 7 2 8" xfId="33240"/>
    <cellStyle name="Normal 2 7 3 7 2 9" xfId="33241"/>
    <cellStyle name="Normal 2 7 3 7 3" xfId="33242"/>
    <cellStyle name="Normal 2 7 3 7 3 2" xfId="33243"/>
    <cellStyle name="Normal 2 7 3 7 3 2 2" xfId="33244"/>
    <cellStyle name="Normal 2 7 3 7 3 2 2 2" xfId="33245"/>
    <cellStyle name="Normal 2 7 3 7 3 2 2 3" xfId="33246"/>
    <cellStyle name="Normal 2 7 3 7 3 2 3" xfId="33247"/>
    <cellStyle name="Normal 2 7 3 7 3 2 4" xfId="33248"/>
    <cellStyle name="Normal 2 7 3 7 3 2 5" xfId="33249"/>
    <cellStyle name="Normal 2 7 3 7 3 2 6" xfId="33250"/>
    <cellStyle name="Normal 2 7 3 7 3 3" xfId="33251"/>
    <cellStyle name="Normal 2 7 3 7 3 3 2" xfId="33252"/>
    <cellStyle name="Normal 2 7 3 7 3 3 2 2" xfId="33253"/>
    <cellStyle name="Normal 2 7 3 7 3 3 3" xfId="33254"/>
    <cellStyle name="Normal 2 7 3 7 3 3 4" xfId="33255"/>
    <cellStyle name="Normal 2 7 3 7 3 3 5" xfId="33256"/>
    <cellStyle name="Normal 2 7 3 7 3 4" xfId="33257"/>
    <cellStyle name="Normal 2 7 3 7 3 4 2" xfId="33258"/>
    <cellStyle name="Normal 2 7 3 7 3 4 3" xfId="33259"/>
    <cellStyle name="Normal 2 7 3 7 3 4 4" xfId="33260"/>
    <cellStyle name="Normal 2 7 3 7 3 5" xfId="33261"/>
    <cellStyle name="Normal 2 7 3 7 3 5 2" xfId="33262"/>
    <cellStyle name="Normal 2 7 3 7 3 6" xfId="33263"/>
    <cellStyle name="Normal 2 7 3 7 3 7" xfId="33264"/>
    <cellStyle name="Normal 2 7 3 7 3 8" xfId="33265"/>
    <cellStyle name="Normal 2 7 3 7 3 9" xfId="33266"/>
    <cellStyle name="Normal 2 7 3 7 4" xfId="33267"/>
    <cellStyle name="Normal 2 7 3 7 4 2" xfId="33268"/>
    <cellStyle name="Normal 2 7 3 7 4 2 2" xfId="33269"/>
    <cellStyle name="Normal 2 7 3 7 4 2 3" xfId="33270"/>
    <cellStyle name="Normal 2 7 3 7 4 3" xfId="33271"/>
    <cellStyle name="Normal 2 7 3 7 4 4" xfId="33272"/>
    <cellStyle name="Normal 2 7 3 7 4 5" xfId="33273"/>
    <cellStyle name="Normal 2 7 3 7 4 6" xfId="33274"/>
    <cellStyle name="Normal 2 7 3 7 5" xfId="33275"/>
    <cellStyle name="Normal 2 7 3 7 5 2" xfId="33276"/>
    <cellStyle name="Normal 2 7 3 7 5 2 2" xfId="33277"/>
    <cellStyle name="Normal 2 7 3 7 5 3" xfId="33278"/>
    <cellStyle name="Normal 2 7 3 7 5 4" xfId="33279"/>
    <cellStyle name="Normal 2 7 3 7 5 5" xfId="33280"/>
    <cellStyle name="Normal 2 7 3 7 6" xfId="33281"/>
    <cellStyle name="Normal 2 7 3 7 6 2" xfId="33282"/>
    <cellStyle name="Normal 2 7 3 7 6 3" xfId="33283"/>
    <cellStyle name="Normal 2 7 3 7 6 4" xfId="33284"/>
    <cellStyle name="Normal 2 7 3 7 7" xfId="33285"/>
    <cellStyle name="Normal 2 7 3 7 7 2" xfId="33286"/>
    <cellStyle name="Normal 2 7 3 7 8" xfId="33287"/>
    <cellStyle name="Normal 2 7 3 7 9" xfId="33288"/>
    <cellStyle name="Normal 2 7 3 8" xfId="33289"/>
    <cellStyle name="Normal 2 7 3 8 10" xfId="33290"/>
    <cellStyle name="Normal 2 7 3 8 2" xfId="33291"/>
    <cellStyle name="Normal 2 7 3 8 2 2" xfId="33292"/>
    <cellStyle name="Normal 2 7 3 8 2 2 2" xfId="33293"/>
    <cellStyle name="Normal 2 7 3 8 2 2 3" xfId="33294"/>
    <cellStyle name="Normal 2 7 3 8 2 3" xfId="33295"/>
    <cellStyle name="Normal 2 7 3 8 2 4" xfId="33296"/>
    <cellStyle name="Normal 2 7 3 8 2 5" xfId="33297"/>
    <cellStyle name="Normal 2 7 3 8 2 6" xfId="33298"/>
    <cellStyle name="Normal 2 7 3 8 3" xfId="33299"/>
    <cellStyle name="Normal 2 7 3 8 3 2" xfId="33300"/>
    <cellStyle name="Normal 2 7 3 8 3 2 2" xfId="33301"/>
    <cellStyle name="Normal 2 7 3 8 3 2 3" xfId="33302"/>
    <cellStyle name="Normal 2 7 3 8 3 3" xfId="33303"/>
    <cellStyle name="Normal 2 7 3 8 3 4" xfId="33304"/>
    <cellStyle name="Normal 2 7 3 8 3 5" xfId="33305"/>
    <cellStyle name="Normal 2 7 3 8 3 6" xfId="33306"/>
    <cellStyle name="Normal 2 7 3 8 4" xfId="33307"/>
    <cellStyle name="Normal 2 7 3 8 4 2" xfId="33308"/>
    <cellStyle name="Normal 2 7 3 8 4 2 2" xfId="33309"/>
    <cellStyle name="Normal 2 7 3 8 4 3" xfId="33310"/>
    <cellStyle name="Normal 2 7 3 8 4 4" xfId="33311"/>
    <cellStyle name="Normal 2 7 3 8 4 5" xfId="33312"/>
    <cellStyle name="Normal 2 7 3 8 5" xfId="33313"/>
    <cellStyle name="Normal 2 7 3 8 5 2" xfId="33314"/>
    <cellStyle name="Normal 2 7 3 8 5 3" xfId="33315"/>
    <cellStyle name="Normal 2 7 3 8 5 4" xfId="33316"/>
    <cellStyle name="Normal 2 7 3 8 6" xfId="33317"/>
    <cellStyle name="Normal 2 7 3 8 6 2" xfId="33318"/>
    <cellStyle name="Normal 2 7 3 8 7" xfId="33319"/>
    <cellStyle name="Normal 2 7 3 8 8" xfId="33320"/>
    <cellStyle name="Normal 2 7 3 8 9" xfId="33321"/>
    <cellStyle name="Normal 2 7 3 9" xfId="33322"/>
    <cellStyle name="Normal 2 7 3 9 10" xfId="33323"/>
    <cellStyle name="Normal 2 7 3 9 2" xfId="33324"/>
    <cellStyle name="Normal 2 7 3 9 2 2" xfId="33325"/>
    <cellStyle name="Normal 2 7 3 9 2 2 2" xfId="33326"/>
    <cellStyle name="Normal 2 7 3 9 2 2 3" xfId="33327"/>
    <cellStyle name="Normal 2 7 3 9 2 3" xfId="33328"/>
    <cellStyle name="Normal 2 7 3 9 2 4" xfId="33329"/>
    <cellStyle name="Normal 2 7 3 9 2 5" xfId="33330"/>
    <cellStyle name="Normal 2 7 3 9 2 6" xfId="33331"/>
    <cellStyle name="Normal 2 7 3 9 3" xfId="33332"/>
    <cellStyle name="Normal 2 7 3 9 3 2" xfId="33333"/>
    <cellStyle name="Normal 2 7 3 9 3 2 2" xfId="33334"/>
    <cellStyle name="Normal 2 7 3 9 3 2 3" xfId="33335"/>
    <cellStyle name="Normal 2 7 3 9 3 3" xfId="33336"/>
    <cellStyle name="Normal 2 7 3 9 3 4" xfId="33337"/>
    <cellStyle name="Normal 2 7 3 9 3 5" xfId="33338"/>
    <cellStyle name="Normal 2 7 3 9 3 6" xfId="33339"/>
    <cellStyle name="Normal 2 7 3 9 4" xfId="33340"/>
    <cellStyle name="Normal 2 7 3 9 4 2" xfId="33341"/>
    <cellStyle name="Normal 2 7 3 9 4 2 2" xfId="33342"/>
    <cellStyle name="Normal 2 7 3 9 4 3" xfId="33343"/>
    <cellStyle name="Normal 2 7 3 9 4 4" xfId="33344"/>
    <cellStyle name="Normal 2 7 3 9 4 5" xfId="33345"/>
    <cellStyle name="Normal 2 7 3 9 5" xfId="33346"/>
    <cellStyle name="Normal 2 7 3 9 5 2" xfId="33347"/>
    <cellStyle name="Normal 2 7 3 9 5 3" xfId="33348"/>
    <cellStyle name="Normal 2 7 3 9 5 4" xfId="33349"/>
    <cellStyle name="Normal 2 7 3 9 6" xfId="33350"/>
    <cellStyle name="Normal 2 7 3 9 6 2" xfId="33351"/>
    <cellStyle name="Normal 2 7 3 9 7" xfId="33352"/>
    <cellStyle name="Normal 2 7 3 9 8" xfId="33353"/>
    <cellStyle name="Normal 2 7 3 9 9" xfId="33354"/>
    <cellStyle name="Normal 2 7 30" xfId="33355"/>
    <cellStyle name="Normal 2 7 30 2" xfId="33356"/>
    <cellStyle name="Normal 2 7 30 2 2" xfId="33357"/>
    <cellStyle name="Normal 2 7 30 2 2 2" xfId="33358"/>
    <cellStyle name="Normal 2 7 30 2 2 3" xfId="33359"/>
    <cellStyle name="Normal 2 7 30 2 3" xfId="33360"/>
    <cellStyle name="Normal 2 7 30 2 4" xfId="33361"/>
    <cellStyle name="Normal 2 7 30 2 5" xfId="33362"/>
    <cellStyle name="Normal 2 7 30 2 6" xfId="33363"/>
    <cellStyle name="Normal 2 7 30 3" xfId="33364"/>
    <cellStyle name="Normal 2 7 30 3 2" xfId="33365"/>
    <cellStyle name="Normal 2 7 30 3 2 2" xfId="33366"/>
    <cellStyle name="Normal 2 7 30 3 3" xfId="33367"/>
    <cellStyle name="Normal 2 7 30 3 4" xfId="33368"/>
    <cellStyle name="Normal 2 7 30 3 5" xfId="33369"/>
    <cellStyle name="Normal 2 7 30 4" xfId="33370"/>
    <cellStyle name="Normal 2 7 30 4 2" xfId="33371"/>
    <cellStyle name="Normal 2 7 30 4 3" xfId="33372"/>
    <cellStyle name="Normal 2 7 30 4 4" xfId="33373"/>
    <cellStyle name="Normal 2 7 30 5" xfId="33374"/>
    <cellStyle name="Normal 2 7 30 5 2" xfId="33375"/>
    <cellStyle name="Normal 2 7 30 6" xfId="33376"/>
    <cellStyle name="Normal 2 7 30 7" xfId="33377"/>
    <cellStyle name="Normal 2 7 30 8" xfId="33378"/>
    <cellStyle name="Normal 2 7 30 9" xfId="33379"/>
    <cellStyle name="Normal 2 7 31" xfId="33380"/>
    <cellStyle name="Normal 2 7 31 2" xfId="33381"/>
    <cellStyle name="Normal 2 7 31 2 2" xfId="33382"/>
    <cellStyle name="Normal 2 7 31 2 2 2" xfId="33383"/>
    <cellStyle name="Normal 2 7 31 2 2 3" xfId="33384"/>
    <cellStyle name="Normal 2 7 31 2 3" xfId="33385"/>
    <cellStyle name="Normal 2 7 31 2 4" xfId="33386"/>
    <cellStyle name="Normal 2 7 31 2 5" xfId="33387"/>
    <cellStyle name="Normal 2 7 31 2 6" xfId="33388"/>
    <cellStyle name="Normal 2 7 31 3" xfId="33389"/>
    <cellStyle name="Normal 2 7 31 3 2" xfId="33390"/>
    <cellStyle name="Normal 2 7 31 3 2 2" xfId="33391"/>
    <cellStyle name="Normal 2 7 31 3 3" xfId="33392"/>
    <cellStyle name="Normal 2 7 31 3 4" xfId="33393"/>
    <cellStyle name="Normal 2 7 31 3 5" xfId="33394"/>
    <cellStyle name="Normal 2 7 31 4" xfId="33395"/>
    <cellStyle name="Normal 2 7 31 4 2" xfId="33396"/>
    <cellStyle name="Normal 2 7 31 4 3" xfId="33397"/>
    <cellStyle name="Normal 2 7 31 4 4" xfId="33398"/>
    <cellStyle name="Normal 2 7 31 5" xfId="33399"/>
    <cellStyle name="Normal 2 7 31 5 2" xfId="33400"/>
    <cellStyle name="Normal 2 7 31 6" xfId="33401"/>
    <cellStyle name="Normal 2 7 31 7" xfId="33402"/>
    <cellStyle name="Normal 2 7 31 8" xfId="33403"/>
    <cellStyle name="Normal 2 7 31 9" xfId="33404"/>
    <cellStyle name="Normal 2 7 32" xfId="33405"/>
    <cellStyle name="Normal 2 7 32 2" xfId="33406"/>
    <cellStyle name="Normal 2 7 32 2 2" xfId="33407"/>
    <cellStyle name="Normal 2 7 32 2 3" xfId="33408"/>
    <cellStyle name="Normal 2 7 32 3" xfId="33409"/>
    <cellStyle name="Normal 2 7 32 4" xfId="33410"/>
    <cellStyle name="Normal 2 7 32 5" xfId="33411"/>
    <cellStyle name="Normal 2 7 32 6" xfId="33412"/>
    <cellStyle name="Normal 2 7 33" xfId="33413"/>
    <cellStyle name="Normal 2 7 33 2" xfId="33414"/>
    <cellStyle name="Normal 2 7 33 2 2" xfId="33415"/>
    <cellStyle name="Normal 2 7 33 3" xfId="33416"/>
    <cellStyle name="Normal 2 7 33 4" xfId="33417"/>
    <cellStyle name="Normal 2 7 33 5" xfId="33418"/>
    <cellStyle name="Normal 2 7 34" xfId="33419"/>
    <cellStyle name="Normal 2 7 34 2" xfId="33420"/>
    <cellStyle name="Normal 2 7 34 2 2" xfId="33421"/>
    <cellStyle name="Normal 2 7 34 3" xfId="33422"/>
    <cellStyle name="Normal 2 7 34 4" xfId="33423"/>
    <cellStyle name="Normal 2 7 34 5" xfId="33424"/>
    <cellStyle name="Normal 2 7 35" xfId="33425"/>
    <cellStyle name="Normal 2 7 35 2" xfId="33426"/>
    <cellStyle name="Normal 2 7 36" xfId="33427"/>
    <cellStyle name="Normal 2 7 37" xfId="33428"/>
    <cellStyle name="Normal 2 7 38" xfId="33429"/>
    <cellStyle name="Normal 2 7 39" xfId="33430"/>
    <cellStyle name="Normal 2 7 4" xfId="33431"/>
    <cellStyle name="Normal 2 7 4 10" xfId="33432"/>
    <cellStyle name="Normal 2 7 4 10 10" xfId="33433"/>
    <cellStyle name="Normal 2 7 4 10 2" xfId="33434"/>
    <cellStyle name="Normal 2 7 4 10 2 2" xfId="33435"/>
    <cellStyle name="Normal 2 7 4 10 2 2 2" xfId="33436"/>
    <cellStyle name="Normal 2 7 4 10 2 2 3" xfId="33437"/>
    <cellStyle name="Normal 2 7 4 10 2 3" xfId="33438"/>
    <cellStyle name="Normal 2 7 4 10 2 4" xfId="33439"/>
    <cellStyle name="Normal 2 7 4 10 2 5" xfId="33440"/>
    <cellStyle name="Normal 2 7 4 10 2 6" xfId="33441"/>
    <cellStyle name="Normal 2 7 4 10 3" xfId="33442"/>
    <cellStyle name="Normal 2 7 4 10 3 2" xfId="33443"/>
    <cellStyle name="Normal 2 7 4 10 3 2 2" xfId="33444"/>
    <cellStyle name="Normal 2 7 4 10 3 2 3" xfId="33445"/>
    <cellStyle name="Normal 2 7 4 10 3 3" xfId="33446"/>
    <cellStyle name="Normal 2 7 4 10 3 4" xfId="33447"/>
    <cellStyle name="Normal 2 7 4 10 3 5" xfId="33448"/>
    <cellStyle name="Normal 2 7 4 10 3 6" xfId="33449"/>
    <cellStyle name="Normal 2 7 4 10 4" xfId="33450"/>
    <cellStyle name="Normal 2 7 4 10 4 2" xfId="33451"/>
    <cellStyle name="Normal 2 7 4 10 4 2 2" xfId="33452"/>
    <cellStyle name="Normal 2 7 4 10 4 3" xfId="33453"/>
    <cellStyle name="Normal 2 7 4 10 4 4" xfId="33454"/>
    <cellStyle name="Normal 2 7 4 10 4 5" xfId="33455"/>
    <cellStyle name="Normal 2 7 4 10 5" xfId="33456"/>
    <cellStyle name="Normal 2 7 4 10 5 2" xfId="33457"/>
    <cellStyle name="Normal 2 7 4 10 5 3" xfId="33458"/>
    <cellStyle name="Normal 2 7 4 10 5 4" xfId="33459"/>
    <cellStyle name="Normal 2 7 4 10 6" xfId="33460"/>
    <cellStyle name="Normal 2 7 4 10 6 2" xfId="33461"/>
    <cellStyle name="Normal 2 7 4 10 7" xfId="33462"/>
    <cellStyle name="Normal 2 7 4 10 8" xfId="33463"/>
    <cellStyle name="Normal 2 7 4 10 9" xfId="33464"/>
    <cellStyle name="Normal 2 7 4 11" xfId="33465"/>
    <cellStyle name="Normal 2 7 4 11 10" xfId="33466"/>
    <cellStyle name="Normal 2 7 4 11 2" xfId="33467"/>
    <cellStyle name="Normal 2 7 4 11 2 2" xfId="33468"/>
    <cellStyle name="Normal 2 7 4 11 2 2 2" xfId="33469"/>
    <cellStyle name="Normal 2 7 4 11 2 2 3" xfId="33470"/>
    <cellStyle name="Normal 2 7 4 11 2 3" xfId="33471"/>
    <cellStyle name="Normal 2 7 4 11 2 4" xfId="33472"/>
    <cellStyle name="Normal 2 7 4 11 2 5" xfId="33473"/>
    <cellStyle name="Normal 2 7 4 11 2 6" xfId="33474"/>
    <cellStyle name="Normal 2 7 4 11 3" xfId="33475"/>
    <cellStyle name="Normal 2 7 4 11 3 2" xfId="33476"/>
    <cellStyle name="Normal 2 7 4 11 3 2 2" xfId="33477"/>
    <cellStyle name="Normal 2 7 4 11 3 2 3" xfId="33478"/>
    <cellStyle name="Normal 2 7 4 11 3 3" xfId="33479"/>
    <cellStyle name="Normal 2 7 4 11 3 4" xfId="33480"/>
    <cellStyle name="Normal 2 7 4 11 3 5" xfId="33481"/>
    <cellStyle name="Normal 2 7 4 11 3 6" xfId="33482"/>
    <cellStyle name="Normal 2 7 4 11 4" xfId="33483"/>
    <cellStyle name="Normal 2 7 4 11 4 2" xfId="33484"/>
    <cellStyle name="Normal 2 7 4 11 4 2 2" xfId="33485"/>
    <cellStyle name="Normal 2 7 4 11 4 3" xfId="33486"/>
    <cellStyle name="Normal 2 7 4 11 4 4" xfId="33487"/>
    <cellStyle name="Normal 2 7 4 11 4 5" xfId="33488"/>
    <cellStyle name="Normal 2 7 4 11 5" xfId="33489"/>
    <cellStyle name="Normal 2 7 4 11 5 2" xfId="33490"/>
    <cellStyle name="Normal 2 7 4 11 5 3" xfId="33491"/>
    <cellStyle name="Normal 2 7 4 11 5 4" xfId="33492"/>
    <cellStyle name="Normal 2 7 4 11 6" xfId="33493"/>
    <cellStyle name="Normal 2 7 4 11 6 2" xfId="33494"/>
    <cellStyle name="Normal 2 7 4 11 7" xfId="33495"/>
    <cellStyle name="Normal 2 7 4 11 8" xfId="33496"/>
    <cellStyle name="Normal 2 7 4 11 9" xfId="33497"/>
    <cellStyle name="Normal 2 7 4 12" xfId="33498"/>
    <cellStyle name="Normal 2 7 4 12 10" xfId="33499"/>
    <cellStyle name="Normal 2 7 4 12 2" xfId="33500"/>
    <cellStyle name="Normal 2 7 4 12 2 2" xfId="33501"/>
    <cellStyle name="Normal 2 7 4 12 2 2 2" xfId="33502"/>
    <cellStyle name="Normal 2 7 4 12 2 2 3" xfId="33503"/>
    <cellStyle name="Normal 2 7 4 12 2 3" xfId="33504"/>
    <cellStyle name="Normal 2 7 4 12 2 4" xfId="33505"/>
    <cellStyle name="Normal 2 7 4 12 2 5" xfId="33506"/>
    <cellStyle name="Normal 2 7 4 12 2 6" xfId="33507"/>
    <cellStyle name="Normal 2 7 4 12 3" xfId="33508"/>
    <cellStyle name="Normal 2 7 4 12 3 2" xfId="33509"/>
    <cellStyle name="Normal 2 7 4 12 3 2 2" xfId="33510"/>
    <cellStyle name="Normal 2 7 4 12 3 2 3" xfId="33511"/>
    <cellStyle name="Normal 2 7 4 12 3 3" xfId="33512"/>
    <cellStyle name="Normal 2 7 4 12 3 4" xfId="33513"/>
    <cellStyle name="Normal 2 7 4 12 3 5" xfId="33514"/>
    <cellStyle name="Normal 2 7 4 12 3 6" xfId="33515"/>
    <cellStyle name="Normal 2 7 4 12 4" xfId="33516"/>
    <cellStyle name="Normal 2 7 4 12 4 2" xfId="33517"/>
    <cellStyle name="Normal 2 7 4 12 4 2 2" xfId="33518"/>
    <cellStyle name="Normal 2 7 4 12 4 3" xfId="33519"/>
    <cellStyle name="Normal 2 7 4 12 4 4" xfId="33520"/>
    <cellStyle name="Normal 2 7 4 12 4 5" xfId="33521"/>
    <cellStyle name="Normal 2 7 4 12 5" xfId="33522"/>
    <cellStyle name="Normal 2 7 4 12 5 2" xfId="33523"/>
    <cellStyle name="Normal 2 7 4 12 5 3" xfId="33524"/>
    <cellStyle name="Normal 2 7 4 12 5 4" xfId="33525"/>
    <cellStyle name="Normal 2 7 4 12 6" xfId="33526"/>
    <cellStyle name="Normal 2 7 4 12 6 2" xfId="33527"/>
    <cellStyle name="Normal 2 7 4 12 7" xfId="33528"/>
    <cellStyle name="Normal 2 7 4 12 8" xfId="33529"/>
    <cellStyle name="Normal 2 7 4 12 9" xfId="33530"/>
    <cellStyle name="Normal 2 7 4 13" xfId="33531"/>
    <cellStyle name="Normal 2 7 4 13 2" xfId="33532"/>
    <cellStyle name="Normal 2 7 4 13 2 2" xfId="33533"/>
    <cellStyle name="Normal 2 7 4 13 2 2 2" xfId="33534"/>
    <cellStyle name="Normal 2 7 4 13 2 2 3" xfId="33535"/>
    <cellStyle name="Normal 2 7 4 13 2 3" xfId="33536"/>
    <cellStyle name="Normal 2 7 4 13 2 4" xfId="33537"/>
    <cellStyle name="Normal 2 7 4 13 2 5" xfId="33538"/>
    <cellStyle name="Normal 2 7 4 13 2 6" xfId="33539"/>
    <cellStyle name="Normal 2 7 4 13 3" xfId="33540"/>
    <cellStyle name="Normal 2 7 4 13 3 2" xfId="33541"/>
    <cellStyle name="Normal 2 7 4 13 3 2 2" xfId="33542"/>
    <cellStyle name="Normal 2 7 4 13 3 3" xfId="33543"/>
    <cellStyle name="Normal 2 7 4 13 3 4" xfId="33544"/>
    <cellStyle name="Normal 2 7 4 13 3 5" xfId="33545"/>
    <cellStyle name="Normal 2 7 4 13 4" xfId="33546"/>
    <cellStyle name="Normal 2 7 4 13 4 2" xfId="33547"/>
    <cellStyle name="Normal 2 7 4 13 4 3" xfId="33548"/>
    <cellStyle name="Normal 2 7 4 13 4 4" xfId="33549"/>
    <cellStyle name="Normal 2 7 4 13 5" xfId="33550"/>
    <cellStyle name="Normal 2 7 4 13 5 2" xfId="33551"/>
    <cellStyle name="Normal 2 7 4 13 6" xfId="33552"/>
    <cellStyle name="Normal 2 7 4 13 7" xfId="33553"/>
    <cellStyle name="Normal 2 7 4 13 8" xfId="33554"/>
    <cellStyle name="Normal 2 7 4 13 9" xfId="33555"/>
    <cellStyle name="Normal 2 7 4 14" xfId="33556"/>
    <cellStyle name="Normal 2 7 4 14 2" xfId="33557"/>
    <cellStyle name="Normal 2 7 4 14 2 2" xfId="33558"/>
    <cellStyle name="Normal 2 7 4 14 2 2 2" xfId="33559"/>
    <cellStyle name="Normal 2 7 4 14 2 2 3" xfId="33560"/>
    <cellStyle name="Normal 2 7 4 14 2 3" xfId="33561"/>
    <cellStyle name="Normal 2 7 4 14 2 4" xfId="33562"/>
    <cellStyle name="Normal 2 7 4 14 2 5" xfId="33563"/>
    <cellStyle name="Normal 2 7 4 14 2 6" xfId="33564"/>
    <cellStyle name="Normal 2 7 4 14 3" xfId="33565"/>
    <cellStyle name="Normal 2 7 4 14 3 2" xfId="33566"/>
    <cellStyle name="Normal 2 7 4 14 3 2 2" xfId="33567"/>
    <cellStyle name="Normal 2 7 4 14 3 3" xfId="33568"/>
    <cellStyle name="Normal 2 7 4 14 3 4" xfId="33569"/>
    <cellStyle name="Normal 2 7 4 14 3 5" xfId="33570"/>
    <cellStyle name="Normal 2 7 4 14 4" xfId="33571"/>
    <cellStyle name="Normal 2 7 4 14 4 2" xfId="33572"/>
    <cellStyle name="Normal 2 7 4 14 4 3" xfId="33573"/>
    <cellStyle name="Normal 2 7 4 14 4 4" xfId="33574"/>
    <cellStyle name="Normal 2 7 4 14 5" xfId="33575"/>
    <cellStyle name="Normal 2 7 4 14 5 2" xfId="33576"/>
    <cellStyle name="Normal 2 7 4 14 6" xfId="33577"/>
    <cellStyle name="Normal 2 7 4 14 7" xfId="33578"/>
    <cellStyle name="Normal 2 7 4 14 8" xfId="33579"/>
    <cellStyle name="Normal 2 7 4 14 9" xfId="33580"/>
    <cellStyle name="Normal 2 7 4 15" xfId="33581"/>
    <cellStyle name="Normal 2 7 4 15 2" xfId="33582"/>
    <cellStyle name="Normal 2 7 4 15 2 2" xfId="33583"/>
    <cellStyle name="Normal 2 7 4 15 2 3" xfId="33584"/>
    <cellStyle name="Normal 2 7 4 15 3" xfId="33585"/>
    <cellStyle name="Normal 2 7 4 15 4" xfId="33586"/>
    <cellStyle name="Normal 2 7 4 15 5" xfId="33587"/>
    <cellStyle name="Normal 2 7 4 15 6" xfId="33588"/>
    <cellStyle name="Normal 2 7 4 16" xfId="33589"/>
    <cellStyle name="Normal 2 7 4 16 2" xfId="33590"/>
    <cellStyle name="Normal 2 7 4 16 2 2" xfId="33591"/>
    <cellStyle name="Normal 2 7 4 16 3" xfId="33592"/>
    <cellStyle name="Normal 2 7 4 16 4" xfId="33593"/>
    <cellStyle name="Normal 2 7 4 16 5" xfId="33594"/>
    <cellStyle name="Normal 2 7 4 17" xfId="33595"/>
    <cellStyle name="Normal 2 7 4 17 2" xfId="33596"/>
    <cellStyle name="Normal 2 7 4 17 2 2" xfId="33597"/>
    <cellStyle name="Normal 2 7 4 17 3" xfId="33598"/>
    <cellStyle name="Normal 2 7 4 17 4" xfId="33599"/>
    <cellStyle name="Normal 2 7 4 17 5" xfId="33600"/>
    <cellStyle name="Normal 2 7 4 18" xfId="33601"/>
    <cellStyle name="Normal 2 7 4 18 2" xfId="33602"/>
    <cellStyle name="Normal 2 7 4 19" xfId="33603"/>
    <cellStyle name="Normal 2 7 4 2" xfId="33604"/>
    <cellStyle name="Normal 2 7 4 2 10" xfId="33605"/>
    <cellStyle name="Normal 2 7 4 2 11" xfId="33606"/>
    <cellStyle name="Normal 2 7 4 2 2" xfId="33607"/>
    <cellStyle name="Normal 2 7 4 2 2 2" xfId="33608"/>
    <cellStyle name="Normal 2 7 4 2 2 2 2" xfId="33609"/>
    <cellStyle name="Normal 2 7 4 2 2 2 2 2" xfId="33610"/>
    <cellStyle name="Normal 2 7 4 2 2 2 2 3" xfId="33611"/>
    <cellStyle name="Normal 2 7 4 2 2 2 3" xfId="33612"/>
    <cellStyle name="Normal 2 7 4 2 2 2 4" xfId="33613"/>
    <cellStyle name="Normal 2 7 4 2 2 2 5" xfId="33614"/>
    <cellStyle name="Normal 2 7 4 2 2 2 6" xfId="33615"/>
    <cellStyle name="Normal 2 7 4 2 2 3" xfId="33616"/>
    <cellStyle name="Normal 2 7 4 2 2 3 2" xfId="33617"/>
    <cellStyle name="Normal 2 7 4 2 2 3 2 2" xfId="33618"/>
    <cellStyle name="Normal 2 7 4 2 2 3 3" xfId="33619"/>
    <cellStyle name="Normal 2 7 4 2 2 3 4" xfId="33620"/>
    <cellStyle name="Normal 2 7 4 2 2 3 5" xfId="33621"/>
    <cellStyle name="Normal 2 7 4 2 2 4" xfId="33622"/>
    <cellStyle name="Normal 2 7 4 2 2 4 2" xfId="33623"/>
    <cellStyle name="Normal 2 7 4 2 2 4 3" xfId="33624"/>
    <cellStyle name="Normal 2 7 4 2 2 4 4" xfId="33625"/>
    <cellStyle name="Normal 2 7 4 2 2 5" xfId="33626"/>
    <cellStyle name="Normal 2 7 4 2 2 5 2" xfId="33627"/>
    <cellStyle name="Normal 2 7 4 2 2 6" xfId="33628"/>
    <cellStyle name="Normal 2 7 4 2 2 7" xfId="33629"/>
    <cellStyle name="Normal 2 7 4 2 2 8" xfId="33630"/>
    <cellStyle name="Normal 2 7 4 2 2 9" xfId="33631"/>
    <cellStyle name="Normal 2 7 4 2 3" xfId="33632"/>
    <cellStyle name="Normal 2 7 4 2 3 2" xfId="33633"/>
    <cellStyle name="Normal 2 7 4 2 3 2 2" xfId="33634"/>
    <cellStyle name="Normal 2 7 4 2 3 2 2 2" xfId="33635"/>
    <cellStyle name="Normal 2 7 4 2 3 2 2 3" xfId="33636"/>
    <cellStyle name="Normal 2 7 4 2 3 2 3" xfId="33637"/>
    <cellStyle name="Normal 2 7 4 2 3 2 4" xfId="33638"/>
    <cellStyle name="Normal 2 7 4 2 3 2 5" xfId="33639"/>
    <cellStyle name="Normal 2 7 4 2 3 2 6" xfId="33640"/>
    <cellStyle name="Normal 2 7 4 2 3 3" xfId="33641"/>
    <cellStyle name="Normal 2 7 4 2 3 3 2" xfId="33642"/>
    <cellStyle name="Normal 2 7 4 2 3 3 2 2" xfId="33643"/>
    <cellStyle name="Normal 2 7 4 2 3 3 3" xfId="33644"/>
    <cellStyle name="Normal 2 7 4 2 3 3 4" xfId="33645"/>
    <cellStyle name="Normal 2 7 4 2 3 3 5" xfId="33646"/>
    <cellStyle name="Normal 2 7 4 2 3 4" xfId="33647"/>
    <cellStyle name="Normal 2 7 4 2 3 4 2" xfId="33648"/>
    <cellStyle name="Normal 2 7 4 2 3 4 3" xfId="33649"/>
    <cellStyle name="Normal 2 7 4 2 3 4 4" xfId="33650"/>
    <cellStyle name="Normal 2 7 4 2 3 5" xfId="33651"/>
    <cellStyle name="Normal 2 7 4 2 3 5 2" xfId="33652"/>
    <cellStyle name="Normal 2 7 4 2 3 6" xfId="33653"/>
    <cellStyle name="Normal 2 7 4 2 3 7" xfId="33654"/>
    <cellStyle name="Normal 2 7 4 2 3 8" xfId="33655"/>
    <cellStyle name="Normal 2 7 4 2 3 9" xfId="33656"/>
    <cellStyle name="Normal 2 7 4 2 4" xfId="33657"/>
    <cellStyle name="Normal 2 7 4 2 4 2" xfId="33658"/>
    <cellStyle name="Normal 2 7 4 2 4 2 2" xfId="33659"/>
    <cellStyle name="Normal 2 7 4 2 4 2 3" xfId="33660"/>
    <cellStyle name="Normal 2 7 4 2 4 3" xfId="33661"/>
    <cellStyle name="Normal 2 7 4 2 4 4" xfId="33662"/>
    <cellStyle name="Normal 2 7 4 2 4 5" xfId="33663"/>
    <cellStyle name="Normal 2 7 4 2 4 6" xfId="33664"/>
    <cellStyle name="Normal 2 7 4 2 5" xfId="33665"/>
    <cellStyle name="Normal 2 7 4 2 5 2" xfId="33666"/>
    <cellStyle name="Normal 2 7 4 2 5 2 2" xfId="33667"/>
    <cellStyle name="Normal 2 7 4 2 5 3" xfId="33668"/>
    <cellStyle name="Normal 2 7 4 2 5 4" xfId="33669"/>
    <cellStyle name="Normal 2 7 4 2 5 5" xfId="33670"/>
    <cellStyle name="Normal 2 7 4 2 6" xfId="33671"/>
    <cellStyle name="Normal 2 7 4 2 6 2" xfId="33672"/>
    <cellStyle name="Normal 2 7 4 2 6 3" xfId="33673"/>
    <cellStyle name="Normal 2 7 4 2 6 4" xfId="33674"/>
    <cellStyle name="Normal 2 7 4 2 7" xfId="33675"/>
    <cellStyle name="Normal 2 7 4 2 7 2" xfId="33676"/>
    <cellStyle name="Normal 2 7 4 2 8" xfId="33677"/>
    <cellStyle name="Normal 2 7 4 2 9" xfId="33678"/>
    <cellStyle name="Normal 2 7 4 20" xfId="33679"/>
    <cellStyle name="Normal 2 7 4 21" xfId="33680"/>
    <cellStyle name="Normal 2 7 4 22" xfId="33681"/>
    <cellStyle name="Normal 2 7 4 3" xfId="33682"/>
    <cellStyle name="Normal 2 7 4 3 10" xfId="33683"/>
    <cellStyle name="Normal 2 7 4 3 11" xfId="33684"/>
    <cellStyle name="Normal 2 7 4 3 2" xfId="33685"/>
    <cellStyle name="Normal 2 7 4 3 2 2" xfId="33686"/>
    <cellStyle name="Normal 2 7 4 3 2 2 2" xfId="33687"/>
    <cellStyle name="Normal 2 7 4 3 2 2 2 2" xfId="33688"/>
    <cellStyle name="Normal 2 7 4 3 2 2 2 3" xfId="33689"/>
    <cellStyle name="Normal 2 7 4 3 2 2 3" xfId="33690"/>
    <cellStyle name="Normal 2 7 4 3 2 2 4" xfId="33691"/>
    <cellStyle name="Normal 2 7 4 3 2 2 5" xfId="33692"/>
    <cellStyle name="Normal 2 7 4 3 2 2 6" xfId="33693"/>
    <cellStyle name="Normal 2 7 4 3 2 3" xfId="33694"/>
    <cellStyle name="Normal 2 7 4 3 2 3 2" xfId="33695"/>
    <cellStyle name="Normal 2 7 4 3 2 3 2 2" xfId="33696"/>
    <cellStyle name="Normal 2 7 4 3 2 3 3" xfId="33697"/>
    <cellStyle name="Normal 2 7 4 3 2 3 4" xfId="33698"/>
    <cellStyle name="Normal 2 7 4 3 2 3 5" xfId="33699"/>
    <cellStyle name="Normal 2 7 4 3 2 4" xfId="33700"/>
    <cellStyle name="Normal 2 7 4 3 2 4 2" xfId="33701"/>
    <cellStyle name="Normal 2 7 4 3 2 4 3" xfId="33702"/>
    <cellStyle name="Normal 2 7 4 3 2 4 4" xfId="33703"/>
    <cellStyle name="Normal 2 7 4 3 2 5" xfId="33704"/>
    <cellStyle name="Normal 2 7 4 3 2 5 2" xfId="33705"/>
    <cellStyle name="Normal 2 7 4 3 2 6" xfId="33706"/>
    <cellStyle name="Normal 2 7 4 3 2 7" xfId="33707"/>
    <cellStyle name="Normal 2 7 4 3 2 8" xfId="33708"/>
    <cellStyle name="Normal 2 7 4 3 2 9" xfId="33709"/>
    <cellStyle name="Normal 2 7 4 3 3" xfId="33710"/>
    <cellStyle name="Normal 2 7 4 3 3 2" xfId="33711"/>
    <cellStyle name="Normal 2 7 4 3 3 2 2" xfId="33712"/>
    <cellStyle name="Normal 2 7 4 3 3 2 2 2" xfId="33713"/>
    <cellStyle name="Normal 2 7 4 3 3 2 2 3" xfId="33714"/>
    <cellStyle name="Normal 2 7 4 3 3 2 3" xfId="33715"/>
    <cellStyle name="Normal 2 7 4 3 3 2 4" xfId="33716"/>
    <cellStyle name="Normal 2 7 4 3 3 2 5" xfId="33717"/>
    <cellStyle name="Normal 2 7 4 3 3 2 6" xfId="33718"/>
    <cellStyle name="Normal 2 7 4 3 3 3" xfId="33719"/>
    <cellStyle name="Normal 2 7 4 3 3 3 2" xfId="33720"/>
    <cellStyle name="Normal 2 7 4 3 3 3 2 2" xfId="33721"/>
    <cellStyle name="Normal 2 7 4 3 3 3 3" xfId="33722"/>
    <cellStyle name="Normal 2 7 4 3 3 3 4" xfId="33723"/>
    <cellStyle name="Normal 2 7 4 3 3 3 5" xfId="33724"/>
    <cellStyle name="Normal 2 7 4 3 3 4" xfId="33725"/>
    <cellStyle name="Normal 2 7 4 3 3 4 2" xfId="33726"/>
    <cellStyle name="Normal 2 7 4 3 3 4 3" xfId="33727"/>
    <cellStyle name="Normal 2 7 4 3 3 4 4" xfId="33728"/>
    <cellStyle name="Normal 2 7 4 3 3 5" xfId="33729"/>
    <cellStyle name="Normal 2 7 4 3 3 5 2" xfId="33730"/>
    <cellStyle name="Normal 2 7 4 3 3 6" xfId="33731"/>
    <cellStyle name="Normal 2 7 4 3 3 7" xfId="33732"/>
    <cellStyle name="Normal 2 7 4 3 3 8" xfId="33733"/>
    <cellStyle name="Normal 2 7 4 3 3 9" xfId="33734"/>
    <cellStyle name="Normal 2 7 4 3 4" xfId="33735"/>
    <cellStyle name="Normal 2 7 4 3 4 2" xfId="33736"/>
    <cellStyle name="Normal 2 7 4 3 4 2 2" xfId="33737"/>
    <cellStyle name="Normal 2 7 4 3 4 2 3" xfId="33738"/>
    <cellStyle name="Normal 2 7 4 3 4 3" xfId="33739"/>
    <cellStyle name="Normal 2 7 4 3 4 4" xfId="33740"/>
    <cellStyle name="Normal 2 7 4 3 4 5" xfId="33741"/>
    <cellStyle name="Normal 2 7 4 3 4 6" xfId="33742"/>
    <cellStyle name="Normal 2 7 4 3 5" xfId="33743"/>
    <cellStyle name="Normal 2 7 4 3 5 2" xfId="33744"/>
    <cellStyle name="Normal 2 7 4 3 5 2 2" xfId="33745"/>
    <cellStyle name="Normal 2 7 4 3 5 3" xfId="33746"/>
    <cellStyle name="Normal 2 7 4 3 5 4" xfId="33747"/>
    <cellStyle name="Normal 2 7 4 3 5 5" xfId="33748"/>
    <cellStyle name="Normal 2 7 4 3 6" xfId="33749"/>
    <cellStyle name="Normal 2 7 4 3 6 2" xfId="33750"/>
    <cellStyle name="Normal 2 7 4 3 6 3" xfId="33751"/>
    <cellStyle name="Normal 2 7 4 3 6 4" xfId="33752"/>
    <cellStyle name="Normal 2 7 4 3 7" xfId="33753"/>
    <cellStyle name="Normal 2 7 4 3 7 2" xfId="33754"/>
    <cellStyle name="Normal 2 7 4 3 8" xfId="33755"/>
    <cellStyle name="Normal 2 7 4 3 9" xfId="33756"/>
    <cellStyle name="Normal 2 7 4 4" xfId="33757"/>
    <cellStyle name="Normal 2 7 4 4 10" xfId="33758"/>
    <cellStyle name="Normal 2 7 4 4 11" xfId="33759"/>
    <cellStyle name="Normal 2 7 4 4 2" xfId="33760"/>
    <cellStyle name="Normal 2 7 4 4 2 2" xfId="33761"/>
    <cellStyle name="Normal 2 7 4 4 2 2 2" xfId="33762"/>
    <cellStyle name="Normal 2 7 4 4 2 2 2 2" xfId="33763"/>
    <cellStyle name="Normal 2 7 4 4 2 2 2 3" xfId="33764"/>
    <cellStyle name="Normal 2 7 4 4 2 2 3" xfId="33765"/>
    <cellStyle name="Normal 2 7 4 4 2 2 4" xfId="33766"/>
    <cellStyle name="Normal 2 7 4 4 2 2 5" xfId="33767"/>
    <cellStyle name="Normal 2 7 4 4 2 2 6" xfId="33768"/>
    <cellStyle name="Normal 2 7 4 4 2 3" xfId="33769"/>
    <cellStyle name="Normal 2 7 4 4 2 3 2" xfId="33770"/>
    <cellStyle name="Normal 2 7 4 4 2 3 2 2" xfId="33771"/>
    <cellStyle name="Normal 2 7 4 4 2 3 3" xfId="33772"/>
    <cellStyle name="Normal 2 7 4 4 2 3 4" xfId="33773"/>
    <cellStyle name="Normal 2 7 4 4 2 3 5" xfId="33774"/>
    <cellStyle name="Normal 2 7 4 4 2 4" xfId="33775"/>
    <cellStyle name="Normal 2 7 4 4 2 4 2" xfId="33776"/>
    <cellStyle name="Normal 2 7 4 4 2 4 3" xfId="33777"/>
    <cellStyle name="Normal 2 7 4 4 2 4 4" xfId="33778"/>
    <cellStyle name="Normal 2 7 4 4 2 5" xfId="33779"/>
    <cellStyle name="Normal 2 7 4 4 2 5 2" xfId="33780"/>
    <cellStyle name="Normal 2 7 4 4 2 6" xfId="33781"/>
    <cellStyle name="Normal 2 7 4 4 2 7" xfId="33782"/>
    <cellStyle name="Normal 2 7 4 4 2 8" xfId="33783"/>
    <cellStyle name="Normal 2 7 4 4 2 9" xfId="33784"/>
    <cellStyle name="Normal 2 7 4 4 3" xfId="33785"/>
    <cellStyle name="Normal 2 7 4 4 3 2" xfId="33786"/>
    <cellStyle name="Normal 2 7 4 4 3 2 2" xfId="33787"/>
    <cellStyle name="Normal 2 7 4 4 3 2 2 2" xfId="33788"/>
    <cellStyle name="Normal 2 7 4 4 3 2 2 3" xfId="33789"/>
    <cellStyle name="Normal 2 7 4 4 3 2 3" xfId="33790"/>
    <cellStyle name="Normal 2 7 4 4 3 2 4" xfId="33791"/>
    <cellStyle name="Normal 2 7 4 4 3 2 5" xfId="33792"/>
    <cellStyle name="Normal 2 7 4 4 3 2 6" xfId="33793"/>
    <cellStyle name="Normal 2 7 4 4 3 3" xfId="33794"/>
    <cellStyle name="Normal 2 7 4 4 3 3 2" xfId="33795"/>
    <cellStyle name="Normal 2 7 4 4 3 3 2 2" xfId="33796"/>
    <cellStyle name="Normal 2 7 4 4 3 3 3" xfId="33797"/>
    <cellStyle name="Normal 2 7 4 4 3 3 4" xfId="33798"/>
    <cellStyle name="Normal 2 7 4 4 3 3 5" xfId="33799"/>
    <cellStyle name="Normal 2 7 4 4 3 4" xfId="33800"/>
    <cellStyle name="Normal 2 7 4 4 3 4 2" xfId="33801"/>
    <cellStyle name="Normal 2 7 4 4 3 4 3" xfId="33802"/>
    <cellStyle name="Normal 2 7 4 4 3 4 4" xfId="33803"/>
    <cellStyle name="Normal 2 7 4 4 3 5" xfId="33804"/>
    <cellStyle name="Normal 2 7 4 4 3 5 2" xfId="33805"/>
    <cellStyle name="Normal 2 7 4 4 3 6" xfId="33806"/>
    <cellStyle name="Normal 2 7 4 4 3 7" xfId="33807"/>
    <cellStyle name="Normal 2 7 4 4 3 8" xfId="33808"/>
    <cellStyle name="Normal 2 7 4 4 3 9" xfId="33809"/>
    <cellStyle name="Normal 2 7 4 4 4" xfId="33810"/>
    <cellStyle name="Normal 2 7 4 4 4 2" xfId="33811"/>
    <cellStyle name="Normal 2 7 4 4 4 2 2" xfId="33812"/>
    <cellStyle name="Normal 2 7 4 4 4 2 3" xfId="33813"/>
    <cellStyle name="Normal 2 7 4 4 4 3" xfId="33814"/>
    <cellStyle name="Normal 2 7 4 4 4 4" xfId="33815"/>
    <cellStyle name="Normal 2 7 4 4 4 5" xfId="33816"/>
    <cellStyle name="Normal 2 7 4 4 4 6" xfId="33817"/>
    <cellStyle name="Normal 2 7 4 4 5" xfId="33818"/>
    <cellStyle name="Normal 2 7 4 4 5 2" xfId="33819"/>
    <cellStyle name="Normal 2 7 4 4 5 2 2" xfId="33820"/>
    <cellStyle name="Normal 2 7 4 4 5 3" xfId="33821"/>
    <cellStyle name="Normal 2 7 4 4 5 4" xfId="33822"/>
    <cellStyle name="Normal 2 7 4 4 5 5" xfId="33823"/>
    <cellStyle name="Normal 2 7 4 4 6" xfId="33824"/>
    <cellStyle name="Normal 2 7 4 4 6 2" xfId="33825"/>
    <cellStyle name="Normal 2 7 4 4 6 3" xfId="33826"/>
    <cellStyle name="Normal 2 7 4 4 6 4" xfId="33827"/>
    <cellStyle name="Normal 2 7 4 4 7" xfId="33828"/>
    <cellStyle name="Normal 2 7 4 4 7 2" xfId="33829"/>
    <cellStyle name="Normal 2 7 4 4 8" xfId="33830"/>
    <cellStyle name="Normal 2 7 4 4 9" xfId="33831"/>
    <cellStyle name="Normal 2 7 4 5" xfId="33832"/>
    <cellStyle name="Normal 2 7 4 5 10" xfId="33833"/>
    <cellStyle name="Normal 2 7 4 5 11" xfId="33834"/>
    <cellStyle name="Normal 2 7 4 5 2" xfId="33835"/>
    <cellStyle name="Normal 2 7 4 5 2 2" xfId="33836"/>
    <cellStyle name="Normal 2 7 4 5 2 2 2" xfId="33837"/>
    <cellStyle name="Normal 2 7 4 5 2 2 2 2" xfId="33838"/>
    <cellStyle name="Normal 2 7 4 5 2 2 2 3" xfId="33839"/>
    <cellStyle name="Normal 2 7 4 5 2 2 3" xfId="33840"/>
    <cellStyle name="Normal 2 7 4 5 2 2 4" xfId="33841"/>
    <cellStyle name="Normal 2 7 4 5 2 2 5" xfId="33842"/>
    <cellStyle name="Normal 2 7 4 5 2 2 6" xfId="33843"/>
    <cellStyle name="Normal 2 7 4 5 2 3" xfId="33844"/>
    <cellStyle name="Normal 2 7 4 5 2 3 2" xfId="33845"/>
    <cellStyle name="Normal 2 7 4 5 2 3 2 2" xfId="33846"/>
    <cellStyle name="Normal 2 7 4 5 2 3 3" xfId="33847"/>
    <cellStyle name="Normal 2 7 4 5 2 3 4" xfId="33848"/>
    <cellStyle name="Normal 2 7 4 5 2 3 5" xfId="33849"/>
    <cellStyle name="Normal 2 7 4 5 2 4" xfId="33850"/>
    <cellStyle name="Normal 2 7 4 5 2 4 2" xfId="33851"/>
    <cellStyle name="Normal 2 7 4 5 2 4 3" xfId="33852"/>
    <cellStyle name="Normal 2 7 4 5 2 4 4" xfId="33853"/>
    <cellStyle name="Normal 2 7 4 5 2 5" xfId="33854"/>
    <cellStyle name="Normal 2 7 4 5 2 5 2" xfId="33855"/>
    <cellStyle name="Normal 2 7 4 5 2 6" xfId="33856"/>
    <cellStyle name="Normal 2 7 4 5 2 7" xfId="33857"/>
    <cellStyle name="Normal 2 7 4 5 2 8" xfId="33858"/>
    <cellStyle name="Normal 2 7 4 5 2 9" xfId="33859"/>
    <cellStyle name="Normal 2 7 4 5 3" xfId="33860"/>
    <cellStyle name="Normal 2 7 4 5 3 2" xfId="33861"/>
    <cellStyle name="Normal 2 7 4 5 3 2 2" xfId="33862"/>
    <cellStyle name="Normal 2 7 4 5 3 2 2 2" xfId="33863"/>
    <cellStyle name="Normal 2 7 4 5 3 2 2 3" xfId="33864"/>
    <cellStyle name="Normal 2 7 4 5 3 2 3" xfId="33865"/>
    <cellStyle name="Normal 2 7 4 5 3 2 4" xfId="33866"/>
    <cellStyle name="Normal 2 7 4 5 3 2 5" xfId="33867"/>
    <cellStyle name="Normal 2 7 4 5 3 2 6" xfId="33868"/>
    <cellStyle name="Normal 2 7 4 5 3 3" xfId="33869"/>
    <cellStyle name="Normal 2 7 4 5 3 3 2" xfId="33870"/>
    <cellStyle name="Normal 2 7 4 5 3 3 2 2" xfId="33871"/>
    <cellStyle name="Normal 2 7 4 5 3 3 3" xfId="33872"/>
    <cellStyle name="Normal 2 7 4 5 3 3 4" xfId="33873"/>
    <cellStyle name="Normal 2 7 4 5 3 3 5" xfId="33874"/>
    <cellStyle name="Normal 2 7 4 5 3 4" xfId="33875"/>
    <cellStyle name="Normal 2 7 4 5 3 4 2" xfId="33876"/>
    <cellStyle name="Normal 2 7 4 5 3 4 3" xfId="33877"/>
    <cellStyle name="Normal 2 7 4 5 3 4 4" xfId="33878"/>
    <cellStyle name="Normal 2 7 4 5 3 5" xfId="33879"/>
    <cellStyle name="Normal 2 7 4 5 3 5 2" xfId="33880"/>
    <cellStyle name="Normal 2 7 4 5 3 6" xfId="33881"/>
    <cellStyle name="Normal 2 7 4 5 3 7" xfId="33882"/>
    <cellStyle name="Normal 2 7 4 5 3 8" xfId="33883"/>
    <cellStyle name="Normal 2 7 4 5 3 9" xfId="33884"/>
    <cellStyle name="Normal 2 7 4 5 4" xfId="33885"/>
    <cellStyle name="Normal 2 7 4 5 4 2" xfId="33886"/>
    <cellStyle name="Normal 2 7 4 5 4 2 2" xfId="33887"/>
    <cellStyle name="Normal 2 7 4 5 4 2 3" xfId="33888"/>
    <cellStyle name="Normal 2 7 4 5 4 3" xfId="33889"/>
    <cellStyle name="Normal 2 7 4 5 4 4" xfId="33890"/>
    <cellStyle name="Normal 2 7 4 5 4 5" xfId="33891"/>
    <cellStyle name="Normal 2 7 4 5 4 6" xfId="33892"/>
    <cellStyle name="Normal 2 7 4 5 5" xfId="33893"/>
    <cellStyle name="Normal 2 7 4 5 5 2" xfId="33894"/>
    <cellStyle name="Normal 2 7 4 5 5 2 2" xfId="33895"/>
    <cellStyle name="Normal 2 7 4 5 5 3" xfId="33896"/>
    <cellStyle name="Normal 2 7 4 5 5 4" xfId="33897"/>
    <cellStyle name="Normal 2 7 4 5 5 5" xfId="33898"/>
    <cellStyle name="Normal 2 7 4 5 6" xfId="33899"/>
    <cellStyle name="Normal 2 7 4 5 6 2" xfId="33900"/>
    <cellStyle name="Normal 2 7 4 5 6 3" xfId="33901"/>
    <cellStyle name="Normal 2 7 4 5 6 4" xfId="33902"/>
    <cellStyle name="Normal 2 7 4 5 7" xfId="33903"/>
    <cellStyle name="Normal 2 7 4 5 7 2" xfId="33904"/>
    <cellStyle name="Normal 2 7 4 5 8" xfId="33905"/>
    <cellStyle name="Normal 2 7 4 5 9" xfId="33906"/>
    <cellStyle name="Normal 2 7 4 6" xfId="33907"/>
    <cellStyle name="Normal 2 7 4 6 10" xfId="33908"/>
    <cellStyle name="Normal 2 7 4 6 11" xfId="33909"/>
    <cellStyle name="Normal 2 7 4 6 2" xfId="33910"/>
    <cellStyle name="Normal 2 7 4 6 2 2" xfId="33911"/>
    <cellStyle name="Normal 2 7 4 6 2 2 2" xfId="33912"/>
    <cellStyle name="Normal 2 7 4 6 2 2 2 2" xfId="33913"/>
    <cellStyle name="Normal 2 7 4 6 2 2 2 3" xfId="33914"/>
    <cellStyle name="Normal 2 7 4 6 2 2 3" xfId="33915"/>
    <cellStyle name="Normal 2 7 4 6 2 2 4" xfId="33916"/>
    <cellStyle name="Normal 2 7 4 6 2 2 5" xfId="33917"/>
    <cellStyle name="Normal 2 7 4 6 2 2 6" xfId="33918"/>
    <cellStyle name="Normal 2 7 4 6 2 3" xfId="33919"/>
    <cellStyle name="Normal 2 7 4 6 2 3 2" xfId="33920"/>
    <cellStyle name="Normal 2 7 4 6 2 3 2 2" xfId="33921"/>
    <cellStyle name="Normal 2 7 4 6 2 3 3" xfId="33922"/>
    <cellStyle name="Normal 2 7 4 6 2 3 4" xfId="33923"/>
    <cellStyle name="Normal 2 7 4 6 2 3 5" xfId="33924"/>
    <cellStyle name="Normal 2 7 4 6 2 4" xfId="33925"/>
    <cellStyle name="Normal 2 7 4 6 2 4 2" xfId="33926"/>
    <cellStyle name="Normal 2 7 4 6 2 4 3" xfId="33927"/>
    <cellStyle name="Normal 2 7 4 6 2 4 4" xfId="33928"/>
    <cellStyle name="Normal 2 7 4 6 2 5" xfId="33929"/>
    <cellStyle name="Normal 2 7 4 6 2 5 2" xfId="33930"/>
    <cellStyle name="Normal 2 7 4 6 2 6" xfId="33931"/>
    <cellStyle name="Normal 2 7 4 6 2 7" xfId="33932"/>
    <cellStyle name="Normal 2 7 4 6 2 8" xfId="33933"/>
    <cellStyle name="Normal 2 7 4 6 2 9" xfId="33934"/>
    <cellStyle name="Normal 2 7 4 6 3" xfId="33935"/>
    <cellStyle name="Normal 2 7 4 6 3 2" xfId="33936"/>
    <cellStyle name="Normal 2 7 4 6 3 2 2" xfId="33937"/>
    <cellStyle name="Normal 2 7 4 6 3 2 2 2" xfId="33938"/>
    <cellStyle name="Normal 2 7 4 6 3 2 2 3" xfId="33939"/>
    <cellStyle name="Normal 2 7 4 6 3 2 3" xfId="33940"/>
    <cellStyle name="Normal 2 7 4 6 3 2 4" xfId="33941"/>
    <cellStyle name="Normal 2 7 4 6 3 2 5" xfId="33942"/>
    <cellStyle name="Normal 2 7 4 6 3 2 6" xfId="33943"/>
    <cellStyle name="Normal 2 7 4 6 3 3" xfId="33944"/>
    <cellStyle name="Normal 2 7 4 6 3 3 2" xfId="33945"/>
    <cellStyle name="Normal 2 7 4 6 3 3 2 2" xfId="33946"/>
    <cellStyle name="Normal 2 7 4 6 3 3 3" xfId="33947"/>
    <cellStyle name="Normal 2 7 4 6 3 3 4" xfId="33948"/>
    <cellStyle name="Normal 2 7 4 6 3 3 5" xfId="33949"/>
    <cellStyle name="Normal 2 7 4 6 3 4" xfId="33950"/>
    <cellStyle name="Normal 2 7 4 6 3 4 2" xfId="33951"/>
    <cellStyle name="Normal 2 7 4 6 3 4 3" xfId="33952"/>
    <cellStyle name="Normal 2 7 4 6 3 4 4" xfId="33953"/>
    <cellStyle name="Normal 2 7 4 6 3 5" xfId="33954"/>
    <cellStyle name="Normal 2 7 4 6 3 5 2" xfId="33955"/>
    <cellStyle name="Normal 2 7 4 6 3 6" xfId="33956"/>
    <cellStyle name="Normal 2 7 4 6 3 7" xfId="33957"/>
    <cellStyle name="Normal 2 7 4 6 3 8" xfId="33958"/>
    <cellStyle name="Normal 2 7 4 6 3 9" xfId="33959"/>
    <cellStyle name="Normal 2 7 4 6 4" xfId="33960"/>
    <cellStyle name="Normal 2 7 4 6 4 2" xfId="33961"/>
    <cellStyle name="Normal 2 7 4 6 4 2 2" xfId="33962"/>
    <cellStyle name="Normal 2 7 4 6 4 2 3" xfId="33963"/>
    <cellStyle name="Normal 2 7 4 6 4 3" xfId="33964"/>
    <cellStyle name="Normal 2 7 4 6 4 4" xfId="33965"/>
    <cellStyle name="Normal 2 7 4 6 4 5" xfId="33966"/>
    <cellStyle name="Normal 2 7 4 6 4 6" xfId="33967"/>
    <cellStyle name="Normal 2 7 4 6 5" xfId="33968"/>
    <cellStyle name="Normal 2 7 4 6 5 2" xfId="33969"/>
    <cellStyle name="Normal 2 7 4 6 5 2 2" xfId="33970"/>
    <cellStyle name="Normal 2 7 4 6 5 3" xfId="33971"/>
    <cellStyle name="Normal 2 7 4 6 5 4" xfId="33972"/>
    <cellStyle name="Normal 2 7 4 6 5 5" xfId="33973"/>
    <cellStyle name="Normal 2 7 4 6 6" xfId="33974"/>
    <cellStyle name="Normal 2 7 4 6 6 2" xfId="33975"/>
    <cellStyle name="Normal 2 7 4 6 6 3" xfId="33976"/>
    <cellStyle name="Normal 2 7 4 6 6 4" xfId="33977"/>
    <cellStyle name="Normal 2 7 4 6 7" xfId="33978"/>
    <cellStyle name="Normal 2 7 4 6 7 2" xfId="33979"/>
    <cellStyle name="Normal 2 7 4 6 8" xfId="33980"/>
    <cellStyle name="Normal 2 7 4 6 9" xfId="33981"/>
    <cellStyle name="Normal 2 7 4 7" xfId="33982"/>
    <cellStyle name="Normal 2 7 4 7 10" xfId="33983"/>
    <cellStyle name="Normal 2 7 4 7 11" xfId="33984"/>
    <cellStyle name="Normal 2 7 4 7 2" xfId="33985"/>
    <cellStyle name="Normal 2 7 4 7 2 2" xfId="33986"/>
    <cellStyle name="Normal 2 7 4 7 2 2 2" xfId="33987"/>
    <cellStyle name="Normal 2 7 4 7 2 2 2 2" xfId="33988"/>
    <cellStyle name="Normal 2 7 4 7 2 2 2 3" xfId="33989"/>
    <cellStyle name="Normal 2 7 4 7 2 2 3" xfId="33990"/>
    <cellStyle name="Normal 2 7 4 7 2 2 4" xfId="33991"/>
    <cellStyle name="Normal 2 7 4 7 2 2 5" xfId="33992"/>
    <cellStyle name="Normal 2 7 4 7 2 2 6" xfId="33993"/>
    <cellStyle name="Normal 2 7 4 7 2 3" xfId="33994"/>
    <cellStyle name="Normal 2 7 4 7 2 3 2" xfId="33995"/>
    <cellStyle name="Normal 2 7 4 7 2 3 2 2" xfId="33996"/>
    <cellStyle name="Normal 2 7 4 7 2 3 3" xfId="33997"/>
    <cellStyle name="Normal 2 7 4 7 2 3 4" xfId="33998"/>
    <cellStyle name="Normal 2 7 4 7 2 3 5" xfId="33999"/>
    <cellStyle name="Normal 2 7 4 7 2 4" xfId="34000"/>
    <cellStyle name="Normal 2 7 4 7 2 4 2" xfId="34001"/>
    <cellStyle name="Normal 2 7 4 7 2 4 3" xfId="34002"/>
    <cellStyle name="Normal 2 7 4 7 2 4 4" xfId="34003"/>
    <cellStyle name="Normal 2 7 4 7 2 5" xfId="34004"/>
    <cellStyle name="Normal 2 7 4 7 2 5 2" xfId="34005"/>
    <cellStyle name="Normal 2 7 4 7 2 6" xfId="34006"/>
    <cellStyle name="Normal 2 7 4 7 2 7" xfId="34007"/>
    <cellStyle name="Normal 2 7 4 7 2 8" xfId="34008"/>
    <cellStyle name="Normal 2 7 4 7 2 9" xfId="34009"/>
    <cellStyle name="Normal 2 7 4 7 3" xfId="34010"/>
    <cellStyle name="Normal 2 7 4 7 3 2" xfId="34011"/>
    <cellStyle name="Normal 2 7 4 7 3 2 2" xfId="34012"/>
    <cellStyle name="Normal 2 7 4 7 3 2 2 2" xfId="34013"/>
    <cellStyle name="Normal 2 7 4 7 3 2 2 3" xfId="34014"/>
    <cellStyle name="Normal 2 7 4 7 3 2 3" xfId="34015"/>
    <cellStyle name="Normal 2 7 4 7 3 2 4" xfId="34016"/>
    <cellStyle name="Normal 2 7 4 7 3 2 5" xfId="34017"/>
    <cellStyle name="Normal 2 7 4 7 3 2 6" xfId="34018"/>
    <cellStyle name="Normal 2 7 4 7 3 3" xfId="34019"/>
    <cellStyle name="Normal 2 7 4 7 3 3 2" xfId="34020"/>
    <cellStyle name="Normal 2 7 4 7 3 3 2 2" xfId="34021"/>
    <cellStyle name="Normal 2 7 4 7 3 3 3" xfId="34022"/>
    <cellStyle name="Normal 2 7 4 7 3 3 4" xfId="34023"/>
    <cellStyle name="Normal 2 7 4 7 3 3 5" xfId="34024"/>
    <cellStyle name="Normal 2 7 4 7 3 4" xfId="34025"/>
    <cellStyle name="Normal 2 7 4 7 3 4 2" xfId="34026"/>
    <cellStyle name="Normal 2 7 4 7 3 4 3" xfId="34027"/>
    <cellStyle name="Normal 2 7 4 7 3 4 4" xfId="34028"/>
    <cellStyle name="Normal 2 7 4 7 3 5" xfId="34029"/>
    <cellStyle name="Normal 2 7 4 7 3 5 2" xfId="34030"/>
    <cellStyle name="Normal 2 7 4 7 3 6" xfId="34031"/>
    <cellStyle name="Normal 2 7 4 7 3 7" xfId="34032"/>
    <cellStyle name="Normal 2 7 4 7 3 8" xfId="34033"/>
    <cellStyle name="Normal 2 7 4 7 3 9" xfId="34034"/>
    <cellStyle name="Normal 2 7 4 7 4" xfId="34035"/>
    <cellStyle name="Normal 2 7 4 7 4 2" xfId="34036"/>
    <cellStyle name="Normal 2 7 4 7 4 2 2" xfId="34037"/>
    <cellStyle name="Normal 2 7 4 7 4 2 3" xfId="34038"/>
    <cellStyle name="Normal 2 7 4 7 4 3" xfId="34039"/>
    <cellStyle name="Normal 2 7 4 7 4 4" xfId="34040"/>
    <cellStyle name="Normal 2 7 4 7 4 5" xfId="34041"/>
    <cellStyle name="Normal 2 7 4 7 4 6" xfId="34042"/>
    <cellStyle name="Normal 2 7 4 7 5" xfId="34043"/>
    <cellStyle name="Normal 2 7 4 7 5 2" xfId="34044"/>
    <cellStyle name="Normal 2 7 4 7 5 2 2" xfId="34045"/>
    <cellStyle name="Normal 2 7 4 7 5 3" xfId="34046"/>
    <cellStyle name="Normal 2 7 4 7 5 4" xfId="34047"/>
    <cellStyle name="Normal 2 7 4 7 5 5" xfId="34048"/>
    <cellStyle name="Normal 2 7 4 7 6" xfId="34049"/>
    <cellStyle name="Normal 2 7 4 7 6 2" xfId="34050"/>
    <cellStyle name="Normal 2 7 4 7 6 3" xfId="34051"/>
    <cellStyle name="Normal 2 7 4 7 6 4" xfId="34052"/>
    <cellStyle name="Normal 2 7 4 7 7" xfId="34053"/>
    <cellStyle name="Normal 2 7 4 7 7 2" xfId="34054"/>
    <cellStyle name="Normal 2 7 4 7 8" xfId="34055"/>
    <cellStyle name="Normal 2 7 4 7 9" xfId="34056"/>
    <cellStyle name="Normal 2 7 4 8" xfId="34057"/>
    <cellStyle name="Normal 2 7 4 8 10" xfId="34058"/>
    <cellStyle name="Normal 2 7 4 8 2" xfId="34059"/>
    <cellStyle name="Normal 2 7 4 8 2 2" xfId="34060"/>
    <cellStyle name="Normal 2 7 4 8 2 2 2" xfId="34061"/>
    <cellStyle name="Normal 2 7 4 8 2 2 3" xfId="34062"/>
    <cellStyle name="Normal 2 7 4 8 2 3" xfId="34063"/>
    <cellStyle name="Normal 2 7 4 8 2 4" xfId="34064"/>
    <cellStyle name="Normal 2 7 4 8 2 5" xfId="34065"/>
    <cellStyle name="Normal 2 7 4 8 2 6" xfId="34066"/>
    <cellStyle name="Normal 2 7 4 8 3" xfId="34067"/>
    <cellStyle name="Normal 2 7 4 8 3 2" xfId="34068"/>
    <cellStyle name="Normal 2 7 4 8 3 2 2" xfId="34069"/>
    <cellStyle name="Normal 2 7 4 8 3 2 3" xfId="34070"/>
    <cellStyle name="Normal 2 7 4 8 3 3" xfId="34071"/>
    <cellStyle name="Normal 2 7 4 8 3 4" xfId="34072"/>
    <cellStyle name="Normal 2 7 4 8 3 5" xfId="34073"/>
    <cellStyle name="Normal 2 7 4 8 3 6" xfId="34074"/>
    <cellStyle name="Normal 2 7 4 8 4" xfId="34075"/>
    <cellStyle name="Normal 2 7 4 8 4 2" xfId="34076"/>
    <cellStyle name="Normal 2 7 4 8 4 2 2" xfId="34077"/>
    <cellStyle name="Normal 2 7 4 8 4 3" xfId="34078"/>
    <cellStyle name="Normal 2 7 4 8 4 4" xfId="34079"/>
    <cellStyle name="Normal 2 7 4 8 4 5" xfId="34080"/>
    <cellStyle name="Normal 2 7 4 8 5" xfId="34081"/>
    <cellStyle name="Normal 2 7 4 8 5 2" xfId="34082"/>
    <cellStyle name="Normal 2 7 4 8 5 3" xfId="34083"/>
    <cellStyle name="Normal 2 7 4 8 5 4" xfId="34084"/>
    <cellStyle name="Normal 2 7 4 8 6" xfId="34085"/>
    <cellStyle name="Normal 2 7 4 8 6 2" xfId="34086"/>
    <cellStyle name="Normal 2 7 4 8 7" xfId="34087"/>
    <cellStyle name="Normal 2 7 4 8 8" xfId="34088"/>
    <cellStyle name="Normal 2 7 4 8 9" xfId="34089"/>
    <cellStyle name="Normal 2 7 4 9" xfId="34090"/>
    <cellStyle name="Normal 2 7 4 9 10" xfId="34091"/>
    <cellStyle name="Normal 2 7 4 9 2" xfId="34092"/>
    <cellStyle name="Normal 2 7 4 9 2 2" xfId="34093"/>
    <cellStyle name="Normal 2 7 4 9 2 2 2" xfId="34094"/>
    <cellStyle name="Normal 2 7 4 9 2 2 3" xfId="34095"/>
    <cellStyle name="Normal 2 7 4 9 2 3" xfId="34096"/>
    <cellStyle name="Normal 2 7 4 9 2 4" xfId="34097"/>
    <cellStyle name="Normal 2 7 4 9 2 5" xfId="34098"/>
    <cellStyle name="Normal 2 7 4 9 2 6" xfId="34099"/>
    <cellStyle name="Normal 2 7 4 9 3" xfId="34100"/>
    <cellStyle name="Normal 2 7 4 9 3 2" xfId="34101"/>
    <cellStyle name="Normal 2 7 4 9 3 2 2" xfId="34102"/>
    <cellStyle name="Normal 2 7 4 9 3 2 3" xfId="34103"/>
    <cellStyle name="Normal 2 7 4 9 3 3" xfId="34104"/>
    <cellStyle name="Normal 2 7 4 9 3 4" xfId="34105"/>
    <cellStyle name="Normal 2 7 4 9 3 5" xfId="34106"/>
    <cellStyle name="Normal 2 7 4 9 3 6" xfId="34107"/>
    <cellStyle name="Normal 2 7 4 9 4" xfId="34108"/>
    <cellStyle name="Normal 2 7 4 9 4 2" xfId="34109"/>
    <cellStyle name="Normal 2 7 4 9 4 2 2" xfId="34110"/>
    <cellStyle name="Normal 2 7 4 9 4 3" xfId="34111"/>
    <cellStyle name="Normal 2 7 4 9 4 4" xfId="34112"/>
    <cellStyle name="Normal 2 7 4 9 4 5" xfId="34113"/>
    <cellStyle name="Normal 2 7 4 9 5" xfId="34114"/>
    <cellStyle name="Normal 2 7 4 9 5 2" xfId="34115"/>
    <cellStyle name="Normal 2 7 4 9 5 3" xfId="34116"/>
    <cellStyle name="Normal 2 7 4 9 5 4" xfId="34117"/>
    <cellStyle name="Normal 2 7 4 9 6" xfId="34118"/>
    <cellStyle name="Normal 2 7 4 9 6 2" xfId="34119"/>
    <cellStyle name="Normal 2 7 4 9 7" xfId="34120"/>
    <cellStyle name="Normal 2 7 4 9 8" xfId="34121"/>
    <cellStyle name="Normal 2 7 4 9 9" xfId="34122"/>
    <cellStyle name="Normal 2 7 5" xfId="34123"/>
    <cellStyle name="Normal 2 7 5 10" xfId="34124"/>
    <cellStyle name="Normal 2 7 5 11" xfId="34125"/>
    <cellStyle name="Normal 2 7 5 2" xfId="34126"/>
    <cellStyle name="Normal 2 7 5 2 2" xfId="34127"/>
    <cellStyle name="Normal 2 7 5 2 2 2" xfId="34128"/>
    <cellStyle name="Normal 2 7 5 2 2 2 2" xfId="34129"/>
    <cellStyle name="Normal 2 7 5 2 2 2 3" xfId="34130"/>
    <cellStyle name="Normal 2 7 5 2 2 3" xfId="34131"/>
    <cellStyle name="Normal 2 7 5 2 2 4" xfId="34132"/>
    <cellStyle name="Normal 2 7 5 2 2 5" xfId="34133"/>
    <cellStyle name="Normal 2 7 5 2 2 6" xfId="34134"/>
    <cellStyle name="Normal 2 7 5 2 3" xfId="34135"/>
    <cellStyle name="Normal 2 7 5 2 3 2" xfId="34136"/>
    <cellStyle name="Normal 2 7 5 2 3 2 2" xfId="34137"/>
    <cellStyle name="Normal 2 7 5 2 3 3" xfId="34138"/>
    <cellStyle name="Normal 2 7 5 2 3 4" xfId="34139"/>
    <cellStyle name="Normal 2 7 5 2 3 5" xfId="34140"/>
    <cellStyle name="Normal 2 7 5 2 4" xfId="34141"/>
    <cellStyle name="Normal 2 7 5 2 4 2" xfId="34142"/>
    <cellStyle name="Normal 2 7 5 2 4 3" xfId="34143"/>
    <cellStyle name="Normal 2 7 5 2 4 4" xfId="34144"/>
    <cellStyle name="Normal 2 7 5 2 5" xfId="34145"/>
    <cellStyle name="Normal 2 7 5 2 5 2" xfId="34146"/>
    <cellStyle name="Normal 2 7 5 2 6" xfId="34147"/>
    <cellStyle name="Normal 2 7 5 2 7" xfId="34148"/>
    <cellStyle name="Normal 2 7 5 2 8" xfId="34149"/>
    <cellStyle name="Normal 2 7 5 2 9" xfId="34150"/>
    <cellStyle name="Normal 2 7 5 3" xfId="34151"/>
    <cellStyle name="Normal 2 7 5 3 2" xfId="34152"/>
    <cellStyle name="Normal 2 7 5 3 2 2" xfId="34153"/>
    <cellStyle name="Normal 2 7 5 3 2 2 2" xfId="34154"/>
    <cellStyle name="Normal 2 7 5 3 2 2 3" xfId="34155"/>
    <cellStyle name="Normal 2 7 5 3 2 3" xfId="34156"/>
    <cellStyle name="Normal 2 7 5 3 2 4" xfId="34157"/>
    <cellStyle name="Normal 2 7 5 3 2 5" xfId="34158"/>
    <cellStyle name="Normal 2 7 5 3 2 6" xfId="34159"/>
    <cellStyle name="Normal 2 7 5 3 3" xfId="34160"/>
    <cellStyle name="Normal 2 7 5 3 3 2" xfId="34161"/>
    <cellStyle name="Normal 2 7 5 3 3 2 2" xfId="34162"/>
    <cellStyle name="Normal 2 7 5 3 3 3" xfId="34163"/>
    <cellStyle name="Normal 2 7 5 3 3 4" xfId="34164"/>
    <cellStyle name="Normal 2 7 5 3 3 5" xfId="34165"/>
    <cellStyle name="Normal 2 7 5 3 4" xfId="34166"/>
    <cellStyle name="Normal 2 7 5 3 4 2" xfId="34167"/>
    <cellStyle name="Normal 2 7 5 3 4 3" xfId="34168"/>
    <cellStyle name="Normal 2 7 5 3 4 4" xfId="34169"/>
    <cellStyle name="Normal 2 7 5 3 5" xfId="34170"/>
    <cellStyle name="Normal 2 7 5 3 5 2" xfId="34171"/>
    <cellStyle name="Normal 2 7 5 3 6" xfId="34172"/>
    <cellStyle name="Normal 2 7 5 3 7" xfId="34173"/>
    <cellStyle name="Normal 2 7 5 3 8" xfId="34174"/>
    <cellStyle name="Normal 2 7 5 3 9" xfId="34175"/>
    <cellStyle name="Normal 2 7 5 4" xfId="34176"/>
    <cellStyle name="Normal 2 7 5 4 2" xfId="34177"/>
    <cellStyle name="Normal 2 7 5 4 2 2" xfId="34178"/>
    <cellStyle name="Normal 2 7 5 4 2 3" xfId="34179"/>
    <cellStyle name="Normal 2 7 5 4 3" xfId="34180"/>
    <cellStyle name="Normal 2 7 5 4 4" xfId="34181"/>
    <cellStyle name="Normal 2 7 5 4 5" xfId="34182"/>
    <cellStyle name="Normal 2 7 5 4 6" xfId="34183"/>
    <cellStyle name="Normal 2 7 5 5" xfId="34184"/>
    <cellStyle name="Normal 2 7 5 5 2" xfId="34185"/>
    <cellStyle name="Normal 2 7 5 5 2 2" xfId="34186"/>
    <cellStyle name="Normal 2 7 5 5 3" xfId="34187"/>
    <cellStyle name="Normal 2 7 5 5 4" xfId="34188"/>
    <cellStyle name="Normal 2 7 5 5 5" xfId="34189"/>
    <cellStyle name="Normal 2 7 5 6" xfId="34190"/>
    <cellStyle name="Normal 2 7 5 6 2" xfId="34191"/>
    <cellStyle name="Normal 2 7 5 6 3" xfId="34192"/>
    <cellStyle name="Normal 2 7 5 6 4" xfId="34193"/>
    <cellStyle name="Normal 2 7 5 7" xfId="34194"/>
    <cellStyle name="Normal 2 7 5 7 2" xfId="34195"/>
    <cellStyle name="Normal 2 7 5 8" xfId="34196"/>
    <cellStyle name="Normal 2 7 5 9" xfId="34197"/>
    <cellStyle name="Normal 2 7 6" xfId="34198"/>
    <cellStyle name="Normal 2 7 6 10" xfId="34199"/>
    <cellStyle name="Normal 2 7 6 11" xfId="34200"/>
    <cellStyle name="Normal 2 7 6 2" xfId="34201"/>
    <cellStyle name="Normal 2 7 6 2 2" xfId="34202"/>
    <cellStyle name="Normal 2 7 6 2 2 2" xfId="34203"/>
    <cellStyle name="Normal 2 7 6 2 2 2 2" xfId="34204"/>
    <cellStyle name="Normal 2 7 6 2 2 2 3" xfId="34205"/>
    <cellStyle name="Normal 2 7 6 2 2 3" xfId="34206"/>
    <cellStyle name="Normal 2 7 6 2 2 4" xfId="34207"/>
    <cellStyle name="Normal 2 7 6 2 2 5" xfId="34208"/>
    <cellStyle name="Normal 2 7 6 2 2 6" xfId="34209"/>
    <cellStyle name="Normal 2 7 6 2 3" xfId="34210"/>
    <cellStyle name="Normal 2 7 6 2 3 2" xfId="34211"/>
    <cellStyle name="Normal 2 7 6 2 3 2 2" xfId="34212"/>
    <cellStyle name="Normal 2 7 6 2 3 3" xfId="34213"/>
    <cellStyle name="Normal 2 7 6 2 3 4" xfId="34214"/>
    <cellStyle name="Normal 2 7 6 2 3 5" xfId="34215"/>
    <cellStyle name="Normal 2 7 6 2 4" xfId="34216"/>
    <cellStyle name="Normal 2 7 6 2 4 2" xfId="34217"/>
    <cellStyle name="Normal 2 7 6 2 4 3" xfId="34218"/>
    <cellStyle name="Normal 2 7 6 2 4 4" xfId="34219"/>
    <cellStyle name="Normal 2 7 6 2 5" xfId="34220"/>
    <cellStyle name="Normal 2 7 6 2 5 2" xfId="34221"/>
    <cellStyle name="Normal 2 7 6 2 6" xfId="34222"/>
    <cellStyle name="Normal 2 7 6 2 7" xfId="34223"/>
    <cellStyle name="Normal 2 7 6 2 8" xfId="34224"/>
    <cellStyle name="Normal 2 7 6 2 9" xfId="34225"/>
    <cellStyle name="Normal 2 7 6 3" xfId="34226"/>
    <cellStyle name="Normal 2 7 6 3 2" xfId="34227"/>
    <cellStyle name="Normal 2 7 6 3 2 2" xfId="34228"/>
    <cellStyle name="Normal 2 7 6 3 2 2 2" xfId="34229"/>
    <cellStyle name="Normal 2 7 6 3 2 2 3" xfId="34230"/>
    <cellStyle name="Normal 2 7 6 3 2 3" xfId="34231"/>
    <cellStyle name="Normal 2 7 6 3 2 4" xfId="34232"/>
    <cellStyle name="Normal 2 7 6 3 2 5" xfId="34233"/>
    <cellStyle name="Normal 2 7 6 3 2 6" xfId="34234"/>
    <cellStyle name="Normal 2 7 6 3 3" xfId="34235"/>
    <cellStyle name="Normal 2 7 6 3 3 2" xfId="34236"/>
    <cellStyle name="Normal 2 7 6 3 3 2 2" xfId="34237"/>
    <cellStyle name="Normal 2 7 6 3 3 3" xfId="34238"/>
    <cellStyle name="Normal 2 7 6 3 3 4" xfId="34239"/>
    <cellStyle name="Normal 2 7 6 3 3 5" xfId="34240"/>
    <cellStyle name="Normal 2 7 6 3 4" xfId="34241"/>
    <cellStyle name="Normal 2 7 6 3 4 2" xfId="34242"/>
    <cellStyle name="Normal 2 7 6 3 4 3" xfId="34243"/>
    <cellStyle name="Normal 2 7 6 3 4 4" xfId="34244"/>
    <cellStyle name="Normal 2 7 6 3 5" xfId="34245"/>
    <cellStyle name="Normal 2 7 6 3 5 2" xfId="34246"/>
    <cellStyle name="Normal 2 7 6 3 6" xfId="34247"/>
    <cellStyle name="Normal 2 7 6 3 7" xfId="34248"/>
    <cellStyle name="Normal 2 7 6 3 8" xfId="34249"/>
    <cellStyle name="Normal 2 7 6 3 9" xfId="34250"/>
    <cellStyle name="Normal 2 7 6 4" xfId="34251"/>
    <cellStyle name="Normal 2 7 6 4 2" xfId="34252"/>
    <cellStyle name="Normal 2 7 6 4 2 2" xfId="34253"/>
    <cellStyle name="Normal 2 7 6 4 2 3" xfId="34254"/>
    <cellStyle name="Normal 2 7 6 4 3" xfId="34255"/>
    <cellStyle name="Normal 2 7 6 4 4" xfId="34256"/>
    <cellStyle name="Normal 2 7 6 4 5" xfId="34257"/>
    <cellStyle name="Normal 2 7 6 4 6" xfId="34258"/>
    <cellStyle name="Normal 2 7 6 5" xfId="34259"/>
    <cellStyle name="Normal 2 7 6 5 2" xfId="34260"/>
    <cellStyle name="Normal 2 7 6 5 2 2" xfId="34261"/>
    <cellStyle name="Normal 2 7 6 5 3" xfId="34262"/>
    <cellStyle name="Normal 2 7 6 5 4" xfId="34263"/>
    <cellStyle name="Normal 2 7 6 5 5" xfId="34264"/>
    <cellStyle name="Normal 2 7 6 6" xfId="34265"/>
    <cellStyle name="Normal 2 7 6 6 2" xfId="34266"/>
    <cellStyle name="Normal 2 7 6 6 3" xfId="34267"/>
    <cellStyle name="Normal 2 7 6 6 4" xfId="34268"/>
    <cellStyle name="Normal 2 7 6 7" xfId="34269"/>
    <cellStyle name="Normal 2 7 6 7 2" xfId="34270"/>
    <cellStyle name="Normal 2 7 6 8" xfId="34271"/>
    <cellStyle name="Normal 2 7 6 9" xfId="34272"/>
    <cellStyle name="Normal 2 7 7" xfId="34273"/>
    <cellStyle name="Normal 2 7 7 10" xfId="34274"/>
    <cellStyle name="Normal 2 7 7 11" xfId="34275"/>
    <cellStyle name="Normal 2 7 7 2" xfId="34276"/>
    <cellStyle name="Normal 2 7 7 2 2" xfId="34277"/>
    <cellStyle name="Normal 2 7 7 2 2 2" xfId="34278"/>
    <cellStyle name="Normal 2 7 7 2 2 2 2" xfId="34279"/>
    <cellStyle name="Normal 2 7 7 2 2 2 3" xfId="34280"/>
    <cellStyle name="Normal 2 7 7 2 2 3" xfId="34281"/>
    <cellStyle name="Normal 2 7 7 2 2 4" xfId="34282"/>
    <cellStyle name="Normal 2 7 7 2 2 5" xfId="34283"/>
    <cellStyle name="Normal 2 7 7 2 2 6" xfId="34284"/>
    <cellStyle name="Normal 2 7 7 2 3" xfId="34285"/>
    <cellStyle name="Normal 2 7 7 2 3 2" xfId="34286"/>
    <cellStyle name="Normal 2 7 7 2 3 2 2" xfId="34287"/>
    <cellStyle name="Normal 2 7 7 2 3 3" xfId="34288"/>
    <cellStyle name="Normal 2 7 7 2 3 4" xfId="34289"/>
    <cellStyle name="Normal 2 7 7 2 3 5" xfId="34290"/>
    <cellStyle name="Normal 2 7 7 2 4" xfId="34291"/>
    <cellStyle name="Normal 2 7 7 2 4 2" xfId="34292"/>
    <cellStyle name="Normal 2 7 7 2 4 3" xfId="34293"/>
    <cellStyle name="Normal 2 7 7 2 4 4" xfId="34294"/>
    <cellStyle name="Normal 2 7 7 2 5" xfId="34295"/>
    <cellStyle name="Normal 2 7 7 2 5 2" xfId="34296"/>
    <cellStyle name="Normal 2 7 7 2 6" xfId="34297"/>
    <cellStyle name="Normal 2 7 7 2 7" xfId="34298"/>
    <cellStyle name="Normal 2 7 7 2 8" xfId="34299"/>
    <cellStyle name="Normal 2 7 7 2 9" xfId="34300"/>
    <cellStyle name="Normal 2 7 7 3" xfId="34301"/>
    <cellStyle name="Normal 2 7 7 3 2" xfId="34302"/>
    <cellStyle name="Normal 2 7 7 3 2 2" xfId="34303"/>
    <cellStyle name="Normal 2 7 7 3 2 2 2" xfId="34304"/>
    <cellStyle name="Normal 2 7 7 3 2 2 3" xfId="34305"/>
    <cellStyle name="Normal 2 7 7 3 2 3" xfId="34306"/>
    <cellStyle name="Normal 2 7 7 3 2 4" xfId="34307"/>
    <cellStyle name="Normal 2 7 7 3 2 5" xfId="34308"/>
    <cellStyle name="Normal 2 7 7 3 2 6" xfId="34309"/>
    <cellStyle name="Normal 2 7 7 3 3" xfId="34310"/>
    <cellStyle name="Normal 2 7 7 3 3 2" xfId="34311"/>
    <cellStyle name="Normal 2 7 7 3 3 2 2" xfId="34312"/>
    <cellStyle name="Normal 2 7 7 3 3 3" xfId="34313"/>
    <cellStyle name="Normal 2 7 7 3 3 4" xfId="34314"/>
    <cellStyle name="Normal 2 7 7 3 3 5" xfId="34315"/>
    <cellStyle name="Normal 2 7 7 3 4" xfId="34316"/>
    <cellStyle name="Normal 2 7 7 3 4 2" xfId="34317"/>
    <cellStyle name="Normal 2 7 7 3 4 3" xfId="34318"/>
    <cellStyle name="Normal 2 7 7 3 4 4" xfId="34319"/>
    <cellStyle name="Normal 2 7 7 3 5" xfId="34320"/>
    <cellStyle name="Normal 2 7 7 3 5 2" xfId="34321"/>
    <cellStyle name="Normal 2 7 7 3 6" xfId="34322"/>
    <cellStyle name="Normal 2 7 7 3 7" xfId="34323"/>
    <cellStyle name="Normal 2 7 7 3 8" xfId="34324"/>
    <cellStyle name="Normal 2 7 7 3 9" xfId="34325"/>
    <cellStyle name="Normal 2 7 7 4" xfId="34326"/>
    <cellStyle name="Normal 2 7 7 4 2" xfId="34327"/>
    <cellStyle name="Normal 2 7 7 4 2 2" xfId="34328"/>
    <cellStyle name="Normal 2 7 7 4 2 3" xfId="34329"/>
    <cellStyle name="Normal 2 7 7 4 3" xfId="34330"/>
    <cellStyle name="Normal 2 7 7 4 4" xfId="34331"/>
    <cellStyle name="Normal 2 7 7 4 5" xfId="34332"/>
    <cellStyle name="Normal 2 7 7 4 6" xfId="34333"/>
    <cellStyle name="Normal 2 7 7 5" xfId="34334"/>
    <cellStyle name="Normal 2 7 7 5 2" xfId="34335"/>
    <cellStyle name="Normal 2 7 7 5 2 2" xfId="34336"/>
    <cellStyle name="Normal 2 7 7 5 3" xfId="34337"/>
    <cellStyle name="Normal 2 7 7 5 4" xfId="34338"/>
    <cellStyle name="Normal 2 7 7 5 5" xfId="34339"/>
    <cellStyle name="Normal 2 7 7 6" xfId="34340"/>
    <cellStyle name="Normal 2 7 7 6 2" xfId="34341"/>
    <cellStyle name="Normal 2 7 7 6 3" xfId="34342"/>
    <cellStyle name="Normal 2 7 7 6 4" xfId="34343"/>
    <cellStyle name="Normal 2 7 7 7" xfId="34344"/>
    <cellStyle name="Normal 2 7 7 7 2" xfId="34345"/>
    <cellStyle name="Normal 2 7 7 8" xfId="34346"/>
    <cellStyle name="Normal 2 7 7 9" xfId="34347"/>
    <cellStyle name="Normal 2 7 8" xfId="34348"/>
    <cellStyle name="Normal 2 7 8 10" xfId="34349"/>
    <cellStyle name="Normal 2 7 8 11" xfId="34350"/>
    <cellStyle name="Normal 2 7 8 2" xfId="34351"/>
    <cellStyle name="Normal 2 7 8 2 2" xfId="34352"/>
    <cellStyle name="Normal 2 7 8 2 2 2" xfId="34353"/>
    <cellStyle name="Normal 2 7 8 2 2 2 2" xfId="34354"/>
    <cellStyle name="Normal 2 7 8 2 2 2 3" xfId="34355"/>
    <cellStyle name="Normal 2 7 8 2 2 3" xfId="34356"/>
    <cellStyle name="Normal 2 7 8 2 2 4" xfId="34357"/>
    <cellStyle name="Normal 2 7 8 2 2 5" xfId="34358"/>
    <cellStyle name="Normal 2 7 8 2 2 6" xfId="34359"/>
    <cellStyle name="Normal 2 7 8 2 3" xfId="34360"/>
    <cellStyle name="Normal 2 7 8 2 3 2" xfId="34361"/>
    <cellStyle name="Normal 2 7 8 2 3 2 2" xfId="34362"/>
    <cellStyle name="Normal 2 7 8 2 3 3" xfId="34363"/>
    <cellStyle name="Normal 2 7 8 2 3 4" xfId="34364"/>
    <cellStyle name="Normal 2 7 8 2 3 5" xfId="34365"/>
    <cellStyle name="Normal 2 7 8 2 4" xfId="34366"/>
    <cellStyle name="Normal 2 7 8 2 4 2" xfId="34367"/>
    <cellStyle name="Normal 2 7 8 2 4 3" xfId="34368"/>
    <cellStyle name="Normal 2 7 8 2 4 4" xfId="34369"/>
    <cellStyle name="Normal 2 7 8 2 5" xfId="34370"/>
    <cellStyle name="Normal 2 7 8 2 5 2" xfId="34371"/>
    <cellStyle name="Normal 2 7 8 2 6" xfId="34372"/>
    <cellStyle name="Normal 2 7 8 2 7" xfId="34373"/>
    <cellStyle name="Normal 2 7 8 2 8" xfId="34374"/>
    <cellStyle name="Normal 2 7 8 2 9" xfId="34375"/>
    <cellStyle name="Normal 2 7 8 3" xfId="34376"/>
    <cellStyle name="Normal 2 7 8 3 2" xfId="34377"/>
    <cellStyle name="Normal 2 7 8 3 2 2" xfId="34378"/>
    <cellStyle name="Normal 2 7 8 3 2 2 2" xfId="34379"/>
    <cellStyle name="Normal 2 7 8 3 2 2 3" xfId="34380"/>
    <cellStyle name="Normal 2 7 8 3 2 3" xfId="34381"/>
    <cellStyle name="Normal 2 7 8 3 2 4" xfId="34382"/>
    <cellStyle name="Normal 2 7 8 3 2 5" xfId="34383"/>
    <cellStyle name="Normal 2 7 8 3 2 6" xfId="34384"/>
    <cellStyle name="Normal 2 7 8 3 3" xfId="34385"/>
    <cellStyle name="Normal 2 7 8 3 3 2" xfId="34386"/>
    <cellStyle name="Normal 2 7 8 3 3 2 2" xfId="34387"/>
    <cellStyle name="Normal 2 7 8 3 3 3" xfId="34388"/>
    <cellStyle name="Normal 2 7 8 3 3 4" xfId="34389"/>
    <cellStyle name="Normal 2 7 8 3 3 5" xfId="34390"/>
    <cellStyle name="Normal 2 7 8 3 4" xfId="34391"/>
    <cellStyle name="Normal 2 7 8 3 4 2" xfId="34392"/>
    <cellStyle name="Normal 2 7 8 3 4 3" xfId="34393"/>
    <cellStyle name="Normal 2 7 8 3 4 4" xfId="34394"/>
    <cellStyle name="Normal 2 7 8 3 5" xfId="34395"/>
    <cellStyle name="Normal 2 7 8 3 5 2" xfId="34396"/>
    <cellStyle name="Normal 2 7 8 3 6" xfId="34397"/>
    <cellStyle name="Normal 2 7 8 3 7" xfId="34398"/>
    <cellStyle name="Normal 2 7 8 3 8" xfId="34399"/>
    <cellStyle name="Normal 2 7 8 3 9" xfId="34400"/>
    <cellStyle name="Normal 2 7 8 4" xfId="34401"/>
    <cellStyle name="Normal 2 7 8 4 2" xfId="34402"/>
    <cellStyle name="Normal 2 7 8 4 2 2" xfId="34403"/>
    <cellStyle name="Normal 2 7 8 4 2 3" xfId="34404"/>
    <cellStyle name="Normal 2 7 8 4 3" xfId="34405"/>
    <cellStyle name="Normal 2 7 8 4 4" xfId="34406"/>
    <cellStyle name="Normal 2 7 8 4 5" xfId="34407"/>
    <cellStyle name="Normal 2 7 8 4 6" xfId="34408"/>
    <cellStyle name="Normal 2 7 8 5" xfId="34409"/>
    <cellStyle name="Normal 2 7 8 5 2" xfId="34410"/>
    <cellStyle name="Normal 2 7 8 5 2 2" xfId="34411"/>
    <cellStyle name="Normal 2 7 8 5 3" xfId="34412"/>
    <cellStyle name="Normal 2 7 8 5 4" xfId="34413"/>
    <cellStyle name="Normal 2 7 8 5 5" xfId="34414"/>
    <cellStyle name="Normal 2 7 8 6" xfId="34415"/>
    <cellStyle name="Normal 2 7 8 6 2" xfId="34416"/>
    <cellStyle name="Normal 2 7 8 6 3" xfId="34417"/>
    <cellStyle name="Normal 2 7 8 6 4" xfId="34418"/>
    <cellStyle name="Normal 2 7 8 7" xfId="34419"/>
    <cellStyle name="Normal 2 7 8 7 2" xfId="34420"/>
    <cellStyle name="Normal 2 7 8 8" xfId="34421"/>
    <cellStyle name="Normal 2 7 8 9" xfId="34422"/>
    <cellStyle name="Normal 2 7 9" xfId="34423"/>
    <cellStyle name="Normal 2 7 9 10" xfId="34424"/>
    <cellStyle name="Normal 2 7 9 11" xfId="34425"/>
    <cellStyle name="Normal 2 7 9 2" xfId="34426"/>
    <cellStyle name="Normal 2 7 9 2 2" xfId="34427"/>
    <cellStyle name="Normal 2 7 9 2 2 2" xfId="34428"/>
    <cellStyle name="Normal 2 7 9 2 2 2 2" xfId="34429"/>
    <cellStyle name="Normal 2 7 9 2 2 2 3" xfId="34430"/>
    <cellStyle name="Normal 2 7 9 2 2 3" xfId="34431"/>
    <cellStyle name="Normal 2 7 9 2 2 4" xfId="34432"/>
    <cellStyle name="Normal 2 7 9 2 2 5" xfId="34433"/>
    <cellStyle name="Normal 2 7 9 2 2 6" xfId="34434"/>
    <cellStyle name="Normal 2 7 9 2 3" xfId="34435"/>
    <cellStyle name="Normal 2 7 9 2 3 2" xfId="34436"/>
    <cellStyle name="Normal 2 7 9 2 3 2 2" xfId="34437"/>
    <cellStyle name="Normal 2 7 9 2 3 3" xfId="34438"/>
    <cellStyle name="Normal 2 7 9 2 3 4" xfId="34439"/>
    <cellStyle name="Normal 2 7 9 2 3 5" xfId="34440"/>
    <cellStyle name="Normal 2 7 9 2 4" xfId="34441"/>
    <cellStyle name="Normal 2 7 9 2 4 2" xfId="34442"/>
    <cellStyle name="Normal 2 7 9 2 4 3" xfId="34443"/>
    <cellStyle name="Normal 2 7 9 2 4 4" xfId="34444"/>
    <cellStyle name="Normal 2 7 9 2 5" xfId="34445"/>
    <cellStyle name="Normal 2 7 9 2 5 2" xfId="34446"/>
    <cellStyle name="Normal 2 7 9 2 6" xfId="34447"/>
    <cellStyle name="Normal 2 7 9 2 7" xfId="34448"/>
    <cellStyle name="Normal 2 7 9 2 8" xfId="34449"/>
    <cellStyle name="Normal 2 7 9 2 9" xfId="34450"/>
    <cellStyle name="Normal 2 7 9 3" xfId="34451"/>
    <cellStyle name="Normal 2 7 9 3 2" xfId="34452"/>
    <cellStyle name="Normal 2 7 9 3 2 2" xfId="34453"/>
    <cellStyle name="Normal 2 7 9 3 2 2 2" xfId="34454"/>
    <cellStyle name="Normal 2 7 9 3 2 2 3" xfId="34455"/>
    <cellStyle name="Normal 2 7 9 3 2 3" xfId="34456"/>
    <cellStyle name="Normal 2 7 9 3 2 4" xfId="34457"/>
    <cellStyle name="Normal 2 7 9 3 2 5" xfId="34458"/>
    <cellStyle name="Normal 2 7 9 3 2 6" xfId="34459"/>
    <cellStyle name="Normal 2 7 9 3 3" xfId="34460"/>
    <cellStyle name="Normal 2 7 9 3 3 2" xfId="34461"/>
    <cellStyle name="Normal 2 7 9 3 3 2 2" xfId="34462"/>
    <cellStyle name="Normal 2 7 9 3 3 3" xfId="34463"/>
    <cellStyle name="Normal 2 7 9 3 3 4" xfId="34464"/>
    <cellStyle name="Normal 2 7 9 3 3 5" xfId="34465"/>
    <cellStyle name="Normal 2 7 9 3 4" xfId="34466"/>
    <cellStyle name="Normal 2 7 9 3 4 2" xfId="34467"/>
    <cellStyle name="Normal 2 7 9 3 4 3" xfId="34468"/>
    <cellStyle name="Normal 2 7 9 3 4 4" xfId="34469"/>
    <cellStyle name="Normal 2 7 9 3 5" xfId="34470"/>
    <cellStyle name="Normal 2 7 9 3 5 2" xfId="34471"/>
    <cellStyle name="Normal 2 7 9 3 6" xfId="34472"/>
    <cellStyle name="Normal 2 7 9 3 7" xfId="34473"/>
    <cellStyle name="Normal 2 7 9 3 8" xfId="34474"/>
    <cellStyle name="Normal 2 7 9 3 9" xfId="34475"/>
    <cellStyle name="Normal 2 7 9 4" xfId="34476"/>
    <cellStyle name="Normal 2 7 9 4 2" xfId="34477"/>
    <cellStyle name="Normal 2 7 9 4 2 2" xfId="34478"/>
    <cellStyle name="Normal 2 7 9 4 2 3" xfId="34479"/>
    <cellStyle name="Normal 2 7 9 4 3" xfId="34480"/>
    <cellStyle name="Normal 2 7 9 4 4" xfId="34481"/>
    <cellStyle name="Normal 2 7 9 4 5" xfId="34482"/>
    <cellStyle name="Normal 2 7 9 4 6" xfId="34483"/>
    <cellStyle name="Normal 2 7 9 5" xfId="34484"/>
    <cellStyle name="Normal 2 7 9 5 2" xfId="34485"/>
    <cellStyle name="Normal 2 7 9 5 2 2" xfId="34486"/>
    <cellStyle name="Normal 2 7 9 5 3" xfId="34487"/>
    <cellStyle name="Normal 2 7 9 5 4" xfId="34488"/>
    <cellStyle name="Normal 2 7 9 5 5" xfId="34489"/>
    <cellStyle name="Normal 2 7 9 6" xfId="34490"/>
    <cellStyle name="Normal 2 7 9 6 2" xfId="34491"/>
    <cellStyle name="Normal 2 7 9 6 3" xfId="34492"/>
    <cellStyle name="Normal 2 7 9 6 4" xfId="34493"/>
    <cellStyle name="Normal 2 7 9 7" xfId="34494"/>
    <cellStyle name="Normal 2 7 9 7 2" xfId="34495"/>
    <cellStyle name="Normal 2 7 9 8" xfId="34496"/>
    <cellStyle name="Normal 2 7 9 9" xfId="34497"/>
    <cellStyle name="Normal 2 70" xfId="34498"/>
    <cellStyle name="Normal 2 8" xfId="34499"/>
    <cellStyle name="Normal 2 8 10" xfId="34500"/>
    <cellStyle name="Normal 2 8 10 10" xfId="34501"/>
    <cellStyle name="Normal 2 8 10 11" xfId="34502"/>
    <cellStyle name="Normal 2 8 10 2" xfId="34503"/>
    <cellStyle name="Normal 2 8 10 2 2" xfId="34504"/>
    <cellStyle name="Normal 2 8 10 2 2 2" xfId="34505"/>
    <cellStyle name="Normal 2 8 10 2 2 2 2" xfId="34506"/>
    <cellStyle name="Normal 2 8 10 2 2 2 3" xfId="34507"/>
    <cellStyle name="Normal 2 8 10 2 2 3" xfId="34508"/>
    <cellStyle name="Normal 2 8 10 2 2 4" xfId="34509"/>
    <cellStyle name="Normal 2 8 10 2 2 5" xfId="34510"/>
    <cellStyle name="Normal 2 8 10 2 2 6" xfId="34511"/>
    <cellStyle name="Normal 2 8 10 2 3" xfId="34512"/>
    <cellStyle name="Normal 2 8 10 2 3 2" xfId="34513"/>
    <cellStyle name="Normal 2 8 10 2 3 2 2" xfId="34514"/>
    <cellStyle name="Normal 2 8 10 2 3 3" xfId="34515"/>
    <cellStyle name="Normal 2 8 10 2 3 4" xfId="34516"/>
    <cellStyle name="Normal 2 8 10 2 3 5" xfId="34517"/>
    <cellStyle name="Normal 2 8 10 2 4" xfId="34518"/>
    <cellStyle name="Normal 2 8 10 2 4 2" xfId="34519"/>
    <cellStyle name="Normal 2 8 10 2 4 3" xfId="34520"/>
    <cellStyle name="Normal 2 8 10 2 4 4" xfId="34521"/>
    <cellStyle name="Normal 2 8 10 2 5" xfId="34522"/>
    <cellStyle name="Normal 2 8 10 2 5 2" xfId="34523"/>
    <cellStyle name="Normal 2 8 10 2 6" xfId="34524"/>
    <cellStyle name="Normal 2 8 10 2 7" xfId="34525"/>
    <cellStyle name="Normal 2 8 10 2 8" xfId="34526"/>
    <cellStyle name="Normal 2 8 10 2 9" xfId="34527"/>
    <cellStyle name="Normal 2 8 10 3" xfId="34528"/>
    <cellStyle name="Normal 2 8 10 3 2" xfId="34529"/>
    <cellStyle name="Normal 2 8 10 3 2 2" xfId="34530"/>
    <cellStyle name="Normal 2 8 10 3 2 2 2" xfId="34531"/>
    <cellStyle name="Normal 2 8 10 3 2 2 3" xfId="34532"/>
    <cellStyle name="Normal 2 8 10 3 2 3" xfId="34533"/>
    <cellStyle name="Normal 2 8 10 3 2 4" xfId="34534"/>
    <cellStyle name="Normal 2 8 10 3 2 5" xfId="34535"/>
    <cellStyle name="Normal 2 8 10 3 2 6" xfId="34536"/>
    <cellStyle name="Normal 2 8 10 3 3" xfId="34537"/>
    <cellStyle name="Normal 2 8 10 3 3 2" xfId="34538"/>
    <cellStyle name="Normal 2 8 10 3 3 2 2" xfId="34539"/>
    <cellStyle name="Normal 2 8 10 3 3 3" xfId="34540"/>
    <cellStyle name="Normal 2 8 10 3 3 4" xfId="34541"/>
    <cellStyle name="Normal 2 8 10 3 3 5" xfId="34542"/>
    <cellStyle name="Normal 2 8 10 3 4" xfId="34543"/>
    <cellStyle name="Normal 2 8 10 3 4 2" xfId="34544"/>
    <cellStyle name="Normal 2 8 10 3 4 3" xfId="34545"/>
    <cellStyle name="Normal 2 8 10 3 4 4" xfId="34546"/>
    <cellStyle name="Normal 2 8 10 3 5" xfId="34547"/>
    <cellStyle name="Normal 2 8 10 3 5 2" xfId="34548"/>
    <cellStyle name="Normal 2 8 10 3 6" xfId="34549"/>
    <cellStyle name="Normal 2 8 10 3 7" xfId="34550"/>
    <cellStyle name="Normal 2 8 10 3 8" xfId="34551"/>
    <cellStyle name="Normal 2 8 10 3 9" xfId="34552"/>
    <cellStyle name="Normal 2 8 10 4" xfId="34553"/>
    <cellStyle name="Normal 2 8 10 4 2" xfId="34554"/>
    <cellStyle name="Normal 2 8 10 4 2 2" xfId="34555"/>
    <cellStyle name="Normal 2 8 10 4 2 3" xfId="34556"/>
    <cellStyle name="Normal 2 8 10 4 3" xfId="34557"/>
    <cellStyle name="Normal 2 8 10 4 4" xfId="34558"/>
    <cellStyle name="Normal 2 8 10 4 5" xfId="34559"/>
    <cellStyle name="Normal 2 8 10 4 6" xfId="34560"/>
    <cellStyle name="Normal 2 8 10 5" xfId="34561"/>
    <cellStyle name="Normal 2 8 10 5 2" xfId="34562"/>
    <cellStyle name="Normal 2 8 10 5 2 2" xfId="34563"/>
    <cellStyle name="Normal 2 8 10 5 3" xfId="34564"/>
    <cellStyle name="Normal 2 8 10 5 4" xfId="34565"/>
    <cellStyle name="Normal 2 8 10 5 5" xfId="34566"/>
    <cellStyle name="Normal 2 8 10 6" xfId="34567"/>
    <cellStyle name="Normal 2 8 10 6 2" xfId="34568"/>
    <cellStyle name="Normal 2 8 10 6 3" xfId="34569"/>
    <cellStyle name="Normal 2 8 10 6 4" xfId="34570"/>
    <cellStyle name="Normal 2 8 10 7" xfId="34571"/>
    <cellStyle name="Normal 2 8 10 7 2" xfId="34572"/>
    <cellStyle name="Normal 2 8 10 8" xfId="34573"/>
    <cellStyle name="Normal 2 8 10 9" xfId="34574"/>
    <cellStyle name="Normal 2 8 11" xfId="34575"/>
    <cellStyle name="Normal 2 8 11 10" xfId="34576"/>
    <cellStyle name="Normal 2 8 11 2" xfId="34577"/>
    <cellStyle name="Normal 2 8 11 2 2" xfId="34578"/>
    <cellStyle name="Normal 2 8 11 2 2 2" xfId="34579"/>
    <cellStyle name="Normal 2 8 11 2 2 3" xfId="34580"/>
    <cellStyle name="Normal 2 8 11 2 3" xfId="34581"/>
    <cellStyle name="Normal 2 8 11 2 4" xfId="34582"/>
    <cellStyle name="Normal 2 8 11 2 5" xfId="34583"/>
    <cellStyle name="Normal 2 8 11 2 6" xfId="34584"/>
    <cellStyle name="Normal 2 8 11 3" xfId="34585"/>
    <cellStyle name="Normal 2 8 11 3 2" xfId="34586"/>
    <cellStyle name="Normal 2 8 11 3 2 2" xfId="34587"/>
    <cellStyle name="Normal 2 8 11 3 2 3" xfId="34588"/>
    <cellStyle name="Normal 2 8 11 3 3" xfId="34589"/>
    <cellStyle name="Normal 2 8 11 3 4" xfId="34590"/>
    <cellStyle name="Normal 2 8 11 3 5" xfId="34591"/>
    <cellStyle name="Normal 2 8 11 3 6" xfId="34592"/>
    <cellStyle name="Normal 2 8 11 4" xfId="34593"/>
    <cellStyle name="Normal 2 8 11 4 2" xfId="34594"/>
    <cellStyle name="Normal 2 8 11 4 2 2" xfId="34595"/>
    <cellStyle name="Normal 2 8 11 4 3" xfId="34596"/>
    <cellStyle name="Normal 2 8 11 4 4" xfId="34597"/>
    <cellStyle name="Normal 2 8 11 4 5" xfId="34598"/>
    <cellStyle name="Normal 2 8 11 5" xfId="34599"/>
    <cellStyle name="Normal 2 8 11 5 2" xfId="34600"/>
    <cellStyle name="Normal 2 8 11 5 3" xfId="34601"/>
    <cellStyle name="Normal 2 8 11 5 4" xfId="34602"/>
    <cellStyle name="Normal 2 8 11 6" xfId="34603"/>
    <cellStyle name="Normal 2 8 11 6 2" xfId="34604"/>
    <cellStyle name="Normal 2 8 11 7" xfId="34605"/>
    <cellStyle name="Normal 2 8 11 8" xfId="34606"/>
    <cellStyle name="Normal 2 8 11 9" xfId="34607"/>
    <cellStyle name="Normal 2 8 12" xfId="34608"/>
    <cellStyle name="Normal 2 8 12 10" xfId="34609"/>
    <cellStyle name="Normal 2 8 12 2" xfId="34610"/>
    <cellStyle name="Normal 2 8 12 2 2" xfId="34611"/>
    <cellStyle name="Normal 2 8 12 2 2 2" xfId="34612"/>
    <cellStyle name="Normal 2 8 12 2 2 3" xfId="34613"/>
    <cellStyle name="Normal 2 8 12 2 3" xfId="34614"/>
    <cellStyle name="Normal 2 8 12 2 4" xfId="34615"/>
    <cellStyle name="Normal 2 8 12 2 5" xfId="34616"/>
    <cellStyle name="Normal 2 8 12 2 6" xfId="34617"/>
    <cellStyle name="Normal 2 8 12 3" xfId="34618"/>
    <cellStyle name="Normal 2 8 12 3 2" xfId="34619"/>
    <cellStyle name="Normal 2 8 12 3 2 2" xfId="34620"/>
    <cellStyle name="Normal 2 8 12 3 2 3" xfId="34621"/>
    <cellStyle name="Normal 2 8 12 3 3" xfId="34622"/>
    <cellStyle name="Normal 2 8 12 3 4" xfId="34623"/>
    <cellStyle name="Normal 2 8 12 3 5" xfId="34624"/>
    <cellStyle name="Normal 2 8 12 3 6" xfId="34625"/>
    <cellStyle name="Normal 2 8 12 4" xfId="34626"/>
    <cellStyle name="Normal 2 8 12 4 2" xfId="34627"/>
    <cellStyle name="Normal 2 8 12 4 2 2" xfId="34628"/>
    <cellStyle name="Normal 2 8 12 4 3" xfId="34629"/>
    <cellStyle name="Normal 2 8 12 4 4" xfId="34630"/>
    <cellStyle name="Normal 2 8 12 4 5" xfId="34631"/>
    <cellStyle name="Normal 2 8 12 5" xfId="34632"/>
    <cellStyle name="Normal 2 8 12 5 2" xfId="34633"/>
    <cellStyle name="Normal 2 8 12 5 3" xfId="34634"/>
    <cellStyle name="Normal 2 8 12 5 4" xfId="34635"/>
    <cellStyle name="Normal 2 8 12 6" xfId="34636"/>
    <cellStyle name="Normal 2 8 12 6 2" xfId="34637"/>
    <cellStyle name="Normal 2 8 12 7" xfId="34638"/>
    <cellStyle name="Normal 2 8 12 8" xfId="34639"/>
    <cellStyle name="Normal 2 8 12 9" xfId="34640"/>
    <cellStyle name="Normal 2 8 13" xfId="34641"/>
    <cellStyle name="Normal 2 8 13 10" xfId="34642"/>
    <cellStyle name="Normal 2 8 13 2" xfId="34643"/>
    <cellStyle name="Normal 2 8 13 2 2" xfId="34644"/>
    <cellStyle name="Normal 2 8 13 2 2 2" xfId="34645"/>
    <cellStyle name="Normal 2 8 13 2 2 3" xfId="34646"/>
    <cellStyle name="Normal 2 8 13 2 3" xfId="34647"/>
    <cellStyle name="Normal 2 8 13 2 4" xfId="34648"/>
    <cellStyle name="Normal 2 8 13 2 5" xfId="34649"/>
    <cellStyle name="Normal 2 8 13 2 6" xfId="34650"/>
    <cellStyle name="Normal 2 8 13 3" xfId="34651"/>
    <cellStyle name="Normal 2 8 13 3 2" xfId="34652"/>
    <cellStyle name="Normal 2 8 13 3 2 2" xfId="34653"/>
    <cellStyle name="Normal 2 8 13 3 2 3" xfId="34654"/>
    <cellStyle name="Normal 2 8 13 3 3" xfId="34655"/>
    <cellStyle name="Normal 2 8 13 3 4" xfId="34656"/>
    <cellStyle name="Normal 2 8 13 3 5" xfId="34657"/>
    <cellStyle name="Normal 2 8 13 3 6" xfId="34658"/>
    <cellStyle name="Normal 2 8 13 4" xfId="34659"/>
    <cellStyle name="Normal 2 8 13 4 2" xfId="34660"/>
    <cellStyle name="Normal 2 8 13 4 2 2" xfId="34661"/>
    <cellStyle name="Normal 2 8 13 4 3" xfId="34662"/>
    <cellStyle name="Normal 2 8 13 4 4" xfId="34663"/>
    <cellStyle name="Normal 2 8 13 4 5" xfId="34664"/>
    <cellStyle name="Normal 2 8 13 5" xfId="34665"/>
    <cellStyle name="Normal 2 8 13 5 2" xfId="34666"/>
    <cellStyle name="Normal 2 8 13 5 3" xfId="34667"/>
    <cellStyle name="Normal 2 8 13 5 4" xfId="34668"/>
    <cellStyle name="Normal 2 8 13 6" xfId="34669"/>
    <cellStyle name="Normal 2 8 13 6 2" xfId="34670"/>
    <cellStyle name="Normal 2 8 13 7" xfId="34671"/>
    <cellStyle name="Normal 2 8 13 8" xfId="34672"/>
    <cellStyle name="Normal 2 8 13 9" xfId="34673"/>
    <cellStyle name="Normal 2 8 14" xfId="34674"/>
    <cellStyle name="Normal 2 8 14 10" xfId="34675"/>
    <cellStyle name="Normal 2 8 14 2" xfId="34676"/>
    <cellStyle name="Normal 2 8 14 2 2" xfId="34677"/>
    <cellStyle name="Normal 2 8 14 2 2 2" xfId="34678"/>
    <cellStyle name="Normal 2 8 14 2 2 3" xfId="34679"/>
    <cellStyle name="Normal 2 8 14 2 3" xfId="34680"/>
    <cellStyle name="Normal 2 8 14 2 4" xfId="34681"/>
    <cellStyle name="Normal 2 8 14 2 5" xfId="34682"/>
    <cellStyle name="Normal 2 8 14 2 6" xfId="34683"/>
    <cellStyle name="Normal 2 8 14 3" xfId="34684"/>
    <cellStyle name="Normal 2 8 14 3 2" xfId="34685"/>
    <cellStyle name="Normal 2 8 14 3 2 2" xfId="34686"/>
    <cellStyle name="Normal 2 8 14 3 2 3" xfId="34687"/>
    <cellStyle name="Normal 2 8 14 3 3" xfId="34688"/>
    <cellStyle name="Normal 2 8 14 3 4" xfId="34689"/>
    <cellStyle name="Normal 2 8 14 3 5" xfId="34690"/>
    <cellStyle name="Normal 2 8 14 3 6" xfId="34691"/>
    <cellStyle name="Normal 2 8 14 4" xfId="34692"/>
    <cellStyle name="Normal 2 8 14 4 2" xfId="34693"/>
    <cellStyle name="Normal 2 8 14 4 2 2" xfId="34694"/>
    <cellStyle name="Normal 2 8 14 4 3" xfId="34695"/>
    <cellStyle name="Normal 2 8 14 4 4" xfId="34696"/>
    <cellStyle name="Normal 2 8 14 4 5" xfId="34697"/>
    <cellStyle name="Normal 2 8 14 5" xfId="34698"/>
    <cellStyle name="Normal 2 8 14 5 2" xfId="34699"/>
    <cellStyle name="Normal 2 8 14 5 3" xfId="34700"/>
    <cellStyle name="Normal 2 8 14 5 4" xfId="34701"/>
    <cellStyle name="Normal 2 8 14 6" xfId="34702"/>
    <cellStyle name="Normal 2 8 14 6 2" xfId="34703"/>
    <cellStyle name="Normal 2 8 14 7" xfId="34704"/>
    <cellStyle name="Normal 2 8 14 8" xfId="34705"/>
    <cellStyle name="Normal 2 8 14 9" xfId="34706"/>
    <cellStyle name="Normal 2 8 15" xfId="34707"/>
    <cellStyle name="Normal 2 8 15 10" xfId="34708"/>
    <cellStyle name="Normal 2 8 15 2" xfId="34709"/>
    <cellStyle name="Normal 2 8 15 2 2" xfId="34710"/>
    <cellStyle name="Normal 2 8 15 2 2 2" xfId="34711"/>
    <cellStyle name="Normal 2 8 15 2 2 3" xfId="34712"/>
    <cellStyle name="Normal 2 8 15 2 3" xfId="34713"/>
    <cellStyle name="Normal 2 8 15 2 4" xfId="34714"/>
    <cellStyle name="Normal 2 8 15 2 5" xfId="34715"/>
    <cellStyle name="Normal 2 8 15 2 6" xfId="34716"/>
    <cellStyle name="Normal 2 8 15 3" xfId="34717"/>
    <cellStyle name="Normal 2 8 15 3 2" xfId="34718"/>
    <cellStyle name="Normal 2 8 15 3 2 2" xfId="34719"/>
    <cellStyle name="Normal 2 8 15 3 2 3" xfId="34720"/>
    <cellStyle name="Normal 2 8 15 3 3" xfId="34721"/>
    <cellStyle name="Normal 2 8 15 3 4" xfId="34722"/>
    <cellStyle name="Normal 2 8 15 3 5" xfId="34723"/>
    <cellStyle name="Normal 2 8 15 3 6" xfId="34724"/>
    <cellStyle name="Normal 2 8 15 4" xfId="34725"/>
    <cellStyle name="Normal 2 8 15 4 2" xfId="34726"/>
    <cellStyle name="Normal 2 8 15 4 2 2" xfId="34727"/>
    <cellStyle name="Normal 2 8 15 4 3" xfId="34728"/>
    <cellStyle name="Normal 2 8 15 4 4" xfId="34729"/>
    <cellStyle name="Normal 2 8 15 4 5" xfId="34730"/>
    <cellStyle name="Normal 2 8 15 5" xfId="34731"/>
    <cellStyle name="Normal 2 8 15 5 2" xfId="34732"/>
    <cellStyle name="Normal 2 8 15 5 3" xfId="34733"/>
    <cellStyle name="Normal 2 8 15 5 4" xfId="34734"/>
    <cellStyle name="Normal 2 8 15 6" xfId="34735"/>
    <cellStyle name="Normal 2 8 15 6 2" xfId="34736"/>
    <cellStyle name="Normal 2 8 15 7" xfId="34737"/>
    <cellStyle name="Normal 2 8 15 8" xfId="34738"/>
    <cellStyle name="Normal 2 8 15 9" xfId="34739"/>
    <cellStyle name="Normal 2 8 16" xfId="34740"/>
    <cellStyle name="Normal 2 8 16 10" xfId="34741"/>
    <cellStyle name="Normal 2 8 16 2" xfId="34742"/>
    <cellStyle name="Normal 2 8 16 2 2" xfId="34743"/>
    <cellStyle name="Normal 2 8 16 2 2 2" xfId="34744"/>
    <cellStyle name="Normal 2 8 16 2 2 3" xfId="34745"/>
    <cellStyle name="Normal 2 8 16 2 3" xfId="34746"/>
    <cellStyle name="Normal 2 8 16 2 4" xfId="34747"/>
    <cellStyle name="Normal 2 8 16 2 5" xfId="34748"/>
    <cellStyle name="Normal 2 8 16 2 6" xfId="34749"/>
    <cellStyle name="Normal 2 8 16 3" xfId="34750"/>
    <cellStyle name="Normal 2 8 16 3 2" xfId="34751"/>
    <cellStyle name="Normal 2 8 16 3 2 2" xfId="34752"/>
    <cellStyle name="Normal 2 8 16 3 2 3" xfId="34753"/>
    <cellStyle name="Normal 2 8 16 3 3" xfId="34754"/>
    <cellStyle name="Normal 2 8 16 3 4" xfId="34755"/>
    <cellStyle name="Normal 2 8 16 3 5" xfId="34756"/>
    <cellStyle name="Normal 2 8 16 3 6" xfId="34757"/>
    <cellStyle name="Normal 2 8 16 4" xfId="34758"/>
    <cellStyle name="Normal 2 8 16 4 2" xfId="34759"/>
    <cellStyle name="Normal 2 8 16 4 2 2" xfId="34760"/>
    <cellStyle name="Normal 2 8 16 4 3" xfId="34761"/>
    <cellStyle name="Normal 2 8 16 4 4" xfId="34762"/>
    <cellStyle name="Normal 2 8 16 4 5" xfId="34763"/>
    <cellStyle name="Normal 2 8 16 5" xfId="34764"/>
    <cellStyle name="Normal 2 8 16 5 2" xfId="34765"/>
    <cellStyle name="Normal 2 8 16 5 3" xfId="34766"/>
    <cellStyle name="Normal 2 8 16 5 4" xfId="34767"/>
    <cellStyle name="Normal 2 8 16 6" xfId="34768"/>
    <cellStyle name="Normal 2 8 16 6 2" xfId="34769"/>
    <cellStyle name="Normal 2 8 16 7" xfId="34770"/>
    <cellStyle name="Normal 2 8 16 8" xfId="34771"/>
    <cellStyle name="Normal 2 8 16 9" xfId="34772"/>
    <cellStyle name="Normal 2 8 17" xfId="34773"/>
    <cellStyle name="Normal 2 8 17 10" xfId="34774"/>
    <cellStyle name="Normal 2 8 17 2" xfId="34775"/>
    <cellStyle name="Normal 2 8 17 2 2" xfId="34776"/>
    <cellStyle name="Normal 2 8 17 2 2 2" xfId="34777"/>
    <cellStyle name="Normal 2 8 17 2 2 3" xfId="34778"/>
    <cellStyle name="Normal 2 8 17 2 3" xfId="34779"/>
    <cellStyle name="Normal 2 8 17 2 4" xfId="34780"/>
    <cellStyle name="Normal 2 8 17 2 5" xfId="34781"/>
    <cellStyle name="Normal 2 8 17 2 6" xfId="34782"/>
    <cellStyle name="Normal 2 8 17 3" xfId="34783"/>
    <cellStyle name="Normal 2 8 17 3 2" xfId="34784"/>
    <cellStyle name="Normal 2 8 17 3 2 2" xfId="34785"/>
    <cellStyle name="Normal 2 8 17 3 2 3" xfId="34786"/>
    <cellStyle name="Normal 2 8 17 3 3" xfId="34787"/>
    <cellStyle name="Normal 2 8 17 3 4" xfId="34788"/>
    <cellStyle name="Normal 2 8 17 3 5" xfId="34789"/>
    <cellStyle name="Normal 2 8 17 3 6" xfId="34790"/>
    <cellStyle name="Normal 2 8 17 4" xfId="34791"/>
    <cellStyle name="Normal 2 8 17 4 2" xfId="34792"/>
    <cellStyle name="Normal 2 8 17 4 2 2" xfId="34793"/>
    <cellStyle name="Normal 2 8 17 4 3" xfId="34794"/>
    <cellStyle name="Normal 2 8 17 4 4" xfId="34795"/>
    <cellStyle name="Normal 2 8 17 4 5" xfId="34796"/>
    <cellStyle name="Normal 2 8 17 5" xfId="34797"/>
    <cellStyle name="Normal 2 8 17 5 2" xfId="34798"/>
    <cellStyle name="Normal 2 8 17 5 3" xfId="34799"/>
    <cellStyle name="Normal 2 8 17 5 4" xfId="34800"/>
    <cellStyle name="Normal 2 8 17 6" xfId="34801"/>
    <cellStyle name="Normal 2 8 17 6 2" xfId="34802"/>
    <cellStyle name="Normal 2 8 17 7" xfId="34803"/>
    <cellStyle name="Normal 2 8 17 8" xfId="34804"/>
    <cellStyle name="Normal 2 8 17 9" xfId="34805"/>
    <cellStyle name="Normal 2 8 18" xfId="34806"/>
    <cellStyle name="Normal 2 8 18 10" xfId="34807"/>
    <cellStyle name="Normal 2 8 18 2" xfId="34808"/>
    <cellStyle name="Normal 2 8 18 2 2" xfId="34809"/>
    <cellStyle name="Normal 2 8 18 2 2 2" xfId="34810"/>
    <cellStyle name="Normal 2 8 18 2 2 3" xfId="34811"/>
    <cellStyle name="Normal 2 8 18 2 3" xfId="34812"/>
    <cellStyle name="Normal 2 8 18 2 4" xfId="34813"/>
    <cellStyle name="Normal 2 8 18 2 5" xfId="34814"/>
    <cellStyle name="Normal 2 8 18 2 6" xfId="34815"/>
    <cellStyle name="Normal 2 8 18 3" xfId="34816"/>
    <cellStyle name="Normal 2 8 18 3 2" xfId="34817"/>
    <cellStyle name="Normal 2 8 18 3 2 2" xfId="34818"/>
    <cellStyle name="Normal 2 8 18 3 2 3" xfId="34819"/>
    <cellStyle name="Normal 2 8 18 3 3" xfId="34820"/>
    <cellStyle name="Normal 2 8 18 3 4" xfId="34821"/>
    <cellStyle name="Normal 2 8 18 3 5" xfId="34822"/>
    <cellStyle name="Normal 2 8 18 3 6" xfId="34823"/>
    <cellStyle name="Normal 2 8 18 4" xfId="34824"/>
    <cellStyle name="Normal 2 8 18 4 2" xfId="34825"/>
    <cellStyle name="Normal 2 8 18 4 2 2" xfId="34826"/>
    <cellStyle name="Normal 2 8 18 4 3" xfId="34827"/>
    <cellStyle name="Normal 2 8 18 4 4" xfId="34828"/>
    <cellStyle name="Normal 2 8 18 4 5" xfId="34829"/>
    <cellStyle name="Normal 2 8 18 5" xfId="34830"/>
    <cellStyle name="Normal 2 8 18 5 2" xfId="34831"/>
    <cellStyle name="Normal 2 8 18 5 3" xfId="34832"/>
    <cellStyle name="Normal 2 8 18 5 4" xfId="34833"/>
    <cellStyle name="Normal 2 8 18 6" xfId="34834"/>
    <cellStyle name="Normal 2 8 18 6 2" xfId="34835"/>
    <cellStyle name="Normal 2 8 18 7" xfId="34836"/>
    <cellStyle name="Normal 2 8 18 8" xfId="34837"/>
    <cellStyle name="Normal 2 8 18 9" xfId="34838"/>
    <cellStyle name="Normal 2 8 19" xfId="34839"/>
    <cellStyle name="Normal 2 8 19 10" xfId="34840"/>
    <cellStyle name="Normal 2 8 19 2" xfId="34841"/>
    <cellStyle name="Normal 2 8 19 2 2" xfId="34842"/>
    <cellStyle name="Normal 2 8 19 2 2 2" xfId="34843"/>
    <cellStyle name="Normal 2 8 19 2 2 3" xfId="34844"/>
    <cellStyle name="Normal 2 8 19 2 3" xfId="34845"/>
    <cellStyle name="Normal 2 8 19 2 4" xfId="34846"/>
    <cellStyle name="Normal 2 8 19 2 5" xfId="34847"/>
    <cellStyle name="Normal 2 8 19 2 6" xfId="34848"/>
    <cellStyle name="Normal 2 8 19 3" xfId="34849"/>
    <cellStyle name="Normal 2 8 19 3 2" xfId="34850"/>
    <cellStyle name="Normal 2 8 19 3 2 2" xfId="34851"/>
    <cellStyle name="Normal 2 8 19 3 2 3" xfId="34852"/>
    <cellStyle name="Normal 2 8 19 3 3" xfId="34853"/>
    <cellStyle name="Normal 2 8 19 3 4" xfId="34854"/>
    <cellStyle name="Normal 2 8 19 3 5" xfId="34855"/>
    <cellStyle name="Normal 2 8 19 3 6" xfId="34856"/>
    <cellStyle name="Normal 2 8 19 4" xfId="34857"/>
    <cellStyle name="Normal 2 8 19 4 2" xfId="34858"/>
    <cellStyle name="Normal 2 8 19 4 2 2" xfId="34859"/>
    <cellStyle name="Normal 2 8 19 4 3" xfId="34860"/>
    <cellStyle name="Normal 2 8 19 4 4" xfId="34861"/>
    <cellStyle name="Normal 2 8 19 4 5" xfId="34862"/>
    <cellStyle name="Normal 2 8 19 5" xfId="34863"/>
    <cellStyle name="Normal 2 8 19 5 2" xfId="34864"/>
    <cellStyle name="Normal 2 8 19 5 3" xfId="34865"/>
    <cellStyle name="Normal 2 8 19 5 4" xfId="34866"/>
    <cellStyle name="Normal 2 8 19 6" xfId="34867"/>
    <cellStyle name="Normal 2 8 19 6 2" xfId="34868"/>
    <cellStyle name="Normal 2 8 19 7" xfId="34869"/>
    <cellStyle name="Normal 2 8 19 8" xfId="34870"/>
    <cellStyle name="Normal 2 8 19 9" xfId="34871"/>
    <cellStyle name="Normal 2 8 2" xfId="34872"/>
    <cellStyle name="Normal 2 8 2 10" xfId="34873"/>
    <cellStyle name="Normal 2 8 2 10 10" xfId="34874"/>
    <cellStyle name="Normal 2 8 2 10 2" xfId="34875"/>
    <cellStyle name="Normal 2 8 2 10 2 2" xfId="34876"/>
    <cellStyle name="Normal 2 8 2 10 2 2 2" xfId="34877"/>
    <cellStyle name="Normal 2 8 2 10 2 2 3" xfId="34878"/>
    <cellStyle name="Normal 2 8 2 10 2 3" xfId="34879"/>
    <cellStyle name="Normal 2 8 2 10 2 4" xfId="34880"/>
    <cellStyle name="Normal 2 8 2 10 2 5" xfId="34881"/>
    <cellStyle name="Normal 2 8 2 10 2 6" xfId="34882"/>
    <cellStyle name="Normal 2 8 2 10 3" xfId="34883"/>
    <cellStyle name="Normal 2 8 2 10 3 2" xfId="34884"/>
    <cellStyle name="Normal 2 8 2 10 3 2 2" xfId="34885"/>
    <cellStyle name="Normal 2 8 2 10 3 2 3" xfId="34886"/>
    <cellStyle name="Normal 2 8 2 10 3 3" xfId="34887"/>
    <cellStyle name="Normal 2 8 2 10 3 4" xfId="34888"/>
    <cellStyle name="Normal 2 8 2 10 3 5" xfId="34889"/>
    <cellStyle name="Normal 2 8 2 10 3 6" xfId="34890"/>
    <cellStyle name="Normal 2 8 2 10 4" xfId="34891"/>
    <cellStyle name="Normal 2 8 2 10 4 2" xfId="34892"/>
    <cellStyle name="Normal 2 8 2 10 4 2 2" xfId="34893"/>
    <cellStyle name="Normal 2 8 2 10 4 3" xfId="34894"/>
    <cellStyle name="Normal 2 8 2 10 4 4" xfId="34895"/>
    <cellStyle name="Normal 2 8 2 10 4 5" xfId="34896"/>
    <cellStyle name="Normal 2 8 2 10 5" xfId="34897"/>
    <cellStyle name="Normal 2 8 2 10 5 2" xfId="34898"/>
    <cellStyle name="Normal 2 8 2 10 5 3" xfId="34899"/>
    <cellStyle name="Normal 2 8 2 10 5 4" xfId="34900"/>
    <cellStyle name="Normal 2 8 2 10 6" xfId="34901"/>
    <cellStyle name="Normal 2 8 2 10 6 2" xfId="34902"/>
    <cellStyle name="Normal 2 8 2 10 7" xfId="34903"/>
    <cellStyle name="Normal 2 8 2 10 8" xfId="34904"/>
    <cellStyle name="Normal 2 8 2 10 9" xfId="34905"/>
    <cellStyle name="Normal 2 8 2 11" xfId="34906"/>
    <cellStyle name="Normal 2 8 2 11 10" xfId="34907"/>
    <cellStyle name="Normal 2 8 2 11 2" xfId="34908"/>
    <cellStyle name="Normal 2 8 2 11 2 2" xfId="34909"/>
    <cellStyle name="Normal 2 8 2 11 2 2 2" xfId="34910"/>
    <cellStyle name="Normal 2 8 2 11 2 2 3" xfId="34911"/>
    <cellStyle name="Normal 2 8 2 11 2 3" xfId="34912"/>
    <cellStyle name="Normal 2 8 2 11 2 4" xfId="34913"/>
    <cellStyle name="Normal 2 8 2 11 2 5" xfId="34914"/>
    <cellStyle name="Normal 2 8 2 11 2 6" xfId="34915"/>
    <cellStyle name="Normal 2 8 2 11 3" xfId="34916"/>
    <cellStyle name="Normal 2 8 2 11 3 2" xfId="34917"/>
    <cellStyle name="Normal 2 8 2 11 3 2 2" xfId="34918"/>
    <cellStyle name="Normal 2 8 2 11 3 2 3" xfId="34919"/>
    <cellStyle name="Normal 2 8 2 11 3 3" xfId="34920"/>
    <cellStyle name="Normal 2 8 2 11 3 4" xfId="34921"/>
    <cellStyle name="Normal 2 8 2 11 3 5" xfId="34922"/>
    <cellStyle name="Normal 2 8 2 11 3 6" xfId="34923"/>
    <cellStyle name="Normal 2 8 2 11 4" xfId="34924"/>
    <cellStyle name="Normal 2 8 2 11 4 2" xfId="34925"/>
    <cellStyle name="Normal 2 8 2 11 4 2 2" xfId="34926"/>
    <cellStyle name="Normal 2 8 2 11 4 3" xfId="34927"/>
    <cellStyle name="Normal 2 8 2 11 4 4" xfId="34928"/>
    <cellStyle name="Normal 2 8 2 11 4 5" xfId="34929"/>
    <cellStyle name="Normal 2 8 2 11 5" xfId="34930"/>
    <cellStyle name="Normal 2 8 2 11 5 2" xfId="34931"/>
    <cellStyle name="Normal 2 8 2 11 5 3" xfId="34932"/>
    <cellStyle name="Normal 2 8 2 11 5 4" xfId="34933"/>
    <cellStyle name="Normal 2 8 2 11 6" xfId="34934"/>
    <cellStyle name="Normal 2 8 2 11 6 2" xfId="34935"/>
    <cellStyle name="Normal 2 8 2 11 7" xfId="34936"/>
    <cellStyle name="Normal 2 8 2 11 8" xfId="34937"/>
    <cellStyle name="Normal 2 8 2 11 9" xfId="34938"/>
    <cellStyle name="Normal 2 8 2 12" xfId="34939"/>
    <cellStyle name="Normal 2 8 2 12 10" xfId="34940"/>
    <cellStyle name="Normal 2 8 2 12 2" xfId="34941"/>
    <cellStyle name="Normal 2 8 2 12 2 2" xfId="34942"/>
    <cellStyle name="Normal 2 8 2 12 2 2 2" xfId="34943"/>
    <cellStyle name="Normal 2 8 2 12 2 2 3" xfId="34944"/>
    <cellStyle name="Normal 2 8 2 12 2 3" xfId="34945"/>
    <cellStyle name="Normal 2 8 2 12 2 4" xfId="34946"/>
    <cellStyle name="Normal 2 8 2 12 2 5" xfId="34947"/>
    <cellStyle name="Normal 2 8 2 12 2 6" xfId="34948"/>
    <cellStyle name="Normal 2 8 2 12 3" xfId="34949"/>
    <cellStyle name="Normal 2 8 2 12 3 2" xfId="34950"/>
    <cellStyle name="Normal 2 8 2 12 3 2 2" xfId="34951"/>
    <cellStyle name="Normal 2 8 2 12 3 2 3" xfId="34952"/>
    <cellStyle name="Normal 2 8 2 12 3 3" xfId="34953"/>
    <cellStyle name="Normal 2 8 2 12 3 4" xfId="34954"/>
    <cellStyle name="Normal 2 8 2 12 3 5" xfId="34955"/>
    <cellStyle name="Normal 2 8 2 12 3 6" xfId="34956"/>
    <cellStyle name="Normal 2 8 2 12 4" xfId="34957"/>
    <cellStyle name="Normal 2 8 2 12 4 2" xfId="34958"/>
    <cellStyle name="Normal 2 8 2 12 4 2 2" xfId="34959"/>
    <cellStyle name="Normal 2 8 2 12 4 3" xfId="34960"/>
    <cellStyle name="Normal 2 8 2 12 4 4" xfId="34961"/>
    <cellStyle name="Normal 2 8 2 12 4 5" xfId="34962"/>
    <cellStyle name="Normal 2 8 2 12 5" xfId="34963"/>
    <cellStyle name="Normal 2 8 2 12 5 2" xfId="34964"/>
    <cellStyle name="Normal 2 8 2 12 5 3" xfId="34965"/>
    <cellStyle name="Normal 2 8 2 12 5 4" xfId="34966"/>
    <cellStyle name="Normal 2 8 2 12 6" xfId="34967"/>
    <cellStyle name="Normal 2 8 2 12 6 2" xfId="34968"/>
    <cellStyle name="Normal 2 8 2 12 7" xfId="34969"/>
    <cellStyle name="Normal 2 8 2 12 8" xfId="34970"/>
    <cellStyle name="Normal 2 8 2 12 9" xfId="34971"/>
    <cellStyle name="Normal 2 8 2 13" xfId="34972"/>
    <cellStyle name="Normal 2 8 2 13 2" xfId="34973"/>
    <cellStyle name="Normal 2 8 2 13 2 2" xfId="34974"/>
    <cellStyle name="Normal 2 8 2 13 2 2 2" xfId="34975"/>
    <cellStyle name="Normal 2 8 2 13 2 2 3" xfId="34976"/>
    <cellStyle name="Normal 2 8 2 13 2 3" xfId="34977"/>
    <cellStyle name="Normal 2 8 2 13 2 4" xfId="34978"/>
    <cellStyle name="Normal 2 8 2 13 2 5" xfId="34979"/>
    <cellStyle name="Normal 2 8 2 13 2 6" xfId="34980"/>
    <cellStyle name="Normal 2 8 2 13 3" xfId="34981"/>
    <cellStyle name="Normal 2 8 2 13 3 2" xfId="34982"/>
    <cellStyle name="Normal 2 8 2 13 3 2 2" xfId="34983"/>
    <cellStyle name="Normal 2 8 2 13 3 3" xfId="34984"/>
    <cellStyle name="Normal 2 8 2 13 3 4" xfId="34985"/>
    <cellStyle name="Normal 2 8 2 13 3 5" xfId="34986"/>
    <cellStyle name="Normal 2 8 2 13 4" xfId="34987"/>
    <cellStyle name="Normal 2 8 2 13 4 2" xfId="34988"/>
    <cellStyle name="Normal 2 8 2 13 4 3" xfId="34989"/>
    <cellStyle name="Normal 2 8 2 13 4 4" xfId="34990"/>
    <cellStyle name="Normal 2 8 2 13 5" xfId="34991"/>
    <cellStyle name="Normal 2 8 2 13 5 2" xfId="34992"/>
    <cellStyle name="Normal 2 8 2 13 6" xfId="34993"/>
    <cellStyle name="Normal 2 8 2 13 7" xfId="34994"/>
    <cellStyle name="Normal 2 8 2 13 8" xfId="34995"/>
    <cellStyle name="Normal 2 8 2 13 9" xfId="34996"/>
    <cellStyle name="Normal 2 8 2 14" xfId="34997"/>
    <cellStyle name="Normal 2 8 2 14 2" xfId="34998"/>
    <cellStyle name="Normal 2 8 2 14 2 2" xfId="34999"/>
    <cellStyle name="Normal 2 8 2 14 2 2 2" xfId="35000"/>
    <cellStyle name="Normal 2 8 2 14 2 2 3" xfId="35001"/>
    <cellStyle name="Normal 2 8 2 14 2 3" xfId="35002"/>
    <cellStyle name="Normal 2 8 2 14 2 4" xfId="35003"/>
    <cellStyle name="Normal 2 8 2 14 2 5" xfId="35004"/>
    <cellStyle name="Normal 2 8 2 14 2 6" xfId="35005"/>
    <cellStyle name="Normal 2 8 2 14 3" xfId="35006"/>
    <cellStyle name="Normal 2 8 2 14 3 2" xfId="35007"/>
    <cellStyle name="Normal 2 8 2 14 3 2 2" xfId="35008"/>
    <cellStyle name="Normal 2 8 2 14 3 3" xfId="35009"/>
    <cellStyle name="Normal 2 8 2 14 3 4" xfId="35010"/>
    <cellStyle name="Normal 2 8 2 14 3 5" xfId="35011"/>
    <cellStyle name="Normal 2 8 2 14 4" xfId="35012"/>
    <cellStyle name="Normal 2 8 2 14 4 2" xfId="35013"/>
    <cellStyle name="Normal 2 8 2 14 4 3" xfId="35014"/>
    <cellStyle name="Normal 2 8 2 14 4 4" xfId="35015"/>
    <cellStyle name="Normal 2 8 2 14 5" xfId="35016"/>
    <cellStyle name="Normal 2 8 2 14 5 2" xfId="35017"/>
    <cellStyle name="Normal 2 8 2 14 6" xfId="35018"/>
    <cellStyle name="Normal 2 8 2 14 7" xfId="35019"/>
    <cellStyle name="Normal 2 8 2 14 8" xfId="35020"/>
    <cellStyle name="Normal 2 8 2 14 9" xfId="35021"/>
    <cellStyle name="Normal 2 8 2 15" xfId="35022"/>
    <cellStyle name="Normal 2 8 2 15 2" xfId="35023"/>
    <cellStyle name="Normal 2 8 2 15 2 2" xfId="35024"/>
    <cellStyle name="Normal 2 8 2 15 2 3" xfId="35025"/>
    <cellStyle name="Normal 2 8 2 15 3" xfId="35026"/>
    <cellStyle name="Normal 2 8 2 15 4" xfId="35027"/>
    <cellStyle name="Normal 2 8 2 15 5" xfId="35028"/>
    <cellStyle name="Normal 2 8 2 15 6" xfId="35029"/>
    <cellStyle name="Normal 2 8 2 16" xfId="35030"/>
    <cellStyle name="Normal 2 8 2 16 2" xfId="35031"/>
    <cellStyle name="Normal 2 8 2 16 2 2" xfId="35032"/>
    <cellStyle name="Normal 2 8 2 16 3" xfId="35033"/>
    <cellStyle name="Normal 2 8 2 16 4" xfId="35034"/>
    <cellStyle name="Normal 2 8 2 16 5" xfId="35035"/>
    <cellStyle name="Normal 2 8 2 17" xfId="35036"/>
    <cellStyle name="Normal 2 8 2 17 2" xfId="35037"/>
    <cellStyle name="Normal 2 8 2 17 2 2" xfId="35038"/>
    <cellStyle name="Normal 2 8 2 17 3" xfId="35039"/>
    <cellStyle name="Normal 2 8 2 17 4" xfId="35040"/>
    <cellStyle name="Normal 2 8 2 17 5" xfId="35041"/>
    <cellStyle name="Normal 2 8 2 18" xfId="35042"/>
    <cellStyle name="Normal 2 8 2 18 2" xfId="35043"/>
    <cellStyle name="Normal 2 8 2 19" xfId="35044"/>
    <cellStyle name="Normal 2 8 2 2" xfId="35045"/>
    <cellStyle name="Normal 2 8 2 2 10" xfId="35046"/>
    <cellStyle name="Normal 2 8 2 2 11" xfId="35047"/>
    <cellStyle name="Normal 2 8 2 2 2" xfId="35048"/>
    <cellStyle name="Normal 2 8 2 2 2 2" xfId="35049"/>
    <cellStyle name="Normal 2 8 2 2 2 2 2" xfId="35050"/>
    <cellStyle name="Normal 2 8 2 2 2 2 2 2" xfId="35051"/>
    <cellStyle name="Normal 2 8 2 2 2 2 2 3" xfId="35052"/>
    <cellStyle name="Normal 2 8 2 2 2 2 3" xfId="35053"/>
    <cellStyle name="Normal 2 8 2 2 2 2 4" xfId="35054"/>
    <cellStyle name="Normal 2 8 2 2 2 2 5" xfId="35055"/>
    <cellStyle name="Normal 2 8 2 2 2 2 6" xfId="35056"/>
    <cellStyle name="Normal 2 8 2 2 2 3" xfId="35057"/>
    <cellStyle name="Normal 2 8 2 2 2 3 2" xfId="35058"/>
    <cellStyle name="Normal 2 8 2 2 2 3 2 2" xfId="35059"/>
    <cellStyle name="Normal 2 8 2 2 2 3 3" xfId="35060"/>
    <cellStyle name="Normal 2 8 2 2 2 3 4" xfId="35061"/>
    <cellStyle name="Normal 2 8 2 2 2 3 5" xfId="35062"/>
    <cellStyle name="Normal 2 8 2 2 2 4" xfId="35063"/>
    <cellStyle name="Normal 2 8 2 2 2 4 2" xfId="35064"/>
    <cellStyle name="Normal 2 8 2 2 2 4 3" xfId="35065"/>
    <cellStyle name="Normal 2 8 2 2 2 4 4" xfId="35066"/>
    <cellStyle name="Normal 2 8 2 2 2 5" xfId="35067"/>
    <cellStyle name="Normal 2 8 2 2 2 5 2" xfId="35068"/>
    <cellStyle name="Normal 2 8 2 2 2 6" xfId="35069"/>
    <cellStyle name="Normal 2 8 2 2 2 7" xfId="35070"/>
    <cellStyle name="Normal 2 8 2 2 2 8" xfId="35071"/>
    <cellStyle name="Normal 2 8 2 2 2 9" xfId="35072"/>
    <cellStyle name="Normal 2 8 2 2 3" xfId="35073"/>
    <cellStyle name="Normal 2 8 2 2 3 2" xfId="35074"/>
    <cellStyle name="Normal 2 8 2 2 3 2 2" xfId="35075"/>
    <cellStyle name="Normal 2 8 2 2 3 2 2 2" xfId="35076"/>
    <cellStyle name="Normal 2 8 2 2 3 2 2 3" xfId="35077"/>
    <cellStyle name="Normal 2 8 2 2 3 2 3" xfId="35078"/>
    <cellStyle name="Normal 2 8 2 2 3 2 4" xfId="35079"/>
    <cellStyle name="Normal 2 8 2 2 3 2 5" xfId="35080"/>
    <cellStyle name="Normal 2 8 2 2 3 2 6" xfId="35081"/>
    <cellStyle name="Normal 2 8 2 2 3 3" xfId="35082"/>
    <cellStyle name="Normal 2 8 2 2 3 3 2" xfId="35083"/>
    <cellStyle name="Normal 2 8 2 2 3 3 2 2" xfId="35084"/>
    <cellStyle name="Normal 2 8 2 2 3 3 3" xfId="35085"/>
    <cellStyle name="Normal 2 8 2 2 3 3 4" xfId="35086"/>
    <cellStyle name="Normal 2 8 2 2 3 3 5" xfId="35087"/>
    <cellStyle name="Normal 2 8 2 2 3 4" xfId="35088"/>
    <cellStyle name="Normal 2 8 2 2 3 4 2" xfId="35089"/>
    <cellStyle name="Normal 2 8 2 2 3 4 3" xfId="35090"/>
    <cellStyle name="Normal 2 8 2 2 3 4 4" xfId="35091"/>
    <cellStyle name="Normal 2 8 2 2 3 5" xfId="35092"/>
    <cellStyle name="Normal 2 8 2 2 3 5 2" xfId="35093"/>
    <cellStyle name="Normal 2 8 2 2 3 6" xfId="35094"/>
    <cellStyle name="Normal 2 8 2 2 3 7" xfId="35095"/>
    <cellStyle name="Normal 2 8 2 2 3 8" xfId="35096"/>
    <cellStyle name="Normal 2 8 2 2 3 9" xfId="35097"/>
    <cellStyle name="Normal 2 8 2 2 4" xfId="35098"/>
    <cellStyle name="Normal 2 8 2 2 4 2" xfId="35099"/>
    <cellStyle name="Normal 2 8 2 2 4 2 2" xfId="35100"/>
    <cellStyle name="Normal 2 8 2 2 4 2 3" xfId="35101"/>
    <cellStyle name="Normal 2 8 2 2 4 3" xfId="35102"/>
    <cellStyle name="Normal 2 8 2 2 4 4" xfId="35103"/>
    <cellStyle name="Normal 2 8 2 2 4 5" xfId="35104"/>
    <cellStyle name="Normal 2 8 2 2 4 6" xfId="35105"/>
    <cellStyle name="Normal 2 8 2 2 5" xfId="35106"/>
    <cellStyle name="Normal 2 8 2 2 5 2" xfId="35107"/>
    <cellStyle name="Normal 2 8 2 2 5 2 2" xfId="35108"/>
    <cellStyle name="Normal 2 8 2 2 5 3" xfId="35109"/>
    <cellStyle name="Normal 2 8 2 2 5 4" xfId="35110"/>
    <cellStyle name="Normal 2 8 2 2 5 5" xfId="35111"/>
    <cellStyle name="Normal 2 8 2 2 6" xfId="35112"/>
    <cellStyle name="Normal 2 8 2 2 6 2" xfId="35113"/>
    <cellStyle name="Normal 2 8 2 2 6 3" xfId="35114"/>
    <cellStyle name="Normal 2 8 2 2 6 4" xfId="35115"/>
    <cellStyle name="Normal 2 8 2 2 7" xfId="35116"/>
    <cellStyle name="Normal 2 8 2 2 7 2" xfId="35117"/>
    <cellStyle name="Normal 2 8 2 2 8" xfId="35118"/>
    <cellStyle name="Normal 2 8 2 2 9" xfId="35119"/>
    <cellStyle name="Normal 2 8 2 20" xfId="35120"/>
    <cellStyle name="Normal 2 8 2 21" xfId="35121"/>
    <cellStyle name="Normal 2 8 2 22" xfId="35122"/>
    <cellStyle name="Normal 2 8 2 3" xfId="35123"/>
    <cellStyle name="Normal 2 8 2 3 10" xfId="35124"/>
    <cellStyle name="Normal 2 8 2 3 11" xfId="35125"/>
    <cellStyle name="Normal 2 8 2 3 2" xfId="35126"/>
    <cellStyle name="Normal 2 8 2 3 2 2" xfId="35127"/>
    <cellStyle name="Normal 2 8 2 3 2 2 2" xfId="35128"/>
    <cellStyle name="Normal 2 8 2 3 2 2 2 2" xfId="35129"/>
    <cellStyle name="Normal 2 8 2 3 2 2 2 3" xfId="35130"/>
    <cellStyle name="Normal 2 8 2 3 2 2 3" xfId="35131"/>
    <cellStyle name="Normal 2 8 2 3 2 2 4" xfId="35132"/>
    <cellStyle name="Normal 2 8 2 3 2 2 5" xfId="35133"/>
    <cellStyle name="Normal 2 8 2 3 2 2 6" xfId="35134"/>
    <cellStyle name="Normal 2 8 2 3 2 3" xfId="35135"/>
    <cellStyle name="Normal 2 8 2 3 2 3 2" xfId="35136"/>
    <cellStyle name="Normal 2 8 2 3 2 3 2 2" xfId="35137"/>
    <cellStyle name="Normal 2 8 2 3 2 3 3" xfId="35138"/>
    <cellStyle name="Normal 2 8 2 3 2 3 4" xfId="35139"/>
    <cellStyle name="Normal 2 8 2 3 2 3 5" xfId="35140"/>
    <cellStyle name="Normal 2 8 2 3 2 4" xfId="35141"/>
    <cellStyle name="Normal 2 8 2 3 2 4 2" xfId="35142"/>
    <cellStyle name="Normal 2 8 2 3 2 4 3" xfId="35143"/>
    <cellStyle name="Normal 2 8 2 3 2 4 4" xfId="35144"/>
    <cellStyle name="Normal 2 8 2 3 2 5" xfId="35145"/>
    <cellStyle name="Normal 2 8 2 3 2 5 2" xfId="35146"/>
    <cellStyle name="Normal 2 8 2 3 2 6" xfId="35147"/>
    <cellStyle name="Normal 2 8 2 3 2 7" xfId="35148"/>
    <cellStyle name="Normal 2 8 2 3 2 8" xfId="35149"/>
    <cellStyle name="Normal 2 8 2 3 2 9" xfId="35150"/>
    <cellStyle name="Normal 2 8 2 3 3" xfId="35151"/>
    <cellStyle name="Normal 2 8 2 3 3 2" xfId="35152"/>
    <cellStyle name="Normal 2 8 2 3 3 2 2" xfId="35153"/>
    <cellStyle name="Normal 2 8 2 3 3 2 2 2" xfId="35154"/>
    <cellStyle name="Normal 2 8 2 3 3 2 2 3" xfId="35155"/>
    <cellStyle name="Normal 2 8 2 3 3 2 3" xfId="35156"/>
    <cellStyle name="Normal 2 8 2 3 3 2 4" xfId="35157"/>
    <cellStyle name="Normal 2 8 2 3 3 2 5" xfId="35158"/>
    <cellStyle name="Normal 2 8 2 3 3 2 6" xfId="35159"/>
    <cellStyle name="Normal 2 8 2 3 3 3" xfId="35160"/>
    <cellStyle name="Normal 2 8 2 3 3 3 2" xfId="35161"/>
    <cellStyle name="Normal 2 8 2 3 3 3 2 2" xfId="35162"/>
    <cellStyle name="Normal 2 8 2 3 3 3 3" xfId="35163"/>
    <cellStyle name="Normal 2 8 2 3 3 3 4" xfId="35164"/>
    <cellStyle name="Normal 2 8 2 3 3 3 5" xfId="35165"/>
    <cellStyle name="Normal 2 8 2 3 3 4" xfId="35166"/>
    <cellStyle name="Normal 2 8 2 3 3 4 2" xfId="35167"/>
    <cellStyle name="Normal 2 8 2 3 3 4 3" xfId="35168"/>
    <cellStyle name="Normal 2 8 2 3 3 4 4" xfId="35169"/>
    <cellStyle name="Normal 2 8 2 3 3 5" xfId="35170"/>
    <cellStyle name="Normal 2 8 2 3 3 5 2" xfId="35171"/>
    <cellStyle name="Normal 2 8 2 3 3 6" xfId="35172"/>
    <cellStyle name="Normal 2 8 2 3 3 7" xfId="35173"/>
    <cellStyle name="Normal 2 8 2 3 3 8" xfId="35174"/>
    <cellStyle name="Normal 2 8 2 3 3 9" xfId="35175"/>
    <cellStyle name="Normal 2 8 2 3 4" xfId="35176"/>
    <cellStyle name="Normal 2 8 2 3 4 2" xfId="35177"/>
    <cellStyle name="Normal 2 8 2 3 4 2 2" xfId="35178"/>
    <cellStyle name="Normal 2 8 2 3 4 2 3" xfId="35179"/>
    <cellStyle name="Normal 2 8 2 3 4 3" xfId="35180"/>
    <cellStyle name="Normal 2 8 2 3 4 4" xfId="35181"/>
    <cellStyle name="Normal 2 8 2 3 4 5" xfId="35182"/>
    <cellStyle name="Normal 2 8 2 3 4 6" xfId="35183"/>
    <cellStyle name="Normal 2 8 2 3 5" xfId="35184"/>
    <cellStyle name="Normal 2 8 2 3 5 2" xfId="35185"/>
    <cellStyle name="Normal 2 8 2 3 5 2 2" xfId="35186"/>
    <cellStyle name="Normal 2 8 2 3 5 3" xfId="35187"/>
    <cellStyle name="Normal 2 8 2 3 5 4" xfId="35188"/>
    <cellStyle name="Normal 2 8 2 3 5 5" xfId="35189"/>
    <cellStyle name="Normal 2 8 2 3 6" xfId="35190"/>
    <cellStyle name="Normal 2 8 2 3 6 2" xfId="35191"/>
    <cellStyle name="Normal 2 8 2 3 6 3" xfId="35192"/>
    <cellStyle name="Normal 2 8 2 3 6 4" xfId="35193"/>
    <cellStyle name="Normal 2 8 2 3 7" xfId="35194"/>
    <cellStyle name="Normal 2 8 2 3 7 2" xfId="35195"/>
    <cellStyle name="Normal 2 8 2 3 8" xfId="35196"/>
    <cellStyle name="Normal 2 8 2 3 9" xfId="35197"/>
    <cellStyle name="Normal 2 8 2 4" xfId="35198"/>
    <cellStyle name="Normal 2 8 2 4 10" xfId="35199"/>
    <cellStyle name="Normal 2 8 2 4 11" xfId="35200"/>
    <cellStyle name="Normal 2 8 2 4 2" xfId="35201"/>
    <cellStyle name="Normal 2 8 2 4 2 2" xfId="35202"/>
    <cellStyle name="Normal 2 8 2 4 2 2 2" xfId="35203"/>
    <cellStyle name="Normal 2 8 2 4 2 2 2 2" xfId="35204"/>
    <cellStyle name="Normal 2 8 2 4 2 2 2 3" xfId="35205"/>
    <cellStyle name="Normal 2 8 2 4 2 2 3" xfId="35206"/>
    <cellStyle name="Normal 2 8 2 4 2 2 4" xfId="35207"/>
    <cellStyle name="Normal 2 8 2 4 2 2 5" xfId="35208"/>
    <cellStyle name="Normal 2 8 2 4 2 2 6" xfId="35209"/>
    <cellStyle name="Normal 2 8 2 4 2 3" xfId="35210"/>
    <cellStyle name="Normal 2 8 2 4 2 3 2" xfId="35211"/>
    <cellStyle name="Normal 2 8 2 4 2 3 2 2" xfId="35212"/>
    <cellStyle name="Normal 2 8 2 4 2 3 3" xfId="35213"/>
    <cellStyle name="Normal 2 8 2 4 2 3 4" xfId="35214"/>
    <cellStyle name="Normal 2 8 2 4 2 3 5" xfId="35215"/>
    <cellStyle name="Normal 2 8 2 4 2 4" xfId="35216"/>
    <cellStyle name="Normal 2 8 2 4 2 4 2" xfId="35217"/>
    <cellStyle name="Normal 2 8 2 4 2 4 3" xfId="35218"/>
    <cellStyle name="Normal 2 8 2 4 2 4 4" xfId="35219"/>
    <cellStyle name="Normal 2 8 2 4 2 5" xfId="35220"/>
    <cellStyle name="Normal 2 8 2 4 2 5 2" xfId="35221"/>
    <cellStyle name="Normal 2 8 2 4 2 6" xfId="35222"/>
    <cellStyle name="Normal 2 8 2 4 2 7" xfId="35223"/>
    <cellStyle name="Normal 2 8 2 4 2 8" xfId="35224"/>
    <cellStyle name="Normal 2 8 2 4 2 9" xfId="35225"/>
    <cellStyle name="Normal 2 8 2 4 3" xfId="35226"/>
    <cellStyle name="Normal 2 8 2 4 3 2" xfId="35227"/>
    <cellStyle name="Normal 2 8 2 4 3 2 2" xfId="35228"/>
    <cellStyle name="Normal 2 8 2 4 3 2 2 2" xfId="35229"/>
    <cellStyle name="Normal 2 8 2 4 3 2 2 3" xfId="35230"/>
    <cellStyle name="Normal 2 8 2 4 3 2 3" xfId="35231"/>
    <cellStyle name="Normal 2 8 2 4 3 2 4" xfId="35232"/>
    <cellStyle name="Normal 2 8 2 4 3 2 5" xfId="35233"/>
    <cellStyle name="Normal 2 8 2 4 3 2 6" xfId="35234"/>
    <cellStyle name="Normal 2 8 2 4 3 3" xfId="35235"/>
    <cellStyle name="Normal 2 8 2 4 3 3 2" xfId="35236"/>
    <cellStyle name="Normal 2 8 2 4 3 3 2 2" xfId="35237"/>
    <cellStyle name="Normal 2 8 2 4 3 3 3" xfId="35238"/>
    <cellStyle name="Normal 2 8 2 4 3 3 4" xfId="35239"/>
    <cellStyle name="Normal 2 8 2 4 3 3 5" xfId="35240"/>
    <cellStyle name="Normal 2 8 2 4 3 4" xfId="35241"/>
    <cellStyle name="Normal 2 8 2 4 3 4 2" xfId="35242"/>
    <cellStyle name="Normal 2 8 2 4 3 4 3" xfId="35243"/>
    <cellStyle name="Normal 2 8 2 4 3 4 4" xfId="35244"/>
    <cellStyle name="Normal 2 8 2 4 3 5" xfId="35245"/>
    <cellStyle name="Normal 2 8 2 4 3 5 2" xfId="35246"/>
    <cellStyle name="Normal 2 8 2 4 3 6" xfId="35247"/>
    <cellStyle name="Normal 2 8 2 4 3 7" xfId="35248"/>
    <cellStyle name="Normal 2 8 2 4 3 8" xfId="35249"/>
    <cellStyle name="Normal 2 8 2 4 3 9" xfId="35250"/>
    <cellStyle name="Normal 2 8 2 4 4" xfId="35251"/>
    <cellStyle name="Normal 2 8 2 4 4 2" xfId="35252"/>
    <cellStyle name="Normal 2 8 2 4 4 2 2" xfId="35253"/>
    <cellStyle name="Normal 2 8 2 4 4 2 3" xfId="35254"/>
    <cellStyle name="Normal 2 8 2 4 4 3" xfId="35255"/>
    <cellStyle name="Normal 2 8 2 4 4 4" xfId="35256"/>
    <cellStyle name="Normal 2 8 2 4 4 5" xfId="35257"/>
    <cellStyle name="Normal 2 8 2 4 4 6" xfId="35258"/>
    <cellStyle name="Normal 2 8 2 4 5" xfId="35259"/>
    <cellStyle name="Normal 2 8 2 4 5 2" xfId="35260"/>
    <cellStyle name="Normal 2 8 2 4 5 2 2" xfId="35261"/>
    <cellStyle name="Normal 2 8 2 4 5 3" xfId="35262"/>
    <cellStyle name="Normal 2 8 2 4 5 4" xfId="35263"/>
    <cellStyle name="Normal 2 8 2 4 5 5" xfId="35264"/>
    <cellStyle name="Normal 2 8 2 4 6" xfId="35265"/>
    <cellStyle name="Normal 2 8 2 4 6 2" xfId="35266"/>
    <cellStyle name="Normal 2 8 2 4 6 3" xfId="35267"/>
    <cellStyle name="Normal 2 8 2 4 6 4" xfId="35268"/>
    <cellStyle name="Normal 2 8 2 4 7" xfId="35269"/>
    <cellStyle name="Normal 2 8 2 4 7 2" xfId="35270"/>
    <cellStyle name="Normal 2 8 2 4 8" xfId="35271"/>
    <cellStyle name="Normal 2 8 2 4 9" xfId="35272"/>
    <cellStyle name="Normal 2 8 2 5" xfId="35273"/>
    <cellStyle name="Normal 2 8 2 5 10" xfId="35274"/>
    <cellStyle name="Normal 2 8 2 5 11" xfId="35275"/>
    <cellStyle name="Normal 2 8 2 5 2" xfId="35276"/>
    <cellStyle name="Normal 2 8 2 5 2 2" xfId="35277"/>
    <cellStyle name="Normal 2 8 2 5 2 2 2" xfId="35278"/>
    <cellStyle name="Normal 2 8 2 5 2 2 2 2" xfId="35279"/>
    <cellStyle name="Normal 2 8 2 5 2 2 2 3" xfId="35280"/>
    <cellStyle name="Normal 2 8 2 5 2 2 3" xfId="35281"/>
    <cellStyle name="Normal 2 8 2 5 2 2 4" xfId="35282"/>
    <cellStyle name="Normal 2 8 2 5 2 2 5" xfId="35283"/>
    <cellStyle name="Normal 2 8 2 5 2 2 6" xfId="35284"/>
    <cellStyle name="Normal 2 8 2 5 2 3" xfId="35285"/>
    <cellStyle name="Normal 2 8 2 5 2 3 2" xfId="35286"/>
    <cellStyle name="Normal 2 8 2 5 2 3 2 2" xfId="35287"/>
    <cellStyle name="Normal 2 8 2 5 2 3 3" xfId="35288"/>
    <cellStyle name="Normal 2 8 2 5 2 3 4" xfId="35289"/>
    <cellStyle name="Normal 2 8 2 5 2 3 5" xfId="35290"/>
    <cellStyle name="Normal 2 8 2 5 2 4" xfId="35291"/>
    <cellStyle name="Normal 2 8 2 5 2 4 2" xfId="35292"/>
    <cellStyle name="Normal 2 8 2 5 2 4 3" xfId="35293"/>
    <cellStyle name="Normal 2 8 2 5 2 4 4" xfId="35294"/>
    <cellStyle name="Normal 2 8 2 5 2 5" xfId="35295"/>
    <cellStyle name="Normal 2 8 2 5 2 5 2" xfId="35296"/>
    <cellStyle name="Normal 2 8 2 5 2 6" xfId="35297"/>
    <cellStyle name="Normal 2 8 2 5 2 7" xfId="35298"/>
    <cellStyle name="Normal 2 8 2 5 2 8" xfId="35299"/>
    <cellStyle name="Normal 2 8 2 5 2 9" xfId="35300"/>
    <cellStyle name="Normal 2 8 2 5 3" xfId="35301"/>
    <cellStyle name="Normal 2 8 2 5 3 2" xfId="35302"/>
    <cellStyle name="Normal 2 8 2 5 3 2 2" xfId="35303"/>
    <cellStyle name="Normal 2 8 2 5 3 2 2 2" xfId="35304"/>
    <cellStyle name="Normal 2 8 2 5 3 2 2 3" xfId="35305"/>
    <cellStyle name="Normal 2 8 2 5 3 2 3" xfId="35306"/>
    <cellStyle name="Normal 2 8 2 5 3 2 4" xfId="35307"/>
    <cellStyle name="Normal 2 8 2 5 3 2 5" xfId="35308"/>
    <cellStyle name="Normal 2 8 2 5 3 2 6" xfId="35309"/>
    <cellStyle name="Normal 2 8 2 5 3 3" xfId="35310"/>
    <cellStyle name="Normal 2 8 2 5 3 3 2" xfId="35311"/>
    <cellStyle name="Normal 2 8 2 5 3 3 2 2" xfId="35312"/>
    <cellStyle name="Normal 2 8 2 5 3 3 3" xfId="35313"/>
    <cellStyle name="Normal 2 8 2 5 3 3 4" xfId="35314"/>
    <cellStyle name="Normal 2 8 2 5 3 3 5" xfId="35315"/>
    <cellStyle name="Normal 2 8 2 5 3 4" xfId="35316"/>
    <cellStyle name="Normal 2 8 2 5 3 4 2" xfId="35317"/>
    <cellStyle name="Normal 2 8 2 5 3 4 3" xfId="35318"/>
    <cellStyle name="Normal 2 8 2 5 3 4 4" xfId="35319"/>
    <cellStyle name="Normal 2 8 2 5 3 5" xfId="35320"/>
    <cellStyle name="Normal 2 8 2 5 3 5 2" xfId="35321"/>
    <cellStyle name="Normal 2 8 2 5 3 6" xfId="35322"/>
    <cellStyle name="Normal 2 8 2 5 3 7" xfId="35323"/>
    <cellStyle name="Normal 2 8 2 5 3 8" xfId="35324"/>
    <cellStyle name="Normal 2 8 2 5 3 9" xfId="35325"/>
    <cellStyle name="Normal 2 8 2 5 4" xfId="35326"/>
    <cellStyle name="Normal 2 8 2 5 4 2" xfId="35327"/>
    <cellStyle name="Normal 2 8 2 5 4 2 2" xfId="35328"/>
    <cellStyle name="Normal 2 8 2 5 4 2 3" xfId="35329"/>
    <cellStyle name="Normal 2 8 2 5 4 3" xfId="35330"/>
    <cellStyle name="Normal 2 8 2 5 4 4" xfId="35331"/>
    <cellStyle name="Normal 2 8 2 5 4 5" xfId="35332"/>
    <cellStyle name="Normal 2 8 2 5 4 6" xfId="35333"/>
    <cellStyle name="Normal 2 8 2 5 5" xfId="35334"/>
    <cellStyle name="Normal 2 8 2 5 5 2" xfId="35335"/>
    <cellStyle name="Normal 2 8 2 5 5 2 2" xfId="35336"/>
    <cellStyle name="Normal 2 8 2 5 5 3" xfId="35337"/>
    <cellStyle name="Normal 2 8 2 5 5 4" xfId="35338"/>
    <cellStyle name="Normal 2 8 2 5 5 5" xfId="35339"/>
    <cellStyle name="Normal 2 8 2 5 6" xfId="35340"/>
    <cellStyle name="Normal 2 8 2 5 6 2" xfId="35341"/>
    <cellStyle name="Normal 2 8 2 5 6 3" xfId="35342"/>
    <cellStyle name="Normal 2 8 2 5 6 4" xfId="35343"/>
    <cellStyle name="Normal 2 8 2 5 7" xfId="35344"/>
    <cellStyle name="Normal 2 8 2 5 7 2" xfId="35345"/>
    <cellStyle name="Normal 2 8 2 5 8" xfId="35346"/>
    <cellStyle name="Normal 2 8 2 5 9" xfId="35347"/>
    <cellStyle name="Normal 2 8 2 6" xfId="35348"/>
    <cellStyle name="Normal 2 8 2 6 10" xfId="35349"/>
    <cellStyle name="Normal 2 8 2 6 11" xfId="35350"/>
    <cellStyle name="Normal 2 8 2 6 2" xfId="35351"/>
    <cellStyle name="Normal 2 8 2 6 2 2" xfId="35352"/>
    <cellStyle name="Normal 2 8 2 6 2 2 2" xfId="35353"/>
    <cellStyle name="Normal 2 8 2 6 2 2 2 2" xfId="35354"/>
    <cellStyle name="Normal 2 8 2 6 2 2 2 3" xfId="35355"/>
    <cellStyle name="Normal 2 8 2 6 2 2 3" xfId="35356"/>
    <cellStyle name="Normal 2 8 2 6 2 2 4" xfId="35357"/>
    <cellStyle name="Normal 2 8 2 6 2 2 5" xfId="35358"/>
    <cellStyle name="Normal 2 8 2 6 2 2 6" xfId="35359"/>
    <cellStyle name="Normal 2 8 2 6 2 3" xfId="35360"/>
    <cellStyle name="Normal 2 8 2 6 2 3 2" xfId="35361"/>
    <cellStyle name="Normal 2 8 2 6 2 3 2 2" xfId="35362"/>
    <cellStyle name="Normal 2 8 2 6 2 3 3" xfId="35363"/>
    <cellStyle name="Normal 2 8 2 6 2 3 4" xfId="35364"/>
    <cellStyle name="Normal 2 8 2 6 2 3 5" xfId="35365"/>
    <cellStyle name="Normal 2 8 2 6 2 4" xfId="35366"/>
    <cellStyle name="Normal 2 8 2 6 2 4 2" xfId="35367"/>
    <cellStyle name="Normal 2 8 2 6 2 4 3" xfId="35368"/>
    <cellStyle name="Normal 2 8 2 6 2 4 4" xfId="35369"/>
    <cellStyle name="Normal 2 8 2 6 2 5" xfId="35370"/>
    <cellStyle name="Normal 2 8 2 6 2 5 2" xfId="35371"/>
    <cellStyle name="Normal 2 8 2 6 2 6" xfId="35372"/>
    <cellStyle name="Normal 2 8 2 6 2 7" xfId="35373"/>
    <cellStyle name="Normal 2 8 2 6 2 8" xfId="35374"/>
    <cellStyle name="Normal 2 8 2 6 2 9" xfId="35375"/>
    <cellStyle name="Normal 2 8 2 6 3" xfId="35376"/>
    <cellStyle name="Normal 2 8 2 6 3 2" xfId="35377"/>
    <cellStyle name="Normal 2 8 2 6 3 2 2" xfId="35378"/>
    <cellStyle name="Normal 2 8 2 6 3 2 2 2" xfId="35379"/>
    <cellStyle name="Normal 2 8 2 6 3 2 2 3" xfId="35380"/>
    <cellStyle name="Normal 2 8 2 6 3 2 3" xfId="35381"/>
    <cellStyle name="Normal 2 8 2 6 3 2 4" xfId="35382"/>
    <cellStyle name="Normal 2 8 2 6 3 2 5" xfId="35383"/>
    <cellStyle name="Normal 2 8 2 6 3 2 6" xfId="35384"/>
    <cellStyle name="Normal 2 8 2 6 3 3" xfId="35385"/>
    <cellStyle name="Normal 2 8 2 6 3 3 2" xfId="35386"/>
    <cellStyle name="Normal 2 8 2 6 3 3 2 2" xfId="35387"/>
    <cellStyle name="Normal 2 8 2 6 3 3 3" xfId="35388"/>
    <cellStyle name="Normal 2 8 2 6 3 3 4" xfId="35389"/>
    <cellStyle name="Normal 2 8 2 6 3 3 5" xfId="35390"/>
    <cellStyle name="Normal 2 8 2 6 3 4" xfId="35391"/>
    <cellStyle name="Normal 2 8 2 6 3 4 2" xfId="35392"/>
    <cellStyle name="Normal 2 8 2 6 3 4 3" xfId="35393"/>
    <cellStyle name="Normal 2 8 2 6 3 4 4" xfId="35394"/>
    <cellStyle name="Normal 2 8 2 6 3 5" xfId="35395"/>
    <cellStyle name="Normal 2 8 2 6 3 5 2" xfId="35396"/>
    <cellStyle name="Normal 2 8 2 6 3 6" xfId="35397"/>
    <cellStyle name="Normal 2 8 2 6 3 7" xfId="35398"/>
    <cellStyle name="Normal 2 8 2 6 3 8" xfId="35399"/>
    <cellStyle name="Normal 2 8 2 6 3 9" xfId="35400"/>
    <cellStyle name="Normal 2 8 2 6 4" xfId="35401"/>
    <cellStyle name="Normal 2 8 2 6 4 2" xfId="35402"/>
    <cellStyle name="Normal 2 8 2 6 4 2 2" xfId="35403"/>
    <cellStyle name="Normal 2 8 2 6 4 2 3" xfId="35404"/>
    <cellStyle name="Normal 2 8 2 6 4 3" xfId="35405"/>
    <cellStyle name="Normal 2 8 2 6 4 4" xfId="35406"/>
    <cellStyle name="Normal 2 8 2 6 4 5" xfId="35407"/>
    <cellStyle name="Normal 2 8 2 6 4 6" xfId="35408"/>
    <cellStyle name="Normal 2 8 2 6 5" xfId="35409"/>
    <cellStyle name="Normal 2 8 2 6 5 2" xfId="35410"/>
    <cellStyle name="Normal 2 8 2 6 5 2 2" xfId="35411"/>
    <cellStyle name="Normal 2 8 2 6 5 3" xfId="35412"/>
    <cellStyle name="Normal 2 8 2 6 5 4" xfId="35413"/>
    <cellStyle name="Normal 2 8 2 6 5 5" xfId="35414"/>
    <cellStyle name="Normal 2 8 2 6 6" xfId="35415"/>
    <cellStyle name="Normal 2 8 2 6 6 2" xfId="35416"/>
    <cellStyle name="Normal 2 8 2 6 6 3" xfId="35417"/>
    <cellStyle name="Normal 2 8 2 6 6 4" xfId="35418"/>
    <cellStyle name="Normal 2 8 2 6 7" xfId="35419"/>
    <cellStyle name="Normal 2 8 2 6 7 2" xfId="35420"/>
    <cellStyle name="Normal 2 8 2 6 8" xfId="35421"/>
    <cellStyle name="Normal 2 8 2 6 9" xfId="35422"/>
    <cellStyle name="Normal 2 8 2 7" xfId="35423"/>
    <cellStyle name="Normal 2 8 2 7 10" xfId="35424"/>
    <cellStyle name="Normal 2 8 2 7 11" xfId="35425"/>
    <cellStyle name="Normal 2 8 2 7 2" xfId="35426"/>
    <cellStyle name="Normal 2 8 2 7 2 2" xfId="35427"/>
    <cellStyle name="Normal 2 8 2 7 2 2 2" xfId="35428"/>
    <cellStyle name="Normal 2 8 2 7 2 2 2 2" xfId="35429"/>
    <cellStyle name="Normal 2 8 2 7 2 2 2 3" xfId="35430"/>
    <cellStyle name="Normal 2 8 2 7 2 2 3" xfId="35431"/>
    <cellStyle name="Normal 2 8 2 7 2 2 4" xfId="35432"/>
    <cellStyle name="Normal 2 8 2 7 2 2 5" xfId="35433"/>
    <cellStyle name="Normal 2 8 2 7 2 2 6" xfId="35434"/>
    <cellStyle name="Normal 2 8 2 7 2 3" xfId="35435"/>
    <cellStyle name="Normal 2 8 2 7 2 3 2" xfId="35436"/>
    <cellStyle name="Normal 2 8 2 7 2 3 2 2" xfId="35437"/>
    <cellStyle name="Normal 2 8 2 7 2 3 3" xfId="35438"/>
    <cellStyle name="Normal 2 8 2 7 2 3 4" xfId="35439"/>
    <cellStyle name="Normal 2 8 2 7 2 3 5" xfId="35440"/>
    <cellStyle name="Normal 2 8 2 7 2 4" xfId="35441"/>
    <cellStyle name="Normal 2 8 2 7 2 4 2" xfId="35442"/>
    <cellStyle name="Normal 2 8 2 7 2 4 3" xfId="35443"/>
    <cellStyle name="Normal 2 8 2 7 2 4 4" xfId="35444"/>
    <cellStyle name="Normal 2 8 2 7 2 5" xfId="35445"/>
    <cellStyle name="Normal 2 8 2 7 2 5 2" xfId="35446"/>
    <cellStyle name="Normal 2 8 2 7 2 6" xfId="35447"/>
    <cellStyle name="Normal 2 8 2 7 2 7" xfId="35448"/>
    <cellStyle name="Normal 2 8 2 7 2 8" xfId="35449"/>
    <cellStyle name="Normal 2 8 2 7 2 9" xfId="35450"/>
    <cellStyle name="Normal 2 8 2 7 3" xfId="35451"/>
    <cellStyle name="Normal 2 8 2 7 3 2" xfId="35452"/>
    <cellStyle name="Normal 2 8 2 7 3 2 2" xfId="35453"/>
    <cellStyle name="Normal 2 8 2 7 3 2 2 2" xfId="35454"/>
    <cellStyle name="Normal 2 8 2 7 3 2 2 3" xfId="35455"/>
    <cellStyle name="Normal 2 8 2 7 3 2 3" xfId="35456"/>
    <cellStyle name="Normal 2 8 2 7 3 2 4" xfId="35457"/>
    <cellStyle name="Normal 2 8 2 7 3 2 5" xfId="35458"/>
    <cellStyle name="Normal 2 8 2 7 3 2 6" xfId="35459"/>
    <cellStyle name="Normal 2 8 2 7 3 3" xfId="35460"/>
    <cellStyle name="Normal 2 8 2 7 3 3 2" xfId="35461"/>
    <cellStyle name="Normal 2 8 2 7 3 3 2 2" xfId="35462"/>
    <cellStyle name="Normal 2 8 2 7 3 3 3" xfId="35463"/>
    <cellStyle name="Normal 2 8 2 7 3 3 4" xfId="35464"/>
    <cellStyle name="Normal 2 8 2 7 3 3 5" xfId="35465"/>
    <cellStyle name="Normal 2 8 2 7 3 4" xfId="35466"/>
    <cellStyle name="Normal 2 8 2 7 3 4 2" xfId="35467"/>
    <cellStyle name="Normal 2 8 2 7 3 4 3" xfId="35468"/>
    <cellStyle name="Normal 2 8 2 7 3 4 4" xfId="35469"/>
    <cellStyle name="Normal 2 8 2 7 3 5" xfId="35470"/>
    <cellStyle name="Normal 2 8 2 7 3 5 2" xfId="35471"/>
    <cellStyle name="Normal 2 8 2 7 3 6" xfId="35472"/>
    <cellStyle name="Normal 2 8 2 7 3 7" xfId="35473"/>
    <cellStyle name="Normal 2 8 2 7 3 8" xfId="35474"/>
    <cellStyle name="Normal 2 8 2 7 3 9" xfId="35475"/>
    <cellStyle name="Normal 2 8 2 7 4" xfId="35476"/>
    <cellStyle name="Normal 2 8 2 7 4 2" xfId="35477"/>
    <cellStyle name="Normal 2 8 2 7 4 2 2" xfId="35478"/>
    <cellStyle name="Normal 2 8 2 7 4 2 3" xfId="35479"/>
    <cellStyle name="Normal 2 8 2 7 4 3" xfId="35480"/>
    <cellStyle name="Normal 2 8 2 7 4 4" xfId="35481"/>
    <cellStyle name="Normal 2 8 2 7 4 5" xfId="35482"/>
    <cellStyle name="Normal 2 8 2 7 4 6" xfId="35483"/>
    <cellStyle name="Normal 2 8 2 7 5" xfId="35484"/>
    <cellStyle name="Normal 2 8 2 7 5 2" xfId="35485"/>
    <cellStyle name="Normal 2 8 2 7 5 2 2" xfId="35486"/>
    <cellStyle name="Normal 2 8 2 7 5 3" xfId="35487"/>
    <cellStyle name="Normal 2 8 2 7 5 4" xfId="35488"/>
    <cellStyle name="Normal 2 8 2 7 5 5" xfId="35489"/>
    <cellStyle name="Normal 2 8 2 7 6" xfId="35490"/>
    <cellStyle name="Normal 2 8 2 7 6 2" xfId="35491"/>
    <cellStyle name="Normal 2 8 2 7 6 3" xfId="35492"/>
    <cellStyle name="Normal 2 8 2 7 6 4" xfId="35493"/>
    <cellStyle name="Normal 2 8 2 7 7" xfId="35494"/>
    <cellStyle name="Normal 2 8 2 7 7 2" xfId="35495"/>
    <cellStyle name="Normal 2 8 2 7 8" xfId="35496"/>
    <cellStyle name="Normal 2 8 2 7 9" xfId="35497"/>
    <cellStyle name="Normal 2 8 2 8" xfId="35498"/>
    <cellStyle name="Normal 2 8 2 8 10" xfId="35499"/>
    <cellStyle name="Normal 2 8 2 8 2" xfId="35500"/>
    <cellStyle name="Normal 2 8 2 8 2 2" xfId="35501"/>
    <cellStyle name="Normal 2 8 2 8 2 2 2" xfId="35502"/>
    <cellStyle name="Normal 2 8 2 8 2 2 3" xfId="35503"/>
    <cellStyle name="Normal 2 8 2 8 2 3" xfId="35504"/>
    <cellStyle name="Normal 2 8 2 8 2 4" xfId="35505"/>
    <cellStyle name="Normal 2 8 2 8 2 5" xfId="35506"/>
    <cellStyle name="Normal 2 8 2 8 2 6" xfId="35507"/>
    <cellStyle name="Normal 2 8 2 8 3" xfId="35508"/>
    <cellStyle name="Normal 2 8 2 8 3 2" xfId="35509"/>
    <cellStyle name="Normal 2 8 2 8 3 2 2" xfId="35510"/>
    <cellStyle name="Normal 2 8 2 8 3 2 3" xfId="35511"/>
    <cellStyle name="Normal 2 8 2 8 3 3" xfId="35512"/>
    <cellStyle name="Normal 2 8 2 8 3 4" xfId="35513"/>
    <cellStyle name="Normal 2 8 2 8 3 5" xfId="35514"/>
    <cellStyle name="Normal 2 8 2 8 3 6" xfId="35515"/>
    <cellStyle name="Normal 2 8 2 8 4" xfId="35516"/>
    <cellStyle name="Normal 2 8 2 8 4 2" xfId="35517"/>
    <cellStyle name="Normal 2 8 2 8 4 2 2" xfId="35518"/>
    <cellStyle name="Normal 2 8 2 8 4 3" xfId="35519"/>
    <cellStyle name="Normal 2 8 2 8 4 4" xfId="35520"/>
    <cellStyle name="Normal 2 8 2 8 4 5" xfId="35521"/>
    <cellStyle name="Normal 2 8 2 8 5" xfId="35522"/>
    <cellStyle name="Normal 2 8 2 8 5 2" xfId="35523"/>
    <cellStyle name="Normal 2 8 2 8 5 3" xfId="35524"/>
    <cellStyle name="Normal 2 8 2 8 5 4" xfId="35525"/>
    <cellStyle name="Normal 2 8 2 8 6" xfId="35526"/>
    <cellStyle name="Normal 2 8 2 8 6 2" xfId="35527"/>
    <cellStyle name="Normal 2 8 2 8 7" xfId="35528"/>
    <cellStyle name="Normal 2 8 2 8 8" xfId="35529"/>
    <cellStyle name="Normal 2 8 2 8 9" xfId="35530"/>
    <cellStyle name="Normal 2 8 2 9" xfId="35531"/>
    <cellStyle name="Normal 2 8 2 9 10" xfId="35532"/>
    <cellStyle name="Normal 2 8 2 9 2" xfId="35533"/>
    <cellStyle name="Normal 2 8 2 9 2 2" xfId="35534"/>
    <cellStyle name="Normal 2 8 2 9 2 2 2" xfId="35535"/>
    <cellStyle name="Normal 2 8 2 9 2 2 3" xfId="35536"/>
    <cellStyle name="Normal 2 8 2 9 2 3" xfId="35537"/>
    <cellStyle name="Normal 2 8 2 9 2 4" xfId="35538"/>
    <cellStyle name="Normal 2 8 2 9 2 5" xfId="35539"/>
    <cellStyle name="Normal 2 8 2 9 2 6" xfId="35540"/>
    <cellStyle name="Normal 2 8 2 9 3" xfId="35541"/>
    <cellStyle name="Normal 2 8 2 9 3 2" xfId="35542"/>
    <cellStyle name="Normal 2 8 2 9 3 2 2" xfId="35543"/>
    <cellStyle name="Normal 2 8 2 9 3 2 3" xfId="35544"/>
    <cellStyle name="Normal 2 8 2 9 3 3" xfId="35545"/>
    <cellStyle name="Normal 2 8 2 9 3 4" xfId="35546"/>
    <cellStyle name="Normal 2 8 2 9 3 5" xfId="35547"/>
    <cellStyle name="Normal 2 8 2 9 3 6" xfId="35548"/>
    <cellStyle name="Normal 2 8 2 9 4" xfId="35549"/>
    <cellStyle name="Normal 2 8 2 9 4 2" xfId="35550"/>
    <cellStyle name="Normal 2 8 2 9 4 2 2" xfId="35551"/>
    <cellStyle name="Normal 2 8 2 9 4 3" xfId="35552"/>
    <cellStyle name="Normal 2 8 2 9 4 4" xfId="35553"/>
    <cellStyle name="Normal 2 8 2 9 4 5" xfId="35554"/>
    <cellStyle name="Normal 2 8 2 9 5" xfId="35555"/>
    <cellStyle name="Normal 2 8 2 9 5 2" xfId="35556"/>
    <cellStyle name="Normal 2 8 2 9 5 3" xfId="35557"/>
    <cellStyle name="Normal 2 8 2 9 5 4" xfId="35558"/>
    <cellStyle name="Normal 2 8 2 9 6" xfId="35559"/>
    <cellStyle name="Normal 2 8 2 9 6 2" xfId="35560"/>
    <cellStyle name="Normal 2 8 2 9 7" xfId="35561"/>
    <cellStyle name="Normal 2 8 2 9 8" xfId="35562"/>
    <cellStyle name="Normal 2 8 2 9 9" xfId="35563"/>
    <cellStyle name="Normal 2 8 20" xfId="35564"/>
    <cellStyle name="Normal 2 8 20 10" xfId="35565"/>
    <cellStyle name="Normal 2 8 20 2" xfId="35566"/>
    <cellStyle name="Normal 2 8 20 2 2" xfId="35567"/>
    <cellStyle name="Normal 2 8 20 2 2 2" xfId="35568"/>
    <cellStyle name="Normal 2 8 20 2 2 3" xfId="35569"/>
    <cellStyle name="Normal 2 8 20 2 3" xfId="35570"/>
    <cellStyle name="Normal 2 8 20 2 4" xfId="35571"/>
    <cellStyle name="Normal 2 8 20 2 5" xfId="35572"/>
    <cellStyle name="Normal 2 8 20 2 6" xfId="35573"/>
    <cellStyle name="Normal 2 8 20 3" xfId="35574"/>
    <cellStyle name="Normal 2 8 20 3 2" xfId="35575"/>
    <cellStyle name="Normal 2 8 20 3 2 2" xfId="35576"/>
    <cellStyle name="Normal 2 8 20 3 2 3" xfId="35577"/>
    <cellStyle name="Normal 2 8 20 3 3" xfId="35578"/>
    <cellStyle name="Normal 2 8 20 3 4" xfId="35579"/>
    <cellStyle name="Normal 2 8 20 3 5" xfId="35580"/>
    <cellStyle name="Normal 2 8 20 3 6" xfId="35581"/>
    <cellStyle name="Normal 2 8 20 4" xfId="35582"/>
    <cellStyle name="Normal 2 8 20 4 2" xfId="35583"/>
    <cellStyle name="Normal 2 8 20 4 2 2" xfId="35584"/>
    <cellStyle name="Normal 2 8 20 4 3" xfId="35585"/>
    <cellStyle name="Normal 2 8 20 4 4" xfId="35586"/>
    <cellStyle name="Normal 2 8 20 4 5" xfId="35587"/>
    <cellStyle name="Normal 2 8 20 5" xfId="35588"/>
    <cellStyle name="Normal 2 8 20 5 2" xfId="35589"/>
    <cellStyle name="Normal 2 8 20 5 3" xfId="35590"/>
    <cellStyle name="Normal 2 8 20 5 4" xfId="35591"/>
    <cellStyle name="Normal 2 8 20 6" xfId="35592"/>
    <cellStyle name="Normal 2 8 20 6 2" xfId="35593"/>
    <cellStyle name="Normal 2 8 20 7" xfId="35594"/>
    <cellStyle name="Normal 2 8 20 8" xfId="35595"/>
    <cellStyle name="Normal 2 8 20 9" xfId="35596"/>
    <cellStyle name="Normal 2 8 21" xfId="35597"/>
    <cellStyle name="Normal 2 8 21 10" xfId="35598"/>
    <cellStyle name="Normal 2 8 21 2" xfId="35599"/>
    <cellStyle name="Normal 2 8 21 2 2" xfId="35600"/>
    <cellStyle name="Normal 2 8 21 2 2 2" xfId="35601"/>
    <cellStyle name="Normal 2 8 21 2 2 3" xfId="35602"/>
    <cellStyle name="Normal 2 8 21 2 3" xfId="35603"/>
    <cellStyle name="Normal 2 8 21 2 4" xfId="35604"/>
    <cellStyle name="Normal 2 8 21 2 5" xfId="35605"/>
    <cellStyle name="Normal 2 8 21 2 6" xfId="35606"/>
    <cellStyle name="Normal 2 8 21 3" xfId="35607"/>
    <cellStyle name="Normal 2 8 21 3 2" xfId="35608"/>
    <cellStyle name="Normal 2 8 21 3 2 2" xfId="35609"/>
    <cellStyle name="Normal 2 8 21 3 2 3" xfId="35610"/>
    <cellStyle name="Normal 2 8 21 3 3" xfId="35611"/>
    <cellStyle name="Normal 2 8 21 3 4" xfId="35612"/>
    <cellStyle name="Normal 2 8 21 3 5" xfId="35613"/>
    <cellStyle name="Normal 2 8 21 3 6" xfId="35614"/>
    <cellStyle name="Normal 2 8 21 4" xfId="35615"/>
    <cellStyle name="Normal 2 8 21 4 2" xfId="35616"/>
    <cellStyle name="Normal 2 8 21 4 2 2" xfId="35617"/>
    <cellStyle name="Normal 2 8 21 4 3" xfId="35618"/>
    <cellStyle name="Normal 2 8 21 4 4" xfId="35619"/>
    <cellStyle name="Normal 2 8 21 4 5" xfId="35620"/>
    <cellStyle name="Normal 2 8 21 5" xfId="35621"/>
    <cellStyle name="Normal 2 8 21 5 2" xfId="35622"/>
    <cellStyle name="Normal 2 8 21 5 3" xfId="35623"/>
    <cellStyle name="Normal 2 8 21 5 4" xfId="35624"/>
    <cellStyle name="Normal 2 8 21 6" xfId="35625"/>
    <cellStyle name="Normal 2 8 21 6 2" xfId="35626"/>
    <cellStyle name="Normal 2 8 21 7" xfId="35627"/>
    <cellStyle name="Normal 2 8 21 8" xfId="35628"/>
    <cellStyle name="Normal 2 8 21 9" xfId="35629"/>
    <cellStyle name="Normal 2 8 22" xfId="35630"/>
    <cellStyle name="Normal 2 8 22 10" xfId="35631"/>
    <cellStyle name="Normal 2 8 22 2" xfId="35632"/>
    <cellStyle name="Normal 2 8 22 2 2" xfId="35633"/>
    <cellStyle name="Normal 2 8 22 2 2 2" xfId="35634"/>
    <cellStyle name="Normal 2 8 22 2 2 3" xfId="35635"/>
    <cellStyle name="Normal 2 8 22 2 3" xfId="35636"/>
    <cellStyle name="Normal 2 8 22 2 4" xfId="35637"/>
    <cellStyle name="Normal 2 8 22 2 5" xfId="35638"/>
    <cellStyle name="Normal 2 8 22 2 6" xfId="35639"/>
    <cellStyle name="Normal 2 8 22 3" xfId="35640"/>
    <cellStyle name="Normal 2 8 22 3 2" xfId="35641"/>
    <cellStyle name="Normal 2 8 22 3 2 2" xfId="35642"/>
    <cellStyle name="Normal 2 8 22 3 2 3" xfId="35643"/>
    <cellStyle name="Normal 2 8 22 3 3" xfId="35644"/>
    <cellStyle name="Normal 2 8 22 3 4" xfId="35645"/>
    <cellStyle name="Normal 2 8 22 3 5" xfId="35646"/>
    <cellStyle name="Normal 2 8 22 3 6" xfId="35647"/>
    <cellStyle name="Normal 2 8 22 4" xfId="35648"/>
    <cellStyle name="Normal 2 8 22 4 2" xfId="35649"/>
    <cellStyle name="Normal 2 8 22 4 2 2" xfId="35650"/>
    <cellStyle name="Normal 2 8 22 4 3" xfId="35651"/>
    <cellStyle name="Normal 2 8 22 4 4" xfId="35652"/>
    <cellStyle name="Normal 2 8 22 4 5" xfId="35653"/>
    <cellStyle name="Normal 2 8 22 5" xfId="35654"/>
    <cellStyle name="Normal 2 8 22 5 2" xfId="35655"/>
    <cellStyle name="Normal 2 8 22 5 3" xfId="35656"/>
    <cellStyle name="Normal 2 8 22 5 4" xfId="35657"/>
    <cellStyle name="Normal 2 8 22 6" xfId="35658"/>
    <cellStyle name="Normal 2 8 22 6 2" xfId="35659"/>
    <cellStyle name="Normal 2 8 22 7" xfId="35660"/>
    <cellStyle name="Normal 2 8 22 8" xfId="35661"/>
    <cellStyle name="Normal 2 8 22 9" xfId="35662"/>
    <cellStyle name="Normal 2 8 23" xfId="35663"/>
    <cellStyle name="Normal 2 8 23 10" xfId="35664"/>
    <cellStyle name="Normal 2 8 23 2" xfId="35665"/>
    <cellStyle name="Normal 2 8 23 2 2" xfId="35666"/>
    <cellStyle name="Normal 2 8 23 2 2 2" xfId="35667"/>
    <cellStyle name="Normal 2 8 23 2 2 3" xfId="35668"/>
    <cellStyle name="Normal 2 8 23 2 3" xfId="35669"/>
    <cellStyle name="Normal 2 8 23 2 4" xfId="35670"/>
    <cellStyle name="Normal 2 8 23 2 5" xfId="35671"/>
    <cellStyle name="Normal 2 8 23 2 6" xfId="35672"/>
    <cellStyle name="Normal 2 8 23 3" xfId="35673"/>
    <cellStyle name="Normal 2 8 23 3 2" xfId="35674"/>
    <cellStyle name="Normal 2 8 23 3 2 2" xfId="35675"/>
    <cellStyle name="Normal 2 8 23 3 2 3" xfId="35676"/>
    <cellStyle name="Normal 2 8 23 3 3" xfId="35677"/>
    <cellStyle name="Normal 2 8 23 3 4" xfId="35678"/>
    <cellStyle name="Normal 2 8 23 3 5" xfId="35679"/>
    <cellStyle name="Normal 2 8 23 3 6" xfId="35680"/>
    <cellStyle name="Normal 2 8 23 4" xfId="35681"/>
    <cellStyle name="Normal 2 8 23 4 2" xfId="35682"/>
    <cellStyle name="Normal 2 8 23 4 2 2" xfId="35683"/>
    <cellStyle name="Normal 2 8 23 4 3" xfId="35684"/>
    <cellStyle name="Normal 2 8 23 4 4" xfId="35685"/>
    <cellStyle name="Normal 2 8 23 4 5" xfId="35686"/>
    <cellStyle name="Normal 2 8 23 5" xfId="35687"/>
    <cellStyle name="Normal 2 8 23 5 2" xfId="35688"/>
    <cellStyle name="Normal 2 8 23 5 3" xfId="35689"/>
    <cellStyle name="Normal 2 8 23 5 4" xfId="35690"/>
    <cellStyle name="Normal 2 8 23 6" xfId="35691"/>
    <cellStyle name="Normal 2 8 23 6 2" xfId="35692"/>
    <cellStyle name="Normal 2 8 23 7" xfId="35693"/>
    <cellStyle name="Normal 2 8 23 8" xfId="35694"/>
    <cellStyle name="Normal 2 8 23 9" xfId="35695"/>
    <cellStyle name="Normal 2 8 24" xfId="35696"/>
    <cellStyle name="Normal 2 8 24 10" xfId="35697"/>
    <cellStyle name="Normal 2 8 24 2" xfId="35698"/>
    <cellStyle name="Normal 2 8 24 2 2" xfId="35699"/>
    <cellStyle name="Normal 2 8 24 2 2 2" xfId="35700"/>
    <cellStyle name="Normal 2 8 24 2 2 3" xfId="35701"/>
    <cellStyle name="Normal 2 8 24 2 3" xfId="35702"/>
    <cellStyle name="Normal 2 8 24 2 4" xfId="35703"/>
    <cellStyle name="Normal 2 8 24 2 5" xfId="35704"/>
    <cellStyle name="Normal 2 8 24 2 6" xfId="35705"/>
    <cellStyle name="Normal 2 8 24 3" xfId="35706"/>
    <cellStyle name="Normal 2 8 24 3 2" xfId="35707"/>
    <cellStyle name="Normal 2 8 24 3 2 2" xfId="35708"/>
    <cellStyle name="Normal 2 8 24 3 2 3" xfId="35709"/>
    <cellStyle name="Normal 2 8 24 3 3" xfId="35710"/>
    <cellStyle name="Normal 2 8 24 3 4" xfId="35711"/>
    <cellStyle name="Normal 2 8 24 3 5" xfId="35712"/>
    <cellStyle name="Normal 2 8 24 3 6" xfId="35713"/>
    <cellStyle name="Normal 2 8 24 4" xfId="35714"/>
    <cellStyle name="Normal 2 8 24 4 2" xfId="35715"/>
    <cellStyle name="Normal 2 8 24 4 2 2" xfId="35716"/>
    <cellStyle name="Normal 2 8 24 4 3" xfId="35717"/>
    <cellStyle name="Normal 2 8 24 4 4" xfId="35718"/>
    <cellStyle name="Normal 2 8 24 4 5" xfId="35719"/>
    <cellStyle name="Normal 2 8 24 5" xfId="35720"/>
    <cellStyle name="Normal 2 8 24 5 2" xfId="35721"/>
    <cellStyle name="Normal 2 8 24 5 3" xfId="35722"/>
    <cellStyle name="Normal 2 8 24 5 4" xfId="35723"/>
    <cellStyle name="Normal 2 8 24 6" xfId="35724"/>
    <cellStyle name="Normal 2 8 24 6 2" xfId="35725"/>
    <cellStyle name="Normal 2 8 24 7" xfId="35726"/>
    <cellStyle name="Normal 2 8 24 8" xfId="35727"/>
    <cellStyle name="Normal 2 8 24 9" xfId="35728"/>
    <cellStyle name="Normal 2 8 25" xfId="35729"/>
    <cellStyle name="Normal 2 8 25 10" xfId="35730"/>
    <cellStyle name="Normal 2 8 25 2" xfId="35731"/>
    <cellStyle name="Normal 2 8 25 2 2" xfId="35732"/>
    <cellStyle name="Normal 2 8 25 2 2 2" xfId="35733"/>
    <cellStyle name="Normal 2 8 25 2 2 3" xfId="35734"/>
    <cellStyle name="Normal 2 8 25 2 3" xfId="35735"/>
    <cellStyle name="Normal 2 8 25 2 4" xfId="35736"/>
    <cellStyle name="Normal 2 8 25 2 5" xfId="35737"/>
    <cellStyle name="Normal 2 8 25 2 6" xfId="35738"/>
    <cellStyle name="Normal 2 8 25 3" xfId="35739"/>
    <cellStyle name="Normal 2 8 25 3 2" xfId="35740"/>
    <cellStyle name="Normal 2 8 25 3 2 2" xfId="35741"/>
    <cellStyle name="Normal 2 8 25 3 2 3" xfId="35742"/>
    <cellStyle name="Normal 2 8 25 3 3" xfId="35743"/>
    <cellStyle name="Normal 2 8 25 3 4" xfId="35744"/>
    <cellStyle name="Normal 2 8 25 3 5" xfId="35745"/>
    <cellStyle name="Normal 2 8 25 3 6" xfId="35746"/>
    <cellStyle name="Normal 2 8 25 4" xfId="35747"/>
    <cellStyle name="Normal 2 8 25 4 2" xfId="35748"/>
    <cellStyle name="Normal 2 8 25 4 2 2" xfId="35749"/>
    <cellStyle name="Normal 2 8 25 4 3" xfId="35750"/>
    <cellStyle name="Normal 2 8 25 4 4" xfId="35751"/>
    <cellStyle name="Normal 2 8 25 4 5" xfId="35752"/>
    <cellStyle name="Normal 2 8 25 5" xfId="35753"/>
    <cellStyle name="Normal 2 8 25 5 2" xfId="35754"/>
    <cellStyle name="Normal 2 8 25 5 3" xfId="35755"/>
    <cellStyle name="Normal 2 8 25 5 4" xfId="35756"/>
    <cellStyle name="Normal 2 8 25 6" xfId="35757"/>
    <cellStyle name="Normal 2 8 25 6 2" xfId="35758"/>
    <cellStyle name="Normal 2 8 25 7" xfId="35759"/>
    <cellStyle name="Normal 2 8 25 8" xfId="35760"/>
    <cellStyle name="Normal 2 8 25 9" xfId="35761"/>
    <cellStyle name="Normal 2 8 26" xfId="35762"/>
    <cellStyle name="Normal 2 8 26 10" xfId="35763"/>
    <cellStyle name="Normal 2 8 26 2" xfId="35764"/>
    <cellStyle name="Normal 2 8 26 2 2" xfId="35765"/>
    <cellStyle name="Normal 2 8 26 2 2 2" xfId="35766"/>
    <cellStyle name="Normal 2 8 26 2 2 3" xfId="35767"/>
    <cellStyle name="Normal 2 8 26 2 3" xfId="35768"/>
    <cellStyle name="Normal 2 8 26 2 4" xfId="35769"/>
    <cellStyle name="Normal 2 8 26 2 5" xfId="35770"/>
    <cellStyle name="Normal 2 8 26 2 6" xfId="35771"/>
    <cellStyle name="Normal 2 8 26 3" xfId="35772"/>
    <cellStyle name="Normal 2 8 26 3 2" xfId="35773"/>
    <cellStyle name="Normal 2 8 26 3 2 2" xfId="35774"/>
    <cellStyle name="Normal 2 8 26 3 2 3" xfId="35775"/>
    <cellStyle name="Normal 2 8 26 3 3" xfId="35776"/>
    <cellStyle name="Normal 2 8 26 3 4" xfId="35777"/>
    <cellStyle name="Normal 2 8 26 3 5" xfId="35778"/>
    <cellStyle name="Normal 2 8 26 3 6" xfId="35779"/>
    <cellStyle name="Normal 2 8 26 4" xfId="35780"/>
    <cellStyle name="Normal 2 8 26 4 2" xfId="35781"/>
    <cellStyle name="Normal 2 8 26 4 2 2" xfId="35782"/>
    <cellStyle name="Normal 2 8 26 4 3" xfId="35783"/>
    <cellStyle name="Normal 2 8 26 4 4" xfId="35784"/>
    <cellStyle name="Normal 2 8 26 4 5" xfId="35785"/>
    <cellStyle name="Normal 2 8 26 5" xfId="35786"/>
    <cellStyle name="Normal 2 8 26 5 2" xfId="35787"/>
    <cellStyle name="Normal 2 8 26 5 3" xfId="35788"/>
    <cellStyle name="Normal 2 8 26 5 4" xfId="35789"/>
    <cellStyle name="Normal 2 8 26 6" xfId="35790"/>
    <cellStyle name="Normal 2 8 26 6 2" xfId="35791"/>
    <cellStyle name="Normal 2 8 26 7" xfId="35792"/>
    <cellStyle name="Normal 2 8 26 8" xfId="35793"/>
    <cellStyle name="Normal 2 8 26 9" xfId="35794"/>
    <cellStyle name="Normal 2 8 27" xfId="35795"/>
    <cellStyle name="Normal 2 8 27 10" xfId="35796"/>
    <cellStyle name="Normal 2 8 27 2" xfId="35797"/>
    <cellStyle name="Normal 2 8 27 2 2" xfId="35798"/>
    <cellStyle name="Normal 2 8 27 2 2 2" xfId="35799"/>
    <cellStyle name="Normal 2 8 27 2 2 3" xfId="35800"/>
    <cellStyle name="Normal 2 8 27 2 3" xfId="35801"/>
    <cellStyle name="Normal 2 8 27 2 4" xfId="35802"/>
    <cellStyle name="Normal 2 8 27 2 5" xfId="35803"/>
    <cellStyle name="Normal 2 8 27 2 6" xfId="35804"/>
    <cellStyle name="Normal 2 8 27 3" xfId="35805"/>
    <cellStyle name="Normal 2 8 27 3 2" xfId="35806"/>
    <cellStyle name="Normal 2 8 27 3 2 2" xfId="35807"/>
    <cellStyle name="Normal 2 8 27 3 2 3" xfId="35808"/>
    <cellStyle name="Normal 2 8 27 3 3" xfId="35809"/>
    <cellStyle name="Normal 2 8 27 3 4" xfId="35810"/>
    <cellStyle name="Normal 2 8 27 3 5" xfId="35811"/>
    <cellStyle name="Normal 2 8 27 3 6" xfId="35812"/>
    <cellStyle name="Normal 2 8 27 4" xfId="35813"/>
    <cellStyle name="Normal 2 8 27 4 2" xfId="35814"/>
    <cellStyle name="Normal 2 8 27 4 2 2" xfId="35815"/>
    <cellStyle name="Normal 2 8 27 4 3" xfId="35816"/>
    <cellStyle name="Normal 2 8 27 4 4" xfId="35817"/>
    <cellStyle name="Normal 2 8 27 4 5" xfId="35818"/>
    <cellStyle name="Normal 2 8 27 5" xfId="35819"/>
    <cellStyle name="Normal 2 8 27 5 2" xfId="35820"/>
    <cellStyle name="Normal 2 8 27 5 3" xfId="35821"/>
    <cellStyle name="Normal 2 8 27 5 4" xfId="35822"/>
    <cellStyle name="Normal 2 8 27 6" xfId="35823"/>
    <cellStyle name="Normal 2 8 27 6 2" xfId="35824"/>
    <cellStyle name="Normal 2 8 27 7" xfId="35825"/>
    <cellStyle name="Normal 2 8 27 8" xfId="35826"/>
    <cellStyle name="Normal 2 8 27 9" xfId="35827"/>
    <cellStyle name="Normal 2 8 28" xfId="35828"/>
    <cellStyle name="Normal 2 8 28 10" xfId="35829"/>
    <cellStyle name="Normal 2 8 28 2" xfId="35830"/>
    <cellStyle name="Normal 2 8 28 2 2" xfId="35831"/>
    <cellStyle name="Normal 2 8 28 2 2 2" xfId="35832"/>
    <cellStyle name="Normal 2 8 28 2 2 3" xfId="35833"/>
    <cellStyle name="Normal 2 8 28 2 3" xfId="35834"/>
    <cellStyle name="Normal 2 8 28 2 4" xfId="35835"/>
    <cellStyle name="Normal 2 8 28 2 5" xfId="35836"/>
    <cellStyle name="Normal 2 8 28 2 6" xfId="35837"/>
    <cellStyle name="Normal 2 8 28 3" xfId="35838"/>
    <cellStyle name="Normal 2 8 28 3 2" xfId="35839"/>
    <cellStyle name="Normal 2 8 28 3 2 2" xfId="35840"/>
    <cellStyle name="Normal 2 8 28 3 2 3" xfId="35841"/>
    <cellStyle name="Normal 2 8 28 3 3" xfId="35842"/>
    <cellStyle name="Normal 2 8 28 3 4" xfId="35843"/>
    <cellStyle name="Normal 2 8 28 3 5" xfId="35844"/>
    <cellStyle name="Normal 2 8 28 3 6" xfId="35845"/>
    <cellStyle name="Normal 2 8 28 4" xfId="35846"/>
    <cellStyle name="Normal 2 8 28 4 2" xfId="35847"/>
    <cellStyle name="Normal 2 8 28 4 2 2" xfId="35848"/>
    <cellStyle name="Normal 2 8 28 4 3" xfId="35849"/>
    <cellStyle name="Normal 2 8 28 4 4" xfId="35850"/>
    <cellStyle name="Normal 2 8 28 4 5" xfId="35851"/>
    <cellStyle name="Normal 2 8 28 5" xfId="35852"/>
    <cellStyle name="Normal 2 8 28 5 2" xfId="35853"/>
    <cellStyle name="Normal 2 8 28 5 3" xfId="35854"/>
    <cellStyle name="Normal 2 8 28 5 4" xfId="35855"/>
    <cellStyle name="Normal 2 8 28 6" xfId="35856"/>
    <cellStyle name="Normal 2 8 28 6 2" xfId="35857"/>
    <cellStyle name="Normal 2 8 28 7" xfId="35858"/>
    <cellStyle name="Normal 2 8 28 8" xfId="35859"/>
    <cellStyle name="Normal 2 8 28 9" xfId="35860"/>
    <cellStyle name="Normal 2 8 29" xfId="35861"/>
    <cellStyle name="Normal 2 8 29 10" xfId="35862"/>
    <cellStyle name="Normal 2 8 29 2" xfId="35863"/>
    <cellStyle name="Normal 2 8 29 2 2" xfId="35864"/>
    <cellStyle name="Normal 2 8 29 2 2 2" xfId="35865"/>
    <cellStyle name="Normal 2 8 29 2 2 3" xfId="35866"/>
    <cellStyle name="Normal 2 8 29 2 3" xfId="35867"/>
    <cellStyle name="Normal 2 8 29 2 4" xfId="35868"/>
    <cellStyle name="Normal 2 8 29 2 5" xfId="35869"/>
    <cellStyle name="Normal 2 8 29 2 6" xfId="35870"/>
    <cellStyle name="Normal 2 8 29 3" xfId="35871"/>
    <cellStyle name="Normal 2 8 29 3 2" xfId="35872"/>
    <cellStyle name="Normal 2 8 29 3 2 2" xfId="35873"/>
    <cellStyle name="Normal 2 8 29 3 2 3" xfId="35874"/>
    <cellStyle name="Normal 2 8 29 3 3" xfId="35875"/>
    <cellStyle name="Normal 2 8 29 3 4" xfId="35876"/>
    <cellStyle name="Normal 2 8 29 3 5" xfId="35877"/>
    <cellStyle name="Normal 2 8 29 3 6" xfId="35878"/>
    <cellStyle name="Normal 2 8 29 4" xfId="35879"/>
    <cellStyle name="Normal 2 8 29 4 2" xfId="35880"/>
    <cellStyle name="Normal 2 8 29 4 2 2" xfId="35881"/>
    <cellStyle name="Normal 2 8 29 4 3" xfId="35882"/>
    <cellStyle name="Normal 2 8 29 4 4" xfId="35883"/>
    <cellStyle name="Normal 2 8 29 4 5" xfId="35884"/>
    <cellStyle name="Normal 2 8 29 5" xfId="35885"/>
    <cellStyle name="Normal 2 8 29 5 2" xfId="35886"/>
    <cellStyle name="Normal 2 8 29 5 3" xfId="35887"/>
    <cellStyle name="Normal 2 8 29 5 4" xfId="35888"/>
    <cellStyle name="Normal 2 8 29 6" xfId="35889"/>
    <cellStyle name="Normal 2 8 29 6 2" xfId="35890"/>
    <cellStyle name="Normal 2 8 29 7" xfId="35891"/>
    <cellStyle name="Normal 2 8 29 8" xfId="35892"/>
    <cellStyle name="Normal 2 8 29 9" xfId="35893"/>
    <cellStyle name="Normal 2 8 3" xfId="35894"/>
    <cellStyle name="Normal 2 8 3 10" xfId="35895"/>
    <cellStyle name="Normal 2 8 3 10 10" xfId="35896"/>
    <cellStyle name="Normal 2 8 3 10 2" xfId="35897"/>
    <cellStyle name="Normal 2 8 3 10 2 2" xfId="35898"/>
    <cellStyle name="Normal 2 8 3 10 2 2 2" xfId="35899"/>
    <cellStyle name="Normal 2 8 3 10 2 2 3" xfId="35900"/>
    <cellStyle name="Normal 2 8 3 10 2 3" xfId="35901"/>
    <cellStyle name="Normal 2 8 3 10 2 4" xfId="35902"/>
    <cellStyle name="Normal 2 8 3 10 2 5" xfId="35903"/>
    <cellStyle name="Normal 2 8 3 10 2 6" xfId="35904"/>
    <cellStyle name="Normal 2 8 3 10 3" xfId="35905"/>
    <cellStyle name="Normal 2 8 3 10 3 2" xfId="35906"/>
    <cellStyle name="Normal 2 8 3 10 3 2 2" xfId="35907"/>
    <cellStyle name="Normal 2 8 3 10 3 2 3" xfId="35908"/>
    <cellStyle name="Normal 2 8 3 10 3 3" xfId="35909"/>
    <cellStyle name="Normal 2 8 3 10 3 4" xfId="35910"/>
    <cellStyle name="Normal 2 8 3 10 3 5" xfId="35911"/>
    <cellStyle name="Normal 2 8 3 10 3 6" xfId="35912"/>
    <cellStyle name="Normal 2 8 3 10 4" xfId="35913"/>
    <cellStyle name="Normal 2 8 3 10 4 2" xfId="35914"/>
    <cellStyle name="Normal 2 8 3 10 4 2 2" xfId="35915"/>
    <cellStyle name="Normal 2 8 3 10 4 3" xfId="35916"/>
    <cellStyle name="Normal 2 8 3 10 4 4" xfId="35917"/>
    <cellStyle name="Normal 2 8 3 10 4 5" xfId="35918"/>
    <cellStyle name="Normal 2 8 3 10 5" xfId="35919"/>
    <cellStyle name="Normal 2 8 3 10 5 2" xfId="35920"/>
    <cellStyle name="Normal 2 8 3 10 5 3" xfId="35921"/>
    <cellStyle name="Normal 2 8 3 10 5 4" xfId="35922"/>
    <cellStyle name="Normal 2 8 3 10 6" xfId="35923"/>
    <cellStyle name="Normal 2 8 3 10 6 2" xfId="35924"/>
    <cellStyle name="Normal 2 8 3 10 7" xfId="35925"/>
    <cellStyle name="Normal 2 8 3 10 8" xfId="35926"/>
    <cellStyle name="Normal 2 8 3 10 9" xfId="35927"/>
    <cellStyle name="Normal 2 8 3 11" xfId="35928"/>
    <cellStyle name="Normal 2 8 3 11 10" xfId="35929"/>
    <cellStyle name="Normal 2 8 3 11 2" xfId="35930"/>
    <cellStyle name="Normal 2 8 3 11 2 2" xfId="35931"/>
    <cellStyle name="Normal 2 8 3 11 2 2 2" xfId="35932"/>
    <cellStyle name="Normal 2 8 3 11 2 2 3" xfId="35933"/>
    <cellStyle name="Normal 2 8 3 11 2 3" xfId="35934"/>
    <cellStyle name="Normal 2 8 3 11 2 4" xfId="35935"/>
    <cellStyle name="Normal 2 8 3 11 2 5" xfId="35936"/>
    <cellStyle name="Normal 2 8 3 11 2 6" xfId="35937"/>
    <cellStyle name="Normal 2 8 3 11 3" xfId="35938"/>
    <cellStyle name="Normal 2 8 3 11 3 2" xfId="35939"/>
    <cellStyle name="Normal 2 8 3 11 3 2 2" xfId="35940"/>
    <cellStyle name="Normal 2 8 3 11 3 2 3" xfId="35941"/>
    <cellStyle name="Normal 2 8 3 11 3 3" xfId="35942"/>
    <cellStyle name="Normal 2 8 3 11 3 4" xfId="35943"/>
    <cellStyle name="Normal 2 8 3 11 3 5" xfId="35944"/>
    <cellStyle name="Normal 2 8 3 11 3 6" xfId="35945"/>
    <cellStyle name="Normal 2 8 3 11 4" xfId="35946"/>
    <cellStyle name="Normal 2 8 3 11 4 2" xfId="35947"/>
    <cellStyle name="Normal 2 8 3 11 4 2 2" xfId="35948"/>
    <cellStyle name="Normal 2 8 3 11 4 3" xfId="35949"/>
    <cellStyle name="Normal 2 8 3 11 4 4" xfId="35950"/>
    <cellStyle name="Normal 2 8 3 11 4 5" xfId="35951"/>
    <cellStyle name="Normal 2 8 3 11 5" xfId="35952"/>
    <cellStyle name="Normal 2 8 3 11 5 2" xfId="35953"/>
    <cellStyle name="Normal 2 8 3 11 5 3" xfId="35954"/>
    <cellStyle name="Normal 2 8 3 11 5 4" xfId="35955"/>
    <cellStyle name="Normal 2 8 3 11 6" xfId="35956"/>
    <cellStyle name="Normal 2 8 3 11 6 2" xfId="35957"/>
    <cellStyle name="Normal 2 8 3 11 7" xfId="35958"/>
    <cellStyle name="Normal 2 8 3 11 8" xfId="35959"/>
    <cellStyle name="Normal 2 8 3 11 9" xfId="35960"/>
    <cellStyle name="Normal 2 8 3 12" xfId="35961"/>
    <cellStyle name="Normal 2 8 3 12 10" xfId="35962"/>
    <cellStyle name="Normal 2 8 3 12 2" xfId="35963"/>
    <cellStyle name="Normal 2 8 3 12 2 2" xfId="35964"/>
    <cellStyle name="Normal 2 8 3 12 2 2 2" xfId="35965"/>
    <cellStyle name="Normal 2 8 3 12 2 2 3" xfId="35966"/>
    <cellStyle name="Normal 2 8 3 12 2 3" xfId="35967"/>
    <cellStyle name="Normal 2 8 3 12 2 4" xfId="35968"/>
    <cellStyle name="Normal 2 8 3 12 2 5" xfId="35969"/>
    <cellStyle name="Normal 2 8 3 12 2 6" xfId="35970"/>
    <cellStyle name="Normal 2 8 3 12 3" xfId="35971"/>
    <cellStyle name="Normal 2 8 3 12 3 2" xfId="35972"/>
    <cellStyle name="Normal 2 8 3 12 3 2 2" xfId="35973"/>
    <cellStyle name="Normal 2 8 3 12 3 2 3" xfId="35974"/>
    <cellStyle name="Normal 2 8 3 12 3 3" xfId="35975"/>
    <cellStyle name="Normal 2 8 3 12 3 4" xfId="35976"/>
    <cellStyle name="Normal 2 8 3 12 3 5" xfId="35977"/>
    <cellStyle name="Normal 2 8 3 12 3 6" xfId="35978"/>
    <cellStyle name="Normal 2 8 3 12 4" xfId="35979"/>
    <cellStyle name="Normal 2 8 3 12 4 2" xfId="35980"/>
    <cellStyle name="Normal 2 8 3 12 4 2 2" xfId="35981"/>
    <cellStyle name="Normal 2 8 3 12 4 3" xfId="35982"/>
    <cellStyle name="Normal 2 8 3 12 4 4" xfId="35983"/>
    <cellStyle name="Normal 2 8 3 12 4 5" xfId="35984"/>
    <cellStyle name="Normal 2 8 3 12 5" xfId="35985"/>
    <cellStyle name="Normal 2 8 3 12 5 2" xfId="35986"/>
    <cellStyle name="Normal 2 8 3 12 5 3" xfId="35987"/>
    <cellStyle name="Normal 2 8 3 12 5 4" xfId="35988"/>
    <cellStyle name="Normal 2 8 3 12 6" xfId="35989"/>
    <cellStyle name="Normal 2 8 3 12 6 2" xfId="35990"/>
    <cellStyle name="Normal 2 8 3 12 7" xfId="35991"/>
    <cellStyle name="Normal 2 8 3 12 8" xfId="35992"/>
    <cellStyle name="Normal 2 8 3 12 9" xfId="35993"/>
    <cellStyle name="Normal 2 8 3 13" xfId="35994"/>
    <cellStyle name="Normal 2 8 3 13 2" xfId="35995"/>
    <cellStyle name="Normal 2 8 3 13 2 2" xfId="35996"/>
    <cellStyle name="Normal 2 8 3 13 2 2 2" xfId="35997"/>
    <cellStyle name="Normal 2 8 3 13 2 2 3" xfId="35998"/>
    <cellStyle name="Normal 2 8 3 13 2 3" xfId="35999"/>
    <cellStyle name="Normal 2 8 3 13 2 4" xfId="36000"/>
    <cellStyle name="Normal 2 8 3 13 2 5" xfId="36001"/>
    <cellStyle name="Normal 2 8 3 13 2 6" xfId="36002"/>
    <cellStyle name="Normal 2 8 3 13 3" xfId="36003"/>
    <cellStyle name="Normal 2 8 3 13 3 2" xfId="36004"/>
    <cellStyle name="Normal 2 8 3 13 3 2 2" xfId="36005"/>
    <cellStyle name="Normal 2 8 3 13 3 3" xfId="36006"/>
    <cellStyle name="Normal 2 8 3 13 3 4" xfId="36007"/>
    <cellStyle name="Normal 2 8 3 13 3 5" xfId="36008"/>
    <cellStyle name="Normal 2 8 3 13 4" xfId="36009"/>
    <cellStyle name="Normal 2 8 3 13 4 2" xfId="36010"/>
    <cellStyle name="Normal 2 8 3 13 4 3" xfId="36011"/>
    <cellStyle name="Normal 2 8 3 13 4 4" xfId="36012"/>
    <cellStyle name="Normal 2 8 3 13 5" xfId="36013"/>
    <cellStyle name="Normal 2 8 3 13 5 2" xfId="36014"/>
    <cellStyle name="Normal 2 8 3 13 6" xfId="36015"/>
    <cellStyle name="Normal 2 8 3 13 7" xfId="36016"/>
    <cellStyle name="Normal 2 8 3 13 8" xfId="36017"/>
    <cellStyle name="Normal 2 8 3 13 9" xfId="36018"/>
    <cellStyle name="Normal 2 8 3 14" xfId="36019"/>
    <cellStyle name="Normal 2 8 3 14 2" xfId="36020"/>
    <cellStyle name="Normal 2 8 3 14 2 2" xfId="36021"/>
    <cellStyle name="Normal 2 8 3 14 2 2 2" xfId="36022"/>
    <cellStyle name="Normal 2 8 3 14 2 2 3" xfId="36023"/>
    <cellStyle name="Normal 2 8 3 14 2 3" xfId="36024"/>
    <cellStyle name="Normal 2 8 3 14 2 4" xfId="36025"/>
    <cellStyle name="Normal 2 8 3 14 2 5" xfId="36026"/>
    <cellStyle name="Normal 2 8 3 14 2 6" xfId="36027"/>
    <cellStyle name="Normal 2 8 3 14 3" xfId="36028"/>
    <cellStyle name="Normal 2 8 3 14 3 2" xfId="36029"/>
    <cellStyle name="Normal 2 8 3 14 3 2 2" xfId="36030"/>
    <cellStyle name="Normal 2 8 3 14 3 3" xfId="36031"/>
    <cellStyle name="Normal 2 8 3 14 3 4" xfId="36032"/>
    <cellStyle name="Normal 2 8 3 14 3 5" xfId="36033"/>
    <cellStyle name="Normal 2 8 3 14 4" xfId="36034"/>
    <cellStyle name="Normal 2 8 3 14 4 2" xfId="36035"/>
    <cellStyle name="Normal 2 8 3 14 4 3" xfId="36036"/>
    <cellStyle name="Normal 2 8 3 14 4 4" xfId="36037"/>
    <cellStyle name="Normal 2 8 3 14 5" xfId="36038"/>
    <cellStyle name="Normal 2 8 3 14 5 2" xfId="36039"/>
    <cellStyle name="Normal 2 8 3 14 6" xfId="36040"/>
    <cellStyle name="Normal 2 8 3 14 7" xfId="36041"/>
    <cellStyle name="Normal 2 8 3 14 8" xfId="36042"/>
    <cellStyle name="Normal 2 8 3 14 9" xfId="36043"/>
    <cellStyle name="Normal 2 8 3 15" xfId="36044"/>
    <cellStyle name="Normal 2 8 3 15 2" xfId="36045"/>
    <cellStyle name="Normal 2 8 3 15 2 2" xfId="36046"/>
    <cellStyle name="Normal 2 8 3 15 2 3" xfId="36047"/>
    <cellStyle name="Normal 2 8 3 15 3" xfId="36048"/>
    <cellStyle name="Normal 2 8 3 15 4" xfId="36049"/>
    <cellStyle name="Normal 2 8 3 15 5" xfId="36050"/>
    <cellStyle name="Normal 2 8 3 15 6" xfId="36051"/>
    <cellStyle name="Normal 2 8 3 16" xfId="36052"/>
    <cellStyle name="Normal 2 8 3 16 2" xfId="36053"/>
    <cellStyle name="Normal 2 8 3 16 2 2" xfId="36054"/>
    <cellStyle name="Normal 2 8 3 16 3" xfId="36055"/>
    <cellStyle name="Normal 2 8 3 16 4" xfId="36056"/>
    <cellStyle name="Normal 2 8 3 16 5" xfId="36057"/>
    <cellStyle name="Normal 2 8 3 17" xfId="36058"/>
    <cellStyle name="Normal 2 8 3 17 2" xfId="36059"/>
    <cellStyle name="Normal 2 8 3 17 2 2" xfId="36060"/>
    <cellStyle name="Normal 2 8 3 17 3" xfId="36061"/>
    <cellStyle name="Normal 2 8 3 17 4" xfId="36062"/>
    <cellStyle name="Normal 2 8 3 17 5" xfId="36063"/>
    <cellStyle name="Normal 2 8 3 18" xfId="36064"/>
    <cellStyle name="Normal 2 8 3 18 2" xfId="36065"/>
    <cellStyle name="Normal 2 8 3 19" xfId="36066"/>
    <cellStyle name="Normal 2 8 3 2" xfId="36067"/>
    <cellStyle name="Normal 2 8 3 2 10" xfId="36068"/>
    <cellStyle name="Normal 2 8 3 2 11" xfId="36069"/>
    <cellStyle name="Normal 2 8 3 2 2" xfId="36070"/>
    <cellStyle name="Normal 2 8 3 2 2 2" xfId="36071"/>
    <cellStyle name="Normal 2 8 3 2 2 2 2" xfId="36072"/>
    <cellStyle name="Normal 2 8 3 2 2 2 2 2" xfId="36073"/>
    <cellStyle name="Normal 2 8 3 2 2 2 2 3" xfId="36074"/>
    <cellStyle name="Normal 2 8 3 2 2 2 3" xfId="36075"/>
    <cellStyle name="Normal 2 8 3 2 2 2 4" xfId="36076"/>
    <cellStyle name="Normal 2 8 3 2 2 2 5" xfId="36077"/>
    <cellStyle name="Normal 2 8 3 2 2 2 6" xfId="36078"/>
    <cellStyle name="Normal 2 8 3 2 2 3" xfId="36079"/>
    <cellStyle name="Normal 2 8 3 2 2 3 2" xfId="36080"/>
    <cellStyle name="Normal 2 8 3 2 2 3 2 2" xfId="36081"/>
    <cellStyle name="Normal 2 8 3 2 2 3 3" xfId="36082"/>
    <cellStyle name="Normal 2 8 3 2 2 3 4" xfId="36083"/>
    <cellStyle name="Normal 2 8 3 2 2 3 5" xfId="36084"/>
    <cellStyle name="Normal 2 8 3 2 2 4" xfId="36085"/>
    <cellStyle name="Normal 2 8 3 2 2 4 2" xfId="36086"/>
    <cellStyle name="Normal 2 8 3 2 2 4 3" xfId="36087"/>
    <cellStyle name="Normal 2 8 3 2 2 4 4" xfId="36088"/>
    <cellStyle name="Normal 2 8 3 2 2 5" xfId="36089"/>
    <cellStyle name="Normal 2 8 3 2 2 5 2" xfId="36090"/>
    <cellStyle name="Normal 2 8 3 2 2 6" xfId="36091"/>
    <cellStyle name="Normal 2 8 3 2 2 7" xfId="36092"/>
    <cellStyle name="Normal 2 8 3 2 2 8" xfId="36093"/>
    <cellStyle name="Normal 2 8 3 2 2 9" xfId="36094"/>
    <cellStyle name="Normal 2 8 3 2 3" xfId="36095"/>
    <cellStyle name="Normal 2 8 3 2 3 2" xfId="36096"/>
    <cellStyle name="Normal 2 8 3 2 3 2 2" xfId="36097"/>
    <cellStyle name="Normal 2 8 3 2 3 2 2 2" xfId="36098"/>
    <cellStyle name="Normal 2 8 3 2 3 2 2 3" xfId="36099"/>
    <cellStyle name="Normal 2 8 3 2 3 2 3" xfId="36100"/>
    <cellStyle name="Normal 2 8 3 2 3 2 4" xfId="36101"/>
    <cellStyle name="Normal 2 8 3 2 3 2 5" xfId="36102"/>
    <cellStyle name="Normal 2 8 3 2 3 2 6" xfId="36103"/>
    <cellStyle name="Normal 2 8 3 2 3 3" xfId="36104"/>
    <cellStyle name="Normal 2 8 3 2 3 3 2" xfId="36105"/>
    <cellStyle name="Normal 2 8 3 2 3 3 2 2" xfId="36106"/>
    <cellStyle name="Normal 2 8 3 2 3 3 3" xfId="36107"/>
    <cellStyle name="Normal 2 8 3 2 3 3 4" xfId="36108"/>
    <cellStyle name="Normal 2 8 3 2 3 3 5" xfId="36109"/>
    <cellStyle name="Normal 2 8 3 2 3 4" xfId="36110"/>
    <cellStyle name="Normal 2 8 3 2 3 4 2" xfId="36111"/>
    <cellStyle name="Normal 2 8 3 2 3 4 3" xfId="36112"/>
    <cellStyle name="Normal 2 8 3 2 3 4 4" xfId="36113"/>
    <cellStyle name="Normal 2 8 3 2 3 5" xfId="36114"/>
    <cellStyle name="Normal 2 8 3 2 3 5 2" xfId="36115"/>
    <cellStyle name="Normal 2 8 3 2 3 6" xfId="36116"/>
    <cellStyle name="Normal 2 8 3 2 3 7" xfId="36117"/>
    <cellStyle name="Normal 2 8 3 2 3 8" xfId="36118"/>
    <cellStyle name="Normal 2 8 3 2 3 9" xfId="36119"/>
    <cellStyle name="Normal 2 8 3 2 4" xfId="36120"/>
    <cellStyle name="Normal 2 8 3 2 4 2" xfId="36121"/>
    <cellStyle name="Normal 2 8 3 2 4 2 2" xfId="36122"/>
    <cellStyle name="Normal 2 8 3 2 4 2 3" xfId="36123"/>
    <cellStyle name="Normal 2 8 3 2 4 3" xfId="36124"/>
    <cellStyle name="Normal 2 8 3 2 4 4" xfId="36125"/>
    <cellStyle name="Normal 2 8 3 2 4 5" xfId="36126"/>
    <cellStyle name="Normal 2 8 3 2 4 6" xfId="36127"/>
    <cellStyle name="Normal 2 8 3 2 5" xfId="36128"/>
    <cellStyle name="Normal 2 8 3 2 5 2" xfId="36129"/>
    <cellStyle name="Normal 2 8 3 2 5 2 2" xfId="36130"/>
    <cellStyle name="Normal 2 8 3 2 5 3" xfId="36131"/>
    <cellStyle name="Normal 2 8 3 2 5 4" xfId="36132"/>
    <cellStyle name="Normal 2 8 3 2 5 5" xfId="36133"/>
    <cellStyle name="Normal 2 8 3 2 6" xfId="36134"/>
    <cellStyle name="Normal 2 8 3 2 6 2" xfId="36135"/>
    <cellStyle name="Normal 2 8 3 2 6 3" xfId="36136"/>
    <cellStyle name="Normal 2 8 3 2 6 4" xfId="36137"/>
    <cellStyle name="Normal 2 8 3 2 7" xfId="36138"/>
    <cellStyle name="Normal 2 8 3 2 7 2" xfId="36139"/>
    <cellStyle name="Normal 2 8 3 2 8" xfId="36140"/>
    <cellStyle name="Normal 2 8 3 2 9" xfId="36141"/>
    <cellStyle name="Normal 2 8 3 20" xfId="36142"/>
    <cellStyle name="Normal 2 8 3 21" xfId="36143"/>
    <cellStyle name="Normal 2 8 3 22" xfId="36144"/>
    <cellStyle name="Normal 2 8 3 3" xfId="36145"/>
    <cellStyle name="Normal 2 8 3 3 10" xfId="36146"/>
    <cellStyle name="Normal 2 8 3 3 11" xfId="36147"/>
    <cellStyle name="Normal 2 8 3 3 2" xfId="36148"/>
    <cellStyle name="Normal 2 8 3 3 2 2" xfId="36149"/>
    <cellStyle name="Normal 2 8 3 3 2 2 2" xfId="36150"/>
    <cellStyle name="Normal 2 8 3 3 2 2 2 2" xfId="36151"/>
    <cellStyle name="Normal 2 8 3 3 2 2 2 3" xfId="36152"/>
    <cellStyle name="Normal 2 8 3 3 2 2 3" xfId="36153"/>
    <cellStyle name="Normal 2 8 3 3 2 2 4" xfId="36154"/>
    <cellStyle name="Normal 2 8 3 3 2 2 5" xfId="36155"/>
    <cellStyle name="Normal 2 8 3 3 2 2 6" xfId="36156"/>
    <cellStyle name="Normal 2 8 3 3 2 3" xfId="36157"/>
    <cellStyle name="Normal 2 8 3 3 2 3 2" xfId="36158"/>
    <cellStyle name="Normal 2 8 3 3 2 3 2 2" xfId="36159"/>
    <cellStyle name="Normal 2 8 3 3 2 3 3" xfId="36160"/>
    <cellStyle name="Normal 2 8 3 3 2 3 4" xfId="36161"/>
    <cellStyle name="Normal 2 8 3 3 2 3 5" xfId="36162"/>
    <cellStyle name="Normal 2 8 3 3 2 4" xfId="36163"/>
    <cellStyle name="Normal 2 8 3 3 2 4 2" xfId="36164"/>
    <cellStyle name="Normal 2 8 3 3 2 4 3" xfId="36165"/>
    <cellStyle name="Normal 2 8 3 3 2 4 4" xfId="36166"/>
    <cellStyle name="Normal 2 8 3 3 2 5" xfId="36167"/>
    <cellStyle name="Normal 2 8 3 3 2 5 2" xfId="36168"/>
    <cellStyle name="Normal 2 8 3 3 2 6" xfId="36169"/>
    <cellStyle name="Normal 2 8 3 3 2 7" xfId="36170"/>
    <cellStyle name="Normal 2 8 3 3 2 8" xfId="36171"/>
    <cellStyle name="Normal 2 8 3 3 2 9" xfId="36172"/>
    <cellStyle name="Normal 2 8 3 3 3" xfId="36173"/>
    <cellStyle name="Normal 2 8 3 3 3 2" xfId="36174"/>
    <cellStyle name="Normal 2 8 3 3 3 2 2" xfId="36175"/>
    <cellStyle name="Normal 2 8 3 3 3 2 2 2" xfId="36176"/>
    <cellStyle name="Normal 2 8 3 3 3 2 2 3" xfId="36177"/>
    <cellStyle name="Normal 2 8 3 3 3 2 3" xfId="36178"/>
    <cellStyle name="Normal 2 8 3 3 3 2 4" xfId="36179"/>
    <cellStyle name="Normal 2 8 3 3 3 2 5" xfId="36180"/>
    <cellStyle name="Normal 2 8 3 3 3 2 6" xfId="36181"/>
    <cellStyle name="Normal 2 8 3 3 3 3" xfId="36182"/>
    <cellStyle name="Normal 2 8 3 3 3 3 2" xfId="36183"/>
    <cellStyle name="Normal 2 8 3 3 3 3 2 2" xfId="36184"/>
    <cellStyle name="Normal 2 8 3 3 3 3 3" xfId="36185"/>
    <cellStyle name="Normal 2 8 3 3 3 3 4" xfId="36186"/>
    <cellStyle name="Normal 2 8 3 3 3 3 5" xfId="36187"/>
    <cellStyle name="Normal 2 8 3 3 3 4" xfId="36188"/>
    <cellStyle name="Normal 2 8 3 3 3 4 2" xfId="36189"/>
    <cellStyle name="Normal 2 8 3 3 3 4 3" xfId="36190"/>
    <cellStyle name="Normal 2 8 3 3 3 4 4" xfId="36191"/>
    <cellStyle name="Normal 2 8 3 3 3 5" xfId="36192"/>
    <cellStyle name="Normal 2 8 3 3 3 5 2" xfId="36193"/>
    <cellStyle name="Normal 2 8 3 3 3 6" xfId="36194"/>
    <cellStyle name="Normal 2 8 3 3 3 7" xfId="36195"/>
    <cellStyle name="Normal 2 8 3 3 3 8" xfId="36196"/>
    <cellStyle name="Normal 2 8 3 3 3 9" xfId="36197"/>
    <cellStyle name="Normal 2 8 3 3 4" xfId="36198"/>
    <cellStyle name="Normal 2 8 3 3 4 2" xfId="36199"/>
    <cellStyle name="Normal 2 8 3 3 4 2 2" xfId="36200"/>
    <cellStyle name="Normal 2 8 3 3 4 2 3" xfId="36201"/>
    <cellStyle name="Normal 2 8 3 3 4 3" xfId="36202"/>
    <cellStyle name="Normal 2 8 3 3 4 4" xfId="36203"/>
    <cellStyle name="Normal 2 8 3 3 4 5" xfId="36204"/>
    <cellStyle name="Normal 2 8 3 3 4 6" xfId="36205"/>
    <cellStyle name="Normal 2 8 3 3 5" xfId="36206"/>
    <cellStyle name="Normal 2 8 3 3 5 2" xfId="36207"/>
    <cellStyle name="Normal 2 8 3 3 5 2 2" xfId="36208"/>
    <cellStyle name="Normal 2 8 3 3 5 3" xfId="36209"/>
    <cellStyle name="Normal 2 8 3 3 5 4" xfId="36210"/>
    <cellStyle name="Normal 2 8 3 3 5 5" xfId="36211"/>
    <cellStyle name="Normal 2 8 3 3 6" xfId="36212"/>
    <cellStyle name="Normal 2 8 3 3 6 2" xfId="36213"/>
    <cellStyle name="Normal 2 8 3 3 6 3" xfId="36214"/>
    <cellStyle name="Normal 2 8 3 3 6 4" xfId="36215"/>
    <cellStyle name="Normal 2 8 3 3 7" xfId="36216"/>
    <cellStyle name="Normal 2 8 3 3 7 2" xfId="36217"/>
    <cellStyle name="Normal 2 8 3 3 8" xfId="36218"/>
    <cellStyle name="Normal 2 8 3 3 9" xfId="36219"/>
    <cellStyle name="Normal 2 8 3 4" xfId="36220"/>
    <cellStyle name="Normal 2 8 3 4 10" xfId="36221"/>
    <cellStyle name="Normal 2 8 3 4 11" xfId="36222"/>
    <cellStyle name="Normal 2 8 3 4 2" xfId="36223"/>
    <cellStyle name="Normal 2 8 3 4 2 2" xfId="36224"/>
    <cellStyle name="Normal 2 8 3 4 2 2 2" xfId="36225"/>
    <cellStyle name="Normal 2 8 3 4 2 2 2 2" xfId="36226"/>
    <cellStyle name="Normal 2 8 3 4 2 2 2 3" xfId="36227"/>
    <cellStyle name="Normal 2 8 3 4 2 2 3" xfId="36228"/>
    <cellStyle name="Normal 2 8 3 4 2 2 4" xfId="36229"/>
    <cellStyle name="Normal 2 8 3 4 2 2 5" xfId="36230"/>
    <cellStyle name="Normal 2 8 3 4 2 2 6" xfId="36231"/>
    <cellStyle name="Normal 2 8 3 4 2 3" xfId="36232"/>
    <cellStyle name="Normal 2 8 3 4 2 3 2" xfId="36233"/>
    <cellStyle name="Normal 2 8 3 4 2 3 2 2" xfId="36234"/>
    <cellStyle name="Normal 2 8 3 4 2 3 3" xfId="36235"/>
    <cellStyle name="Normal 2 8 3 4 2 3 4" xfId="36236"/>
    <cellStyle name="Normal 2 8 3 4 2 3 5" xfId="36237"/>
    <cellStyle name="Normal 2 8 3 4 2 4" xfId="36238"/>
    <cellStyle name="Normal 2 8 3 4 2 4 2" xfId="36239"/>
    <cellStyle name="Normal 2 8 3 4 2 4 3" xfId="36240"/>
    <cellStyle name="Normal 2 8 3 4 2 4 4" xfId="36241"/>
    <cellStyle name="Normal 2 8 3 4 2 5" xfId="36242"/>
    <cellStyle name="Normal 2 8 3 4 2 5 2" xfId="36243"/>
    <cellStyle name="Normal 2 8 3 4 2 6" xfId="36244"/>
    <cellStyle name="Normal 2 8 3 4 2 7" xfId="36245"/>
    <cellStyle name="Normal 2 8 3 4 2 8" xfId="36246"/>
    <cellStyle name="Normal 2 8 3 4 2 9" xfId="36247"/>
    <cellStyle name="Normal 2 8 3 4 3" xfId="36248"/>
    <cellStyle name="Normal 2 8 3 4 3 2" xfId="36249"/>
    <cellStyle name="Normal 2 8 3 4 3 2 2" xfId="36250"/>
    <cellStyle name="Normal 2 8 3 4 3 2 2 2" xfId="36251"/>
    <cellStyle name="Normal 2 8 3 4 3 2 2 3" xfId="36252"/>
    <cellStyle name="Normal 2 8 3 4 3 2 3" xfId="36253"/>
    <cellStyle name="Normal 2 8 3 4 3 2 4" xfId="36254"/>
    <cellStyle name="Normal 2 8 3 4 3 2 5" xfId="36255"/>
    <cellStyle name="Normal 2 8 3 4 3 2 6" xfId="36256"/>
    <cellStyle name="Normal 2 8 3 4 3 3" xfId="36257"/>
    <cellStyle name="Normal 2 8 3 4 3 3 2" xfId="36258"/>
    <cellStyle name="Normal 2 8 3 4 3 3 2 2" xfId="36259"/>
    <cellStyle name="Normal 2 8 3 4 3 3 3" xfId="36260"/>
    <cellStyle name="Normal 2 8 3 4 3 3 4" xfId="36261"/>
    <cellStyle name="Normal 2 8 3 4 3 3 5" xfId="36262"/>
    <cellStyle name="Normal 2 8 3 4 3 4" xfId="36263"/>
    <cellStyle name="Normal 2 8 3 4 3 4 2" xfId="36264"/>
    <cellStyle name="Normal 2 8 3 4 3 4 3" xfId="36265"/>
    <cellStyle name="Normal 2 8 3 4 3 4 4" xfId="36266"/>
    <cellStyle name="Normal 2 8 3 4 3 5" xfId="36267"/>
    <cellStyle name="Normal 2 8 3 4 3 5 2" xfId="36268"/>
    <cellStyle name="Normal 2 8 3 4 3 6" xfId="36269"/>
    <cellStyle name="Normal 2 8 3 4 3 7" xfId="36270"/>
    <cellStyle name="Normal 2 8 3 4 3 8" xfId="36271"/>
    <cellStyle name="Normal 2 8 3 4 3 9" xfId="36272"/>
    <cellStyle name="Normal 2 8 3 4 4" xfId="36273"/>
    <cellStyle name="Normal 2 8 3 4 4 2" xfId="36274"/>
    <cellStyle name="Normal 2 8 3 4 4 2 2" xfId="36275"/>
    <cellStyle name="Normal 2 8 3 4 4 2 3" xfId="36276"/>
    <cellStyle name="Normal 2 8 3 4 4 3" xfId="36277"/>
    <cellStyle name="Normal 2 8 3 4 4 4" xfId="36278"/>
    <cellStyle name="Normal 2 8 3 4 4 5" xfId="36279"/>
    <cellStyle name="Normal 2 8 3 4 4 6" xfId="36280"/>
    <cellStyle name="Normal 2 8 3 4 5" xfId="36281"/>
    <cellStyle name="Normal 2 8 3 4 5 2" xfId="36282"/>
    <cellStyle name="Normal 2 8 3 4 5 2 2" xfId="36283"/>
    <cellStyle name="Normal 2 8 3 4 5 3" xfId="36284"/>
    <cellStyle name="Normal 2 8 3 4 5 4" xfId="36285"/>
    <cellStyle name="Normal 2 8 3 4 5 5" xfId="36286"/>
    <cellStyle name="Normal 2 8 3 4 6" xfId="36287"/>
    <cellStyle name="Normal 2 8 3 4 6 2" xfId="36288"/>
    <cellStyle name="Normal 2 8 3 4 6 3" xfId="36289"/>
    <cellStyle name="Normal 2 8 3 4 6 4" xfId="36290"/>
    <cellStyle name="Normal 2 8 3 4 7" xfId="36291"/>
    <cellStyle name="Normal 2 8 3 4 7 2" xfId="36292"/>
    <cellStyle name="Normal 2 8 3 4 8" xfId="36293"/>
    <cellStyle name="Normal 2 8 3 4 9" xfId="36294"/>
    <cellStyle name="Normal 2 8 3 5" xfId="36295"/>
    <cellStyle name="Normal 2 8 3 5 10" xfId="36296"/>
    <cellStyle name="Normal 2 8 3 5 11" xfId="36297"/>
    <cellStyle name="Normal 2 8 3 5 2" xfId="36298"/>
    <cellStyle name="Normal 2 8 3 5 2 2" xfId="36299"/>
    <cellStyle name="Normal 2 8 3 5 2 2 2" xfId="36300"/>
    <cellStyle name="Normal 2 8 3 5 2 2 2 2" xfId="36301"/>
    <cellStyle name="Normal 2 8 3 5 2 2 2 3" xfId="36302"/>
    <cellStyle name="Normal 2 8 3 5 2 2 3" xfId="36303"/>
    <cellStyle name="Normal 2 8 3 5 2 2 4" xfId="36304"/>
    <cellStyle name="Normal 2 8 3 5 2 2 5" xfId="36305"/>
    <cellStyle name="Normal 2 8 3 5 2 2 6" xfId="36306"/>
    <cellStyle name="Normal 2 8 3 5 2 3" xfId="36307"/>
    <cellStyle name="Normal 2 8 3 5 2 3 2" xfId="36308"/>
    <cellStyle name="Normal 2 8 3 5 2 3 2 2" xfId="36309"/>
    <cellStyle name="Normal 2 8 3 5 2 3 3" xfId="36310"/>
    <cellStyle name="Normal 2 8 3 5 2 3 4" xfId="36311"/>
    <cellStyle name="Normal 2 8 3 5 2 3 5" xfId="36312"/>
    <cellStyle name="Normal 2 8 3 5 2 4" xfId="36313"/>
    <cellStyle name="Normal 2 8 3 5 2 4 2" xfId="36314"/>
    <cellStyle name="Normal 2 8 3 5 2 4 3" xfId="36315"/>
    <cellStyle name="Normal 2 8 3 5 2 4 4" xfId="36316"/>
    <cellStyle name="Normal 2 8 3 5 2 5" xfId="36317"/>
    <cellStyle name="Normal 2 8 3 5 2 5 2" xfId="36318"/>
    <cellStyle name="Normal 2 8 3 5 2 6" xfId="36319"/>
    <cellStyle name="Normal 2 8 3 5 2 7" xfId="36320"/>
    <cellStyle name="Normal 2 8 3 5 2 8" xfId="36321"/>
    <cellStyle name="Normal 2 8 3 5 2 9" xfId="36322"/>
    <cellStyle name="Normal 2 8 3 5 3" xfId="36323"/>
    <cellStyle name="Normal 2 8 3 5 3 2" xfId="36324"/>
    <cellStyle name="Normal 2 8 3 5 3 2 2" xfId="36325"/>
    <cellStyle name="Normal 2 8 3 5 3 2 2 2" xfId="36326"/>
    <cellStyle name="Normal 2 8 3 5 3 2 2 3" xfId="36327"/>
    <cellStyle name="Normal 2 8 3 5 3 2 3" xfId="36328"/>
    <cellStyle name="Normal 2 8 3 5 3 2 4" xfId="36329"/>
    <cellStyle name="Normal 2 8 3 5 3 2 5" xfId="36330"/>
    <cellStyle name="Normal 2 8 3 5 3 2 6" xfId="36331"/>
    <cellStyle name="Normal 2 8 3 5 3 3" xfId="36332"/>
    <cellStyle name="Normal 2 8 3 5 3 3 2" xfId="36333"/>
    <cellStyle name="Normal 2 8 3 5 3 3 2 2" xfId="36334"/>
    <cellStyle name="Normal 2 8 3 5 3 3 3" xfId="36335"/>
    <cellStyle name="Normal 2 8 3 5 3 3 4" xfId="36336"/>
    <cellStyle name="Normal 2 8 3 5 3 3 5" xfId="36337"/>
    <cellStyle name="Normal 2 8 3 5 3 4" xfId="36338"/>
    <cellStyle name="Normal 2 8 3 5 3 4 2" xfId="36339"/>
    <cellStyle name="Normal 2 8 3 5 3 4 3" xfId="36340"/>
    <cellStyle name="Normal 2 8 3 5 3 4 4" xfId="36341"/>
    <cellStyle name="Normal 2 8 3 5 3 5" xfId="36342"/>
    <cellStyle name="Normal 2 8 3 5 3 5 2" xfId="36343"/>
    <cellStyle name="Normal 2 8 3 5 3 6" xfId="36344"/>
    <cellStyle name="Normal 2 8 3 5 3 7" xfId="36345"/>
    <cellStyle name="Normal 2 8 3 5 3 8" xfId="36346"/>
    <cellStyle name="Normal 2 8 3 5 3 9" xfId="36347"/>
    <cellStyle name="Normal 2 8 3 5 4" xfId="36348"/>
    <cellStyle name="Normal 2 8 3 5 4 2" xfId="36349"/>
    <cellStyle name="Normal 2 8 3 5 4 2 2" xfId="36350"/>
    <cellStyle name="Normal 2 8 3 5 4 2 3" xfId="36351"/>
    <cellStyle name="Normal 2 8 3 5 4 3" xfId="36352"/>
    <cellStyle name="Normal 2 8 3 5 4 4" xfId="36353"/>
    <cellStyle name="Normal 2 8 3 5 4 5" xfId="36354"/>
    <cellStyle name="Normal 2 8 3 5 4 6" xfId="36355"/>
    <cellStyle name="Normal 2 8 3 5 5" xfId="36356"/>
    <cellStyle name="Normal 2 8 3 5 5 2" xfId="36357"/>
    <cellStyle name="Normal 2 8 3 5 5 2 2" xfId="36358"/>
    <cellStyle name="Normal 2 8 3 5 5 3" xfId="36359"/>
    <cellStyle name="Normal 2 8 3 5 5 4" xfId="36360"/>
    <cellStyle name="Normal 2 8 3 5 5 5" xfId="36361"/>
    <cellStyle name="Normal 2 8 3 5 6" xfId="36362"/>
    <cellStyle name="Normal 2 8 3 5 6 2" xfId="36363"/>
    <cellStyle name="Normal 2 8 3 5 6 3" xfId="36364"/>
    <cellStyle name="Normal 2 8 3 5 6 4" xfId="36365"/>
    <cellStyle name="Normal 2 8 3 5 7" xfId="36366"/>
    <cellStyle name="Normal 2 8 3 5 7 2" xfId="36367"/>
    <cellStyle name="Normal 2 8 3 5 8" xfId="36368"/>
    <cellStyle name="Normal 2 8 3 5 9" xfId="36369"/>
    <cellStyle name="Normal 2 8 3 6" xfId="36370"/>
    <cellStyle name="Normal 2 8 3 6 10" xfId="36371"/>
    <cellStyle name="Normal 2 8 3 6 11" xfId="36372"/>
    <cellStyle name="Normal 2 8 3 6 2" xfId="36373"/>
    <cellStyle name="Normal 2 8 3 6 2 2" xfId="36374"/>
    <cellStyle name="Normal 2 8 3 6 2 2 2" xfId="36375"/>
    <cellStyle name="Normal 2 8 3 6 2 2 2 2" xfId="36376"/>
    <cellStyle name="Normal 2 8 3 6 2 2 2 3" xfId="36377"/>
    <cellStyle name="Normal 2 8 3 6 2 2 3" xfId="36378"/>
    <cellStyle name="Normal 2 8 3 6 2 2 4" xfId="36379"/>
    <cellStyle name="Normal 2 8 3 6 2 2 5" xfId="36380"/>
    <cellStyle name="Normal 2 8 3 6 2 2 6" xfId="36381"/>
    <cellStyle name="Normal 2 8 3 6 2 3" xfId="36382"/>
    <cellStyle name="Normal 2 8 3 6 2 3 2" xfId="36383"/>
    <cellStyle name="Normal 2 8 3 6 2 3 2 2" xfId="36384"/>
    <cellStyle name="Normal 2 8 3 6 2 3 3" xfId="36385"/>
    <cellStyle name="Normal 2 8 3 6 2 3 4" xfId="36386"/>
    <cellStyle name="Normal 2 8 3 6 2 3 5" xfId="36387"/>
    <cellStyle name="Normal 2 8 3 6 2 4" xfId="36388"/>
    <cellStyle name="Normal 2 8 3 6 2 4 2" xfId="36389"/>
    <cellStyle name="Normal 2 8 3 6 2 4 3" xfId="36390"/>
    <cellStyle name="Normal 2 8 3 6 2 4 4" xfId="36391"/>
    <cellStyle name="Normal 2 8 3 6 2 5" xfId="36392"/>
    <cellStyle name="Normal 2 8 3 6 2 5 2" xfId="36393"/>
    <cellStyle name="Normal 2 8 3 6 2 6" xfId="36394"/>
    <cellStyle name="Normal 2 8 3 6 2 7" xfId="36395"/>
    <cellStyle name="Normal 2 8 3 6 2 8" xfId="36396"/>
    <cellStyle name="Normal 2 8 3 6 2 9" xfId="36397"/>
    <cellStyle name="Normal 2 8 3 6 3" xfId="36398"/>
    <cellStyle name="Normal 2 8 3 6 3 2" xfId="36399"/>
    <cellStyle name="Normal 2 8 3 6 3 2 2" xfId="36400"/>
    <cellStyle name="Normal 2 8 3 6 3 2 2 2" xfId="36401"/>
    <cellStyle name="Normal 2 8 3 6 3 2 2 3" xfId="36402"/>
    <cellStyle name="Normal 2 8 3 6 3 2 3" xfId="36403"/>
    <cellStyle name="Normal 2 8 3 6 3 2 4" xfId="36404"/>
    <cellStyle name="Normal 2 8 3 6 3 2 5" xfId="36405"/>
    <cellStyle name="Normal 2 8 3 6 3 2 6" xfId="36406"/>
    <cellStyle name="Normal 2 8 3 6 3 3" xfId="36407"/>
    <cellStyle name="Normal 2 8 3 6 3 3 2" xfId="36408"/>
    <cellStyle name="Normal 2 8 3 6 3 3 2 2" xfId="36409"/>
    <cellStyle name="Normal 2 8 3 6 3 3 3" xfId="36410"/>
    <cellStyle name="Normal 2 8 3 6 3 3 4" xfId="36411"/>
    <cellStyle name="Normal 2 8 3 6 3 3 5" xfId="36412"/>
    <cellStyle name="Normal 2 8 3 6 3 4" xfId="36413"/>
    <cellStyle name="Normal 2 8 3 6 3 4 2" xfId="36414"/>
    <cellStyle name="Normal 2 8 3 6 3 4 3" xfId="36415"/>
    <cellStyle name="Normal 2 8 3 6 3 4 4" xfId="36416"/>
    <cellStyle name="Normal 2 8 3 6 3 5" xfId="36417"/>
    <cellStyle name="Normal 2 8 3 6 3 5 2" xfId="36418"/>
    <cellStyle name="Normal 2 8 3 6 3 6" xfId="36419"/>
    <cellStyle name="Normal 2 8 3 6 3 7" xfId="36420"/>
    <cellStyle name="Normal 2 8 3 6 3 8" xfId="36421"/>
    <cellStyle name="Normal 2 8 3 6 3 9" xfId="36422"/>
    <cellStyle name="Normal 2 8 3 6 4" xfId="36423"/>
    <cellStyle name="Normal 2 8 3 6 4 2" xfId="36424"/>
    <cellStyle name="Normal 2 8 3 6 4 2 2" xfId="36425"/>
    <cellStyle name="Normal 2 8 3 6 4 2 3" xfId="36426"/>
    <cellStyle name="Normal 2 8 3 6 4 3" xfId="36427"/>
    <cellStyle name="Normal 2 8 3 6 4 4" xfId="36428"/>
    <cellStyle name="Normal 2 8 3 6 4 5" xfId="36429"/>
    <cellStyle name="Normal 2 8 3 6 4 6" xfId="36430"/>
    <cellStyle name="Normal 2 8 3 6 5" xfId="36431"/>
    <cellStyle name="Normal 2 8 3 6 5 2" xfId="36432"/>
    <cellStyle name="Normal 2 8 3 6 5 2 2" xfId="36433"/>
    <cellStyle name="Normal 2 8 3 6 5 3" xfId="36434"/>
    <cellStyle name="Normal 2 8 3 6 5 4" xfId="36435"/>
    <cellStyle name="Normal 2 8 3 6 5 5" xfId="36436"/>
    <cellStyle name="Normal 2 8 3 6 6" xfId="36437"/>
    <cellStyle name="Normal 2 8 3 6 6 2" xfId="36438"/>
    <cellStyle name="Normal 2 8 3 6 6 3" xfId="36439"/>
    <cellStyle name="Normal 2 8 3 6 6 4" xfId="36440"/>
    <cellStyle name="Normal 2 8 3 6 7" xfId="36441"/>
    <cellStyle name="Normal 2 8 3 6 7 2" xfId="36442"/>
    <cellStyle name="Normal 2 8 3 6 8" xfId="36443"/>
    <cellStyle name="Normal 2 8 3 6 9" xfId="36444"/>
    <cellStyle name="Normal 2 8 3 7" xfId="36445"/>
    <cellStyle name="Normal 2 8 3 7 10" xfId="36446"/>
    <cellStyle name="Normal 2 8 3 7 11" xfId="36447"/>
    <cellStyle name="Normal 2 8 3 7 2" xfId="36448"/>
    <cellStyle name="Normal 2 8 3 7 2 2" xfId="36449"/>
    <cellStyle name="Normal 2 8 3 7 2 2 2" xfId="36450"/>
    <cellStyle name="Normal 2 8 3 7 2 2 2 2" xfId="36451"/>
    <cellStyle name="Normal 2 8 3 7 2 2 2 3" xfId="36452"/>
    <cellStyle name="Normal 2 8 3 7 2 2 3" xfId="36453"/>
    <cellStyle name="Normal 2 8 3 7 2 2 4" xfId="36454"/>
    <cellStyle name="Normal 2 8 3 7 2 2 5" xfId="36455"/>
    <cellStyle name="Normal 2 8 3 7 2 2 6" xfId="36456"/>
    <cellStyle name="Normal 2 8 3 7 2 3" xfId="36457"/>
    <cellStyle name="Normal 2 8 3 7 2 3 2" xfId="36458"/>
    <cellStyle name="Normal 2 8 3 7 2 3 2 2" xfId="36459"/>
    <cellStyle name="Normal 2 8 3 7 2 3 3" xfId="36460"/>
    <cellStyle name="Normal 2 8 3 7 2 3 4" xfId="36461"/>
    <cellStyle name="Normal 2 8 3 7 2 3 5" xfId="36462"/>
    <cellStyle name="Normal 2 8 3 7 2 4" xfId="36463"/>
    <cellStyle name="Normal 2 8 3 7 2 4 2" xfId="36464"/>
    <cellStyle name="Normal 2 8 3 7 2 4 3" xfId="36465"/>
    <cellStyle name="Normal 2 8 3 7 2 4 4" xfId="36466"/>
    <cellStyle name="Normal 2 8 3 7 2 5" xfId="36467"/>
    <cellStyle name="Normal 2 8 3 7 2 5 2" xfId="36468"/>
    <cellStyle name="Normal 2 8 3 7 2 6" xfId="36469"/>
    <cellStyle name="Normal 2 8 3 7 2 7" xfId="36470"/>
    <cellStyle name="Normal 2 8 3 7 2 8" xfId="36471"/>
    <cellStyle name="Normal 2 8 3 7 2 9" xfId="36472"/>
    <cellStyle name="Normal 2 8 3 7 3" xfId="36473"/>
    <cellStyle name="Normal 2 8 3 7 3 2" xfId="36474"/>
    <cellStyle name="Normal 2 8 3 7 3 2 2" xfId="36475"/>
    <cellStyle name="Normal 2 8 3 7 3 2 2 2" xfId="36476"/>
    <cellStyle name="Normal 2 8 3 7 3 2 2 3" xfId="36477"/>
    <cellStyle name="Normal 2 8 3 7 3 2 3" xfId="36478"/>
    <cellStyle name="Normal 2 8 3 7 3 2 4" xfId="36479"/>
    <cellStyle name="Normal 2 8 3 7 3 2 5" xfId="36480"/>
    <cellStyle name="Normal 2 8 3 7 3 2 6" xfId="36481"/>
    <cellStyle name="Normal 2 8 3 7 3 3" xfId="36482"/>
    <cellStyle name="Normal 2 8 3 7 3 3 2" xfId="36483"/>
    <cellStyle name="Normal 2 8 3 7 3 3 2 2" xfId="36484"/>
    <cellStyle name="Normal 2 8 3 7 3 3 3" xfId="36485"/>
    <cellStyle name="Normal 2 8 3 7 3 3 4" xfId="36486"/>
    <cellStyle name="Normal 2 8 3 7 3 3 5" xfId="36487"/>
    <cellStyle name="Normal 2 8 3 7 3 4" xfId="36488"/>
    <cellStyle name="Normal 2 8 3 7 3 4 2" xfId="36489"/>
    <cellStyle name="Normal 2 8 3 7 3 4 3" xfId="36490"/>
    <cellStyle name="Normal 2 8 3 7 3 4 4" xfId="36491"/>
    <cellStyle name="Normal 2 8 3 7 3 5" xfId="36492"/>
    <cellStyle name="Normal 2 8 3 7 3 5 2" xfId="36493"/>
    <cellStyle name="Normal 2 8 3 7 3 6" xfId="36494"/>
    <cellStyle name="Normal 2 8 3 7 3 7" xfId="36495"/>
    <cellStyle name="Normal 2 8 3 7 3 8" xfId="36496"/>
    <cellStyle name="Normal 2 8 3 7 3 9" xfId="36497"/>
    <cellStyle name="Normal 2 8 3 7 4" xfId="36498"/>
    <cellStyle name="Normal 2 8 3 7 4 2" xfId="36499"/>
    <cellStyle name="Normal 2 8 3 7 4 2 2" xfId="36500"/>
    <cellStyle name="Normal 2 8 3 7 4 2 3" xfId="36501"/>
    <cellStyle name="Normal 2 8 3 7 4 3" xfId="36502"/>
    <cellStyle name="Normal 2 8 3 7 4 4" xfId="36503"/>
    <cellStyle name="Normal 2 8 3 7 4 5" xfId="36504"/>
    <cellStyle name="Normal 2 8 3 7 4 6" xfId="36505"/>
    <cellStyle name="Normal 2 8 3 7 5" xfId="36506"/>
    <cellStyle name="Normal 2 8 3 7 5 2" xfId="36507"/>
    <cellStyle name="Normal 2 8 3 7 5 2 2" xfId="36508"/>
    <cellStyle name="Normal 2 8 3 7 5 3" xfId="36509"/>
    <cellStyle name="Normal 2 8 3 7 5 4" xfId="36510"/>
    <cellStyle name="Normal 2 8 3 7 5 5" xfId="36511"/>
    <cellStyle name="Normal 2 8 3 7 6" xfId="36512"/>
    <cellStyle name="Normal 2 8 3 7 6 2" xfId="36513"/>
    <cellStyle name="Normal 2 8 3 7 6 3" xfId="36514"/>
    <cellStyle name="Normal 2 8 3 7 6 4" xfId="36515"/>
    <cellStyle name="Normal 2 8 3 7 7" xfId="36516"/>
    <cellStyle name="Normal 2 8 3 7 7 2" xfId="36517"/>
    <cellStyle name="Normal 2 8 3 7 8" xfId="36518"/>
    <cellStyle name="Normal 2 8 3 7 9" xfId="36519"/>
    <cellStyle name="Normal 2 8 3 8" xfId="36520"/>
    <cellStyle name="Normal 2 8 3 8 10" xfId="36521"/>
    <cellStyle name="Normal 2 8 3 8 2" xfId="36522"/>
    <cellStyle name="Normal 2 8 3 8 2 2" xfId="36523"/>
    <cellStyle name="Normal 2 8 3 8 2 2 2" xfId="36524"/>
    <cellStyle name="Normal 2 8 3 8 2 2 3" xfId="36525"/>
    <cellStyle name="Normal 2 8 3 8 2 3" xfId="36526"/>
    <cellStyle name="Normal 2 8 3 8 2 4" xfId="36527"/>
    <cellStyle name="Normal 2 8 3 8 2 5" xfId="36528"/>
    <cellStyle name="Normal 2 8 3 8 2 6" xfId="36529"/>
    <cellStyle name="Normal 2 8 3 8 3" xfId="36530"/>
    <cellStyle name="Normal 2 8 3 8 3 2" xfId="36531"/>
    <cellStyle name="Normal 2 8 3 8 3 2 2" xfId="36532"/>
    <cellStyle name="Normal 2 8 3 8 3 2 3" xfId="36533"/>
    <cellStyle name="Normal 2 8 3 8 3 3" xfId="36534"/>
    <cellStyle name="Normal 2 8 3 8 3 4" xfId="36535"/>
    <cellStyle name="Normal 2 8 3 8 3 5" xfId="36536"/>
    <cellStyle name="Normal 2 8 3 8 3 6" xfId="36537"/>
    <cellStyle name="Normal 2 8 3 8 4" xfId="36538"/>
    <cellStyle name="Normal 2 8 3 8 4 2" xfId="36539"/>
    <cellStyle name="Normal 2 8 3 8 4 2 2" xfId="36540"/>
    <cellStyle name="Normal 2 8 3 8 4 3" xfId="36541"/>
    <cellStyle name="Normal 2 8 3 8 4 4" xfId="36542"/>
    <cellStyle name="Normal 2 8 3 8 4 5" xfId="36543"/>
    <cellStyle name="Normal 2 8 3 8 5" xfId="36544"/>
    <cellStyle name="Normal 2 8 3 8 5 2" xfId="36545"/>
    <cellStyle name="Normal 2 8 3 8 5 3" xfId="36546"/>
    <cellStyle name="Normal 2 8 3 8 5 4" xfId="36547"/>
    <cellStyle name="Normal 2 8 3 8 6" xfId="36548"/>
    <cellStyle name="Normal 2 8 3 8 6 2" xfId="36549"/>
    <cellStyle name="Normal 2 8 3 8 7" xfId="36550"/>
    <cellStyle name="Normal 2 8 3 8 8" xfId="36551"/>
    <cellStyle name="Normal 2 8 3 8 9" xfId="36552"/>
    <cellStyle name="Normal 2 8 3 9" xfId="36553"/>
    <cellStyle name="Normal 2 8 3 9 10" xfId="36554"/>
    <cellStyle name="Normal 2 8 3 9 2" xfId="36555"/>
    <cellStyle name="Normal 2 8 3 9 2 2" xfId="36556"/>
    <cellStyle name="Normal 2 8 3 9 2 2 2" xfId="36557"/>
    <cellStyle name="Normal 2 8 3 9 2 2 3" xfId="36558"/>
    <cellStyle name="Normal 2 8 3 9 2 3" xfId="36559"/>
    <cellStyle name="Normal 2 8 3 9 2 4" xfId="36560"/>
    <cellStyle name="Normal 2 8 3 9 2 5" xfId="36561"/>
    <cellStyle name="Normal 2 8 3 9 2 6" xfId="36562"/>
    <cellStyle name="Normal 2 8 3 9 3" xfId="36563"/>
    <cellStyle name="Normal 2 8 3 9 3 2" xfId="36564"/>
    <cellStyle name="Normal 2 8 3 9 3 2 2" xfId="36565"/>
    <cellStyle name="Normal 2 8 3 9 3 2 3" xfId="36566"/>
    <cellStyle name="Normal 2 8 3 9 3 3" xfId="36567"/>
    <cellStyle name="Normal 2 8 3 9 3 4" xfId="36568"/>
    <cellStyle name="Normal 2 8 3 9 3 5" xfId="36569"/>
    <cellStyle name="Normal 2 8 3 9 3 6" xfId="36570"/>
    <cellStyle name="Normal 2 8 3 9 4" xfId="36571"/>
    <cellStyle name="Normal 2 8 3 9 4 2" xfId="36572"/>
    <cellStyle name="Normal 2 8 3 9 4 2 2" xfId="36573"/>
    <cellStyle name="Normal 2 8 3 9 4 3" xfId="36574"/>
    <cellStyle name="Normal 2 8 3 9 4 4" xfId="36575"/>
    <cellStyle name="Normal 2 8 3 9 4 5" xfId="36576"/>
    <cellStyle name="Normal 2 8 3 9 5" xfId="36577"/>
    <cellStyle name="Normal 2 8 3 9 5 2" xfId="36578"/>
    <cellStyle name="Normal 2 8 3 9 5 3" xfId="36579"/>
    <cellStyle name="Normal 2 8 3 9 5 4" xfId="36580"/>
    <cellStyle name="Normal 2 8 3 9 6" xfId="36581"/>
    <cellStyle name="Normal 2 8 3 9 6 2" xfId="36582"/>
    <cellStyle name="Normal 2 8 3 9 7" xfId="36583"/>
    <cellStyle name="Normal 2 8 3 9 8" xfId="36584"/>
    <cellStyle name="Normal 2 8 3 9 9" xfId="36585"/>
    <cellStyle name="Normal 2 8 30" xfId="36586"/>
    <cellStyle name="Normal 2 8 30 2" xfId="36587"/>
    <cellStyle name="Normal 2 8 30 2 2" xfId="36588"/>
    <cellStyle name="Normal 2 8 30 2 2 2" xfId="36589"/>
    <cellStyle name="Normal 2 8 30 2 2 3" xfId="36590"/>
    <cellStyle name="Normal 2 8 30 2 3" xfId="36591"/>
    <cellStyle name="Normal 2 8 30 2 4" xfId="36592"/>
    <cellStyle name="Normal 2 8 30 2 5" xfId="36593"/>
    <cellStyle name="Normal 2 8 30 2 6" xfId="36594"/>
    <cellStyle name="Normal 2 8 30 3" xfId="36595"/>
    <cellStyle name="Normal 2 8 30 3 2" xfId="36596"/>
    <cellStyle name="Normal 2 8 30 3 2 2" xfId="36597"/>
    <cellStyle name="Normal 2 8 30 3 3" xfId="36598"/>
    <cellStyle name="Normal 2 8 30 3 4" xfId="36599"/>
    <cellStyle name="Normal 2 8 30 3 5" xfId="36600"/>
    <cellStyle name="Normal 2 8 30 4" xfId="36601"/>
    <cellStyle name="Normal 2 8 30 4 2" xfId="36602"/>
    <cellStyle name="Normal 2 8 30 4 3" xfId="36603"/>
    <cellStyle name="Normal 2 8 30 4 4" xfId="36604"/>
    <cellStyle name="Normal 2 8 30 5" xfId="36605"/>
    <cellStyle name="Normal 2 8 30 5 2" xfId="36606"/>
    <cellStyle name="Normal 2 8 30 6" xfId="36607"/>
    <cellStyle name="Normal 2 8 30 7" xfId="36608"/>
    <cellStyle name="Normal 2 8 30 8" xfId="36609"/>
    <cellStyle name="Normal 2 8 30 9" xfId="36610"/>
    <cellStyle name="Normal 2 8 31" xfId="36611"/>
    <cellStyle name="Normal 2 8 31 2" xfId="36612"/>
    <cellStyle name="Normal 2 8 31 2 2" xfId="36613"/>
    <cellStyle name="Normal 2 8 31 2 2 2" xfId="36614"/>
    <cellStyle name="Normal 2 8 31 2 2 3" xfId="36615"/>
    <cellStyle name="Normal 2 8 31 2 3" xfId="36616"/>
    <cellStyle name="Normal 2 8 31 2 4" xfId="36617"/>
    <cellStyle name="Normal 2 8 31 2 5" xfId="36618"/>
    <cellStyle name="Normal 2 8 31 2 6" xfId="36619"/>
    <cellStyle name="Normal 2 8 31 3" xfId="36620"/>
    <cellStyle name="Normal 2 8 31 3 2" xfId="36621"/>
    <cellStyle name="Normal 2 8 31 3 2 2" xfId="36622"/>
    <cellStyle name="Normal 2 8 31 3 3" xfId="36623"/>
    <cellStyle name="Normal 2 8 31 3 4" xfId="36624"/>
    <cellStyle name="Normal 2 8 31 3 5" xfId="36625"/>
    <cellStyle name="Normal 2 8 31 4" xfId="36626"/>
    <cellStyle name="Normal 2 8 31 4 2" xfId="36627"/>
    <cellStyle name="Normal 2 8 31 4 3" xfId="36628"/>
    <cellStyle name="Normal 2 8 31 4 4" xfId="36629"/>
    <cellStyle name="Normal 2 8 31 5" xfId="36630"/>
    <cellStyle name="Normal 2 8 31 5 2" xfId="36631"/>
    <cellStyle name="Normal 2 8 31 6" xfId="36632"/>
    <cellStyle name="Normal 2 8 31 7" xfId="36633"/>
    <cellStyle name="Normal 2 8 31 8" xfId="36634"/>
    <cellStyle name="Normal 2 8 31 9" xfId="36635"/>
    <cellStyle name="Normal 2 8 32" xfId="36636"/>
    <cellStyle name="Normal 2 8 32 2" xfId="36637"/>
    <cellStyle name="Normal 2 8 32 2 2" xfId="36638"/>
    <cellStyle name="Normal 2 8 32 2 3" xfId="36639"/>
    <cellStyle name="Normal 2 8 32 3" xfId="36640"/>
    <cellStyle name="Normal 2 8 32 4" xfId="36641"/>
    <cellStyle name="Normal 2 8 32 5" xfId="36642"/>
    <cellStyle name="Normal 2 8 32 6" xfId="36643"/>
    <cellStyle name="Normal 2 8 33" xfId="36644"/>
    <cellStyle name="Normal 2 8 33 2" xfId="36645"/>
    <cellStyle name="Normal 2 8 33 2 2" xfId="36646"/>
    <cellStyle name="Normal 2 8 33 3" xfId="36647"/>
    <cellStyle name="Normal 2 8 33 4" xfId="36648"/>
    <cellStyle name="Normal 2 8 33 5" xfId="36649"/>
    <cellStyle name="Normal 2 8 34" xfId="36650"/>
    <cellStyle name="Normal 2 8 34 2" xfId="36651"/>
    <cellStyle name="Normal 2 8 34 2 2" xfId="36652"/>
    <cellStyle name="Normal 2 8 34 3" xfId="36653"/>
    <cellStyle name="Normal 2 8 34 4" xfId="36654"/>
    <cellStyle name="Normal 2 8 34 5" xfId="36655"/>
    <cellStyle name="Normal 2 8 35" xfId="36656"/>
    <cellStyle name="Normal 2 8 35 2" xfId="36657"/>
    <cellStyle name="Normal 2 8 36" xfId="36658"/>
    <cellStyle name="Normal 2 8 37" xfId="36659"/>
    <cellStyle name="Normal 2 8 38" xfId="36660"/>
    <cellStyle name="Normal 2 8 39" xfId="36661"/>
    <cellStyle name="Normal 2 8 4" xfId="36662"/>
    <cellStyle name="Normal 2 8 4 10" xfId="36663"/>
    <cellStyle name="Normal 2 8 4 10 10" xfId="36664"/>
    <cellStyle name="Normal 2 8 4 10 2" xfId="36665"/>
    <cellStyle name="Normal 2 8 4 10 2 2" xfId="36666"/>
    <cellStyle name="Normal 2 8 4 10 2 2 2" xfId="36667"/>
    <cellStyle name="Normal 2 8 4 10 2 2 3" xfId="36668"/>
    <cellStyle name="Normal 2 8 4 10 2 3" xfId="36669"/>
    <cellStyle name="Normal 2 8 4 10 2 4" xfId="36670"/>
    <cellStyle name="Normal 2 8 4 10 2 5" xfId="36671"/>
    <cellStyle name="Normal 2 8 4 10 2 6" xfId="36672"/>
    <cellStyle name="Normal 2 8 4 10 3" xfId="36673"/>
    <cellStyle name="Normal 2 8 4 10 3 2" xfId="36674"/>
    <cellStyle name="Normal 2 8 4 10 3 2 2" xfId="36675"/>
    <cellStyle name="Normal 2 8 4 10 3 2 3" xfId="36676"/>
    <cellStyle name="Normal 2 8 4 10 3 3" xfId="36677"/>
    <cellStyle name="Normal 2 8 4 10 3 4" xfId="36678"/>
    <cellStyle name="Normal 2 8 4 10 3 5" xfId="36679"/>
    <cellStyle name="Normal 2 8 4 10 3 6" xfId="36680"/>
    <cellStyle name="Normal 2 8 4 10 4" xfId="36681"/>
    <cellStyle name="Normal 2 8 4 10 4 2" xfId="36682"/>
    <cellStyle name="Normal 2 8 4 10 4 2 2" xfId="36683"/>
    <cellStyle name="Normal 2 8 4 10 4 3" xfId="36684"/>
    <cellStyle name="Normal 2 8 4 10 4 4" xfId="36685"/>
    <cellStyle name="Normal 2 8 4 10 4 5" xfId="36686"/>
    <cellStyle name="Normal 2 8 4 10 5" xfId="36687"/>
    <cellStyle name="Normal 2 8 4 10 5 2" xfId="36688"/>
    <cellStyle name="Normal 2 8 4 10 5 3" xfId="36689"/>
    <cellStyle name="Normal 2 8 4 10 5 4" xfId="36690"/>
    <cellStyle name="Normal 2 8 4 10 6" xfId="36691"/>
    <cellStyle name="Normal 2 8 4 10 6 2" xfId="36692"/>
    <cellStyle name="Normal 2 8 4 10 7" xfId="36693"/>
    <cellStyle name="Normal 2 8 4 10 8" xfId="36694"/>
    <cellStyle name="Normal 2 8 4 10 9" xfId="36695"/>
    <cellStyle name="Normal 2 8 4 11" xfId="36696"/>
    <cellStyle name="Normal 2 8 4 11 10" xfId="36697"/>
    <cellStyle name="Normal 2 8 4 11 2" xfId="36698"/>
    <cellStyle name="Normal 2 8 4 11 2 2" xfId="36699"/>
    <cellStyle name="Normal 2 8 4 11 2 2 2" xfId="36700"/>
    <cellStyle name="Normal 2 8 4 11 2 2 3" xfId="36701"/>
    <cellStyle name="Normal 2 8 4 11 2 3" xfId="36702"/>
    <cellStyle name="Normal 2 8 4 11 2 4" xfId="36703"/>
    <cellStyle name="Normal 2 8 4 11 2 5" xfId="36704"/>
    <cellStyle name="Normal 2 8 4 11 2 6" xfId="36705"/>
    <cellStyle name="Normal 2 8 4 11 3" xfId="36706"/>
    <cellStyle name="Normal 2 8 4 11 3 2" xfId="36707"/>
    <cellStyle name="Normal 2 8 4 11 3 2 2" xfId="36708"/>
    <cellStyle name="Normal 2 8 4 11 3 2 3" xfId="36709"/>
    <cellStyle name="Normal 2 8 4 11 3 3" xfId="36710"/>
    <cellStyle name="Normal 2 8 4 11 3 4" xfId="36711"/>
    <cellStyle name="Normal 2 8 4 11 3 5" xfId="36712"/>
    <cellStyle name="Normal 2 8 4 11 3 6" xfId="36713"/>
    <cellStyle name="Normal 2 8 4 11 4" xfId="36714"/>
    <cellStyle name="Normal 2 8 4 11 4 2" xfId="36715"/>
    <cellStyle name="Normal 2 8 4 11 4 2 2" xfId="36716"/>
    <cellStyle name="Normal 2 8 4 11 4 3" xfId="36717"/>
    <cellStyle name="Normal 2 8 4 11 4 4" xfId="36718"/>
    <cellStyle name="Normal 2 8 4 11 4 5" xfId="36719"/>
    <cellStyle name="Normal 2 8 4 11 5" xfId="36720"/>
    <cellStyle name="Normal 2 8 4 11 5 2" xfId="36721"/>
    <cellStyle name="Normal 2 8 4 11 5 3" xfId="36722"/>
    <cellStyle name="Normal 2 8 4 11 5 4" xfId="36723"/>
    <cellStyle name="Normal 2 8 4 11 6" xfId="36724"/>
    <cellStyle name="Normal 2 8 4 11 6 2" xfId="36725"/>
    <cellStyle name="Normal 2 8 4 11 7" xfId="36726"/>
    <cellStyle name="Normal 2 8 4 11 8" xfId="36727"/>
    <cellStyle name="Normal 2 8 4 11 9" xfId="36728"/>
    <cellStyle name="Normal 2 8 4 12" xfId="36729"/>
    <cellStyle name="Normal 2 8 4 12 10" xfId="36730"/>
    <cellStyle name="Normal 2 8 4 12 2" xfId="36731"/>
    <cellStyle name="Normal 2 8 4 12 2 2" xfId="36732"/>
    <cellStyle name="Normal 2 8 4 12 2 2 2" xfId="36733"/>
    <cellStyle name="Normal 2 8 4 12 2 2 3" xfId="36734"/>
    <cellStyle name="Normal 2 8 4 12 2 3" xfId="36735"/>
    <cellStyle name="Normal 2 8 4 12 2 4" xfId="36736"/>
    <cellStyle name="Normal 2 8 4 12 2 5" xfId="36737"/>
    <cellStyle name="Normal 2 8 4 12 2 6" xfId="36738"/>
    <cellStyle name="Normal 2 8 4 12 3" xfId="36739"/>
    <cellStyle name="Normal 2 8 4 12 3 2" xfId="36740"/>
    <cellStyle name="Normal 2 8 4 12 3 2 2" xfId="36741"/>
    <cellStyle name="Normal 2 8 4 12 3 2 3" xfId="36742"/>
    <cellStyle name="Normal 2 8 4 12 3 3" xfId="36743"/>
    <cellStyle name="Normal 2 8 4 12 3 4" xfId="36744"/>
    <cellStyle name="Normal 2 8 4 12 3 5" xfId="36745"/>
    <cellStyle name="Normal 2 8 4 12 3 6" xfId="36746"/>
    <cellStyle name="Normal 2 8 4 12 4" xfId="36747"/>
    <cellStyle name="Normal 2 8 4 12 4 2" xfId="36748"/>
    <cellStyle name="Normal 2 8 4 12 4 2 2" xfId="36749"/>
    <cellStyle name="Normal 2 8 4 12 4 3" xfId="36750"/>
    <cellStyle name="Normal 2 8 4 12 4 4" xfId="36751"/>
    <cellStyle name="Normal 2 8 4 12 4 5" xfId="36752"/>
    <cellStyle name="Normal 2 8 4 12 5" xfId="36753"/>
    <cellStyle name="Normal 2 8 4 12 5 2" xfId="36754"/>
    <cellStyle name="Normal 2 8 4 12 5 3" xfId="36755"/>
    <cellStyle name="Normal 2 8 4 12 5 4" xfId="36756"/>
    <cellStyle name="Normal 2 8 4 12 6" xfId="36757"/>
    <cellStyle name="Normal 2 8 4 12 6 2" xfId="36758"/>
    <cellStyle name="Normal 2 8 4 12 7" xfId="36759"/>
    <cellStyle name="Normal 2 8 4 12 8" xfId="36760"/>
    <cellStyle name="Normal 2 8 4 12 9" xfId="36761"/>
    <cellStyle name="Normal 2 8 4 13" xfId="36762"/>
    <cellStyle name="Normal 2 8 4 13 2" xfId="36763"/>
    <cellStyle name="Normal 2 8 4 13 2 2" xfId="36764"/>
    <cellStyle name="Normal 2 8 4 13 2 2 2" xfId="36765"/>
    <cellStyle name="Normal 2 8 4 13 2 2 3" xfId="36766"/>
    <cellStyle name="Normal 2 8 4 13 2 3" xfId="36767"/>
    <cellStyle name="Normal 2 8 4 13 2 4" xfId="36768"/>
    <cellStyle name="Normal 2 8 4 13 2 5" xfId="36769"/>
    <cellStyle name="Normal 2 8 4 13 2 6" xfId="36770"/>
    <cellStyle name="Normal 2 8 4 13 3" xfId="36771"/>
    <cellStyle name="Normal 2 8 4 13 3 2" xfId="36772"/>
    <cellStyle name="Normal 2 8 4 13 3 2 2" xfId="36773"/>
    <cellStyle name="Normal 2 8 4 13 3 3" xfId="36774"/>
    <cellStyle name="Normal 2 8 4 13 3 4" xfId="36775"/>
    <cellStyle name="Normal 2 8 4 13 3 5" xfId="36776"/>
    <cellStyle name="Normal 2 8 4 13 4" xfId="36777"/>
    <cellStyle name="Normal 2 8 4 13 4 2" xfId="36778"/>
    <cellStyle name="Normal 2 8 4 13 4 3" xfId="36779"/>
    <cellStyle name="Normal 2 8 4 13 4 4" xfId="36780"/>
    <cellStyle name="Normal 2 8 4 13 5" xfId="36781"/>
    <cellStyle name="Normal 2 8 4 13 5 2" xfId="36782"/>
    <cellStyle name="Normal 2 8 4 13 6" xfId="36783"/>
    <cellStyle name="Normal 2 8 4 13 7" xfId="36784"/>
    <cellStyle name="Normal 2 8 4 13 8" xfId="36785"/>
    <cellStyle name="Normal 2 8 4 13 9" xfId="36786"/>
    <cellStyle name="Normal 2 8 4 14" xfId="36787"/>
    <cellStyle name="Normal 2 8 4 14 2" xfId="36788"/>
    <cellStyle name="Normal 2 8 4 14 2 2" xfId="36789"/>
    <cellStyle name="Normal 2 8 4 14 2 2 2" xfId="36790"/>
    <cellStyle name="Normal 2 8 4 14 2 2 3" xfId="36791"/>
    <cellStyle name="Normal 2 8 4 14 2 3" xfId="36792"/>
    <cellStyle name="Normal 2 8 4 14 2 4" xfId="36793"/>
    <cellStyle name="Normal 2 8 4 14 2 5" xfId="36794"/>
    <cellStyle name="Normal 2 8 4 14 2 6" xfId="36795"/>
    <cellStyle name="Normal 2 8 4 14 3" xfId="36796"/>
    <cellStyle name="Normal 2 8 4 14 3 2" xfId="36797"/>
    <cellStyle name="Normal 2 8 4 14 3 2 2" xfId="36798"/>
    <cellStyle name="Normal 2 8 4 14 3 3" xfId="36799"/>
    <cellStyle name="Normal 2 8 4 14 3 4" xfId="36800"/>
    <cellStyle name="Normal 2 8 4 14 3 5" xfId="36801"/>
    <cellStyle name="Normal 2 8 4 14 4" xfId="36802"/>
    <cellStyle name="Normal 2 8 4 14 4 2" xfId="36803"/>
    <cellStyle name="Normal 2 8 4 14 4 3" xfId="36804"/>
    <cellStyle name="Normal 2 8 4 14 4 4" xfId="36805"/>
    <cellStyle name="Normal 2 8 4 14 5" xfId="36806"/>
    <cellStyle name="Normal 2 8 4 14 5 2" xfId="36807"/>
    <cellStyle name="Normal 2 8 4 14 6" xfId="36808"/>
    <cellStyle name="Normal 2 8 4 14 7" xfId="36809"/>
    <cellStyle name="Normal 2 8 4 14 8" xfId="36810"/>
    <cellStyle name="Normal 2 8 4 14 9" xfId="36811"/>
    <cellStyle name="Normal 2 8 4 15" xfId="36812"/>
    <cellStyle name="Normal 2 8 4 15 2" xfId="36813"/>
    <cellStyle name="Normal 2 8 4 15 2 2" xfId="36814"/>
    <cellStyle name="Normal 2 8 4 15 2 3" xfId="36815"/>
    <cellStyle name="Normal 2 8 4 15 3" xfId="36816"/>
    <cellStyle name="Normal 2 8 4 15 4" xfId="36817"/>
    <cellStyle name="Normal 2 8 4 15 5" xfId="36818"/>
    <cellStyle name="Normal 2 8 4 15 6" xfId="36819"/>
    <cellStyle name="Normal 2 8 4 16" xfId="36820"/>
    <cellStyle name="Normal 2 8 4 16 2" xfId="36821"/>
    <cellStyle name="Normal 2 8 4 16 2 2" xfId="36822"/>
    <cellStyle name="Normal 2 8 4 16 3" xfId="36823"/>
    <cellStyle name="Normal 2 8 4 16 4" xfId="36824"/>
    <cellStyle name="Normal 2 8 4 16 5" xfId="36825"/>
    <cellStyle name="Normal 2 8 4 17" xfId="36826"/>
    <cellStyle name="Normal 2 8 4 17 2" xfId="36827"/>
    <cellStyle name="Normal 2 8 4 17 2 2" xfId="36828"/>
    <cellStyle name="Normal 2 8 4 17 3" xfId="36829"/>
    <cellStyle name="Normal 2 8 4 17 4" xfId="36830"/>
    <cellStyle name="Normal 2 8 4 17 5" xfId="36831"/>
    <cellStyle name="Normal 2 8 4 18" xfId="36832"/>
    <cellStyle name="Normal 2 8 4 18 2" xfId="36833"/>
    <cellStyle name="Normal 2 8 4 19" xfId="36834"/>
    <cellStyle name="Normal 2 8 4 2" xfId="36835"/>
    <cellStyle name="Normal 2 8 4 2 10" xfId="36836"/>
    <cellStyle name="Normal 2 8 4 2 11" xfId="36837"/>
    <cellStyle name="Normal 2 8 4 2 2" xfId="36838"/>
    <cellStyle name="Normal 2 8 4 2 2 2" xfId="36839"/>
    <cellStyle name="Normal 2 8 4 2 2 2 2" xfId="36840"/>
    <cellStyle name="Normal 2 8 4 2 2 2 2 2" xfId="36841"/>
    <cellStyle name="Normal 2 8 4 2 2 2 2 3" xfId="36842"/>
    <cellStyle name="Normal 2 8 4 2 2 2 3" xfId="36843"/>
    <cellStyle name="Normal 2 8 4 2 2 2 4" xfId="36844"/>
    <cellStyle name="Normal 2 8 4 2 2 2 5" xfId="36845"/>
    <cellStyle name="Normal 2 8 4 2 2 2 6" xfId="36846"/>
    <cellStyle name="Normal 2 8 4 2 2 3" xfId="36847"/>
    <cellStyle name="Normal 2 8 4 2 2 3 2" xfId="36848"/>
    <cellStyle name="Normal 2 8 4 2 2 3 2 2" xfId="36849"/>
    <cellStyle name="Normal 2 8 4 2 2 3 3" xfId="36850"/>
    <cellStyle name="Normal 2 8 4 2 2 3 4" xfId="36851"/>
    <cellStyle name="Normal 2 8 4 2 2 3 5" xfId="36852"/>
    <cellStyle name="Normal 2 8 4 2 2 4" xfId="36853"/>
    <cellStyle name="Normal 2 8 4 2 2 4 2" xfId="36854"/>
    <cellStyle name="Normal 2 8 4 2 2 4 3" xfId="36855"/>
    <cellStyle name="Normal 2 8 4 2 2 4 4" xfId="36856"/>
    <cellStyle name="Normal 2 8 4 2 2 5" xfId="36857"/>
    <cellStyle name="Normal 2 8 4 2 2 5 2" xfId="36858"/>
    <cellStyle name="Normal 2 8 4 2 2 6" xfId="36859"/>
    <cellStyle name="Normal 2 8 4 2 2 7" xfId="36860"/>
    <cellStyle name="Normal 2 8 4 2 2 8" xfId="36861"/>
    <cellStyle name="Normal 2 8 4 2 2 9" xfId="36862"/>
    <cellStyle name="Normal 2 8 4 2 3" xfId="36863"/>
    <cellStyle name="Normal 2 8 4 2 3 2" xfId="36864"/>
    <cellStyle name="Normal 2 8 4 2 3 2 2" xfId="36865"/>
    <cellStyle name="Normal 2 8 4 2 3 2 2 2" xfId="36866"/>
    <cellStyle name="Normal 2 8 4 2 3 2 2 3" xfId="36867"/>
    <cellStyle name="Normal 2 8 4 2 3 2 3" xfId="36868"/>
    <cellStyle name="Normal 2 8 4 2 3 2 4" xfId="36869"/>
    <cellStyle name="Normal 2 8 4 2 3 2 5" xfId="36870"/>
    <cellStyle name="Normal 2 8 4 2 3 2 6" xfId="36871"/>
    <cellStyle name="Normal 2 8 4 2 3 3" xfId="36872"/>
    <cellStyle name="Normal 2 8 4 2 3 3 2" xfId="36873"/>
    <cellStyle name="Normal 2 8 4 2 3 3 2 2" xfId="36874"/>
    <cellStyle name="Normal 2 8 4 2 3 3 3" xfId="36875"/>
    <cellStyle name="Normal 2 8 4 2 3 3 4" xfId="36876"/>
    <cellStyle name="Normal 2 8 4 2 3 3 5" xfId="36877"/>
    <cellStyle name="Normal 2 8 4 2 3 4" xfId="36878"/>
    <cellStyle name="Normal 2 8 4 2 3 4 2" xfId="36879"/>
    <cellStyle name="Normal 2 8 4 2 3 4 3" xfId="36880"/>
    <cellStyle name="Normal 2 8 4 2 3 4 4" xfId="36881"/>
    <cellStyle name="Normal 2 8 4 2 3 5" xfId="36882"/>
    <cellStyle name="Normal 2 8 4 2 3 5 2" xfId="36883"/>
    <cellStyle name="Normal 2 8 4 2 3 6" xfId="36884"/>
    <cellStyle name="Normal 2 8 4 2 3 7" xfId="36885"/>
    <cellStyle name="Normal 2 8 4 2 3 8" xfId="36886"/>
    <cellStyle name="Normal 2 8 4 2 3 9" xfId="36887"/>
    <cellStyle name="Normal 2 8 4 2 4" xfId="36888"/>
    <cellStyle name="Normal 2 8 4 2 4 2" xfId="36889"/>
    <cellStyle name="Normal 2 8 4 2 4 2 2" xfId="36890"/>
    <cellStyle name="Normal 2 8 4 2 4 2 3" xfId="36891"/>
    <cellStyle name="Normal 2 8 4 2 4 3" xfId="36892"/>
    <cellStyle name="Normal 2 8 4 2 4 4" xfId="36893"/>
    <cellStyle name="Normal 2 8 4 2 4 5" xfId="36894"/>
    <cellStyle name="Normal 2 8 4 2 4 6" xfId="36895"/>
    <cellStyle name="Normal 2 8 4 2 5" xfId="36896"/>
    <cellStyle name="Normal 2 8 4 2 5 2" xfId="36897"/>
    <cellStyle name="Normal 2 8 4 2 5 2 2" xfId="36898"/>
    <cellStyle name="Normal 2 8 4 2 5 3" xfId="36899"/>
    <cellStyle name="Normal 2 8 4 2 5 4" xfId="36900"/>
    <cellStyle name="Normal 2 8 4 2 5 5" xfId="36901"/>
    <cellStyle name="Normal 2 8 4 2 6" xfId="36902"/>
    <cellStyle name="Normal 2 8 4 2 6 2" xfId="36903"/>
    <cellStyle name="Normal 2 8 4 2 6 3" xfId="36904"/>
    <cellStyle name="Normal 2 8 4 2 6 4" xfId="36905"/>
    <cellStyle name="Normal 2 8 4 2 7" xfId="36906"/>
    <cellStyle name="Normal 2 8 4 2 7 2" xfId="36907"/>
    <cellStyle name="Normal 2 8 4 2 8" xfId="36908"/>
    <cellStyle name="Normal 2 8 4 2 9" xfId="36909"/>
    <cellStyle name="Normal 2 8 4 20" xfId="36910"/>
    <cellStyle name="Normal 2 8 4 21" xfId="36911"/>
    <cellStyle name="Normal 2 8 4 22" xfId="36912"/>
    <cellStyle name="Normal 2 8 4 3" xfId="36913"/>
    <cellStyle name="Normal 2 8 4 3 10" xfId="36914"/>
    <cellStyle name="Normal 2 8 4 3 11" xfId="36915"/>
    <cellStyle name="Normal 2 8 4 3 2" xfId="36916"/>
    <cellStyle name="Normal 2 8 4 3 2 2" xfId="36917"/>
    <cellStyle name="Normal 2 8 4 3 2 2 2" xfId="36918"/>
    <cellStyle name="Normal 2 8 4 3 2 2 2 2" xfId="36919"/>
    <cellStyle name="Normal 2 8 4 3 2 2 2 3" xfId="36920"/>
    <cellStyle name="Normal 2 8 4 3 2 2 3" xfId="36921"/>
    <cellStyle name="Normal 2 8 4 3 2 2 4" xfId="36922"/>
    <cellStyle name="Normal 2 8 4 3 2 2 5" xfId="36923"/>
    <cellStyle name="Normal 2 8 4 3 2 2 6" xfId="36924"/>
    <cellStyle name="Normal 2 8 4 3 2 3" xfId="36925"/>
    <cellStyle name="Normal 2 8 4 3 2 3 2" xfId="36926"/>
    <cellStyle name="Normal 2 8 4 3 2 3 2 2" xfId="36927"/>
    <cellStyle name="Normal 2 8 4 3 2 3 3" xfId="36928"/>
    <cellStyle name="Normal 2 8 4 3 2 3 4" xfId="36929"/>
    <cellStyle name="Normal 2 8 4 3 2 3 5" xfId="36930"/>
    <cellStyle name="Normal 2 8 4 3 2 4" xfId="36931"/>
    <cellStyle name="Normal 2 8 4 3 2 4 2" xfId="36932"/>
    <cellStyle name="Normal 2 8 4 3 2 4 3" xfId="36933"/>
    <cellStyle name="Normal 2 8 4 3 2 4 4" xfId="36934"/>
    <cellStyle name="Normal 2 8 4 3 2 5" xfId="36935"/>
    <cellStyle name="Normal 2 8 4 3 2 5 2" xfId="36936"/>
    <cellStyle name="Normal 2 8 4 3 2 6" xfId="36937"/>
    <cellStyle name="Normal 2 8 4 3 2 7" xfId="36938"/>
    <cellStyle name="Normal 2 8 4 3 2 8" xfId="36939"/>
    <cellStyle name="Normal 2 8 4 3 2 9" xfId="36940"/>
    <cellStyle name="Normal 2 8 4 3 3" xfId="36941"/>
    <cellStyle name="Normal 2 8 4 3 3 2" xfId="36942"/>
    <cellStyle name="Normal 2 8 4 3 3 2 2" xfId="36943"/>
    <cellStyle name="Normal 2 8 4 3 3 2 2 2" xfId="36944"/>
    <cellStyle name="Normal 2 8 4 3 3 2 2 3" xfId="36945"/>
    <cellStyle name="Normal 2 8 4 3 3 2 3" xfId="36946"/>
    <cellStyle name="Normal 2 8 4 3 3 2 4" xfId="36947"/>
    <cellStyle name="Normal 2 8 4 3 3 2 5" xfId="36948"/>
    <cellStyle name="Normal 2 8 4 3 3 2 6" xfId="36949"/>
    <cellStyle name="Normal 2 8 4 3 3 3" xfId="36950"/>
    <cellStyle name="Normal 2 8 4 3 3 3 2" xfId="36951"/>
    <cellStyle name="Normal 2 8 4 3 3 3 2 2" xfId="36952"/>
    <cellStyle name="Normal 2 8 4 3 3 3 3" xfId="36953"/>
    <cellStyle name="Normal 2 8 4 3 3 3 4" xfId="36954"/>
    <cellStyle name="Normal 2 8 4 3 3 3 5" xfId="36955"/>
    <cellStyle name="Normal 2 8 4 3 3 4" xfId="36956"/>
    <cellStyle name="Normal 2 8 4 3 3 4 2" xfId="36957"/>
    <cellStyle name="Normal 2 8 4 3 3 4 3" xfId="36958"/>
    <cellStyle name="Normal 2 8 4 3 3 4 4" xfId="36959"/>
    <cellStyle name="Normal 2 8 4 3 3 5" xfId="36960"/>
    <cellStyle name="Normal 2 8 4 3 3 5 2" xfId="36961"/>
    <cellStyle name="Normal 2 8 4 3 3 6" xfId="36962"/>
    <cellStyle name="Normal 2 8 4 3 3 7" xfId="36963"/>
    <cellStyle name="Normal 2 8 4 3 3 8" xfId="36964"/>
    <cellStyle name="Normal 2 8 4 3 3 9" xfId="36965"/>
    <cellStyle name="Normal 2 8 4 3 4" xfId="36966"/>
    <cellStyle name="Normal 2 8 4 3 4 2" xfId="36967"/>
    <cellStyle name="Normal 2 8 4 3 4 2 2" xfId="36968"/>
    <cellStyle name="Normal 2 8 4 3 4 2 3" xfId="36969"/>
    <cellStyle name="Normal 2 8 4 3 4 3" xfId="36970"/>
    <cellStyle name="Normal 2 8 4 3 4 4" xfId="36971"/>
    <cellStyle name="Normal 2 8 4 3 4 5" xfId="36972"/>
    <cellStyle name="Normal 2 8 4 3 4 6" xfId="36973"/>
    <cellStyle name="Normal 2 8 4 3 5" xfId="36974"/>
    <cellStyle name="Normal 2 8 4 3 5 2" xfId="36975"/>
    <cellStyle name="Normal 2 8 4 3 5 2 2" xfId="36976"/>
    <cellStyle name="Normal 2 8 4 3 5 3" xfId="36977"/>
    <cellStyle name="Normal 2 8 4 3 5 4" xfId="36978"/>
    <cellStyle name="Normal 2 8 4 3 5 5" xfId="36979"/>
    <cellStyle name="Normal 2 8 4 3 6" xfId="36980"/>
    <cellStyle name="Normal 2 8 4 3 6 2" xfId="36981"/>
    <cellStyle name="Normal 2 8 4 3 6 3" xfId="36982"/>
    <cellStyle name="Normal 2 8 4 3 6 4" xfId="36983"/>
    <cellStyle name="Normal 2 8 4 3 7" xfId="36984"/>
    <cellStyle name="Normal 2 8 4 3 7 2" xfId="36985"/>
    <cellStyle name="Normal 2 8 4 3 8" xfId="36986"/>
    <cellStyle name="Normal 2 8 4 3 9" xfId="36987"/>
    <cellStyle name="Normal 2 8 4 4" xfId="36988"/>
    <cellStyle name="Normal 2 8 4 4 10" xfId="36989"/>
    <cellStyle name="Normal 2 8 4 4 11" xfId="36990"/>
    <cellStyle name="Normal 2 8 4 4 2" xfId="36991"/>
    <cellStyle name="Normal 2 8 4 4 2 2" xfId="36992"/>
    <cellStyle name="Normal 2 8 4 4 2 2 2" xfId="36993"/>
    <cellStyle name="Normal 2 8 4 4 2 2 2 2" xfId="36994"/>
    <cellStyle name="Normal 2 8 4 4 2 2 2 3" xfId="36995"/>
    <cellStyle name="Normal 2 8 4 4 2 2 3" xfId="36996"/>
    <cellStyle name="Normal 2 8 4 4 2 2 4" xfId="36997"/>
    <cellStyle name="Normal 2 8 4 4 2 2 5" xfId="36998"/>
    <cellStyle name="Normal 2 8 4 4 2 2 6" xfId="36999"/>
    <cellStyle name="Normal 2 8 4 4 2 3" xfId="37000"/>
    <cellStyle name="Normal 2 8 4 4 2 3 2" xfId="37001"/>
    <cellStyle name="Normal 2 8 4 4 2 3 2 2" xfId="37002"/>
    <cellStyle name="Normal 2 8 4 4 2 3 3" xfId="37003"/>
    <cellStyle name="Normal 2 8 4 4 2 3 4" xfId="37004"/>
    <cellStyle name="Normal 2 8 4 4 2 3 5" xfId="37005"/>
    <cellStyle name="Normal 2 8 4 4 2 4" xfId="37006"/>
    <cellStyle name="Normal 2 8 4 4 2 4 2" xfId="37007"/>
    <cellStyle name="Normal 2 8 4 4 2 4 3" xfId="37008"/>
    <cellStyle name="Normal 2 8 4 4 2 4 4" xfId="37009"/>
    <cellStyle name="Normal 2 8 4 4 2 5" xfId="37010"/>
    <cellStyle name="Normal 2 8 4 4 2 5 2" xfId="37011"/>
    <cellStyle name="Normal 2 8 4 4 2 6" xfId="37012"/>
    <cellStyle name="Normal 2 8 4 4 2 7" xfId="37013"/>
    <cellStyle name="Normal 2 8 4 4 2 8" xfId="37014"/>
    <cellStyle name="Normal 2 8 4 4 2 9" xfId="37015"/>
    <cellStyle name="Normal 2 8 4 4 3" xfId="37016"/>
    <cellStyle name="Normal 2 8 4 4 3 2" xfId="37017"/>
    <cellStyle name="Normal 2 8 4 4 3 2 2" xfId="37018"/>
    <cellStyle name="Normal 2 8 4 4 3 2 2 2" xfId="37019"/>
    <cellStyle name="Normal 2 8 4 4 3 2 2 3" xfId="37020"/>
    <cellStyle name="Normal 2 8 4 4 3 2 3" xfId="37021"/>
    <cellStyle name="Normal 2 8 4 4 3 2 4" xfId="37022"/>
    <cellStyle name="Normal 2 8 4 4 3 2 5" xfId="37023"/>
    <cellStyle name="Normal 2 8 4 4 3 2 6" xfId="37024"/>
    <cellStyle name="Normal 2 8 4 4 3 3" xfId="37025"/>
    <cellStyle name="Normal 2 8 4 4 3 3 2" xfId="37026"/>
    <cellStyle name="Normal 2 8 4 4 3 3 2 2" xfId="37027"/>
    <cellStyle name="Normal 2 8 4 4 3 3 3" xfId="37028"/>
    <cellStyle name="Normal 2 8 4 4 3 3 4" xfId="37029"/>
    <cellStyle name="Normal 2 8 4 4 3 3 5" xfId="37030"/>
    <cellStyle name="Normal 2 8 4 4 3 4" xfId="37031"/>
    <cellStyle name="Normal 2 8 4 4 3 4 2" xfId="37032"/>
    <cellStyle name="Normal 2 8 4 4 3 4 3" xfId="37033"/>
    <cellStyle name="Normal 2 8 4 4 3 4 4" xfId="37034"/>
    <cellStyle name="Normal 2 8 4 4 3 5" xfId="37035"/>
    <cellStyle name="Normal 2 8 4 4 3 5 2" xfId="37036"/>
    <cellStyle name="Normal 2 8 4 4 3 6" xfId="37037"/>
    <cellStyle name="Normal 2 8 4 4 3 7" xfId="37038"/>
    <cellStyle name="Normal 2 8 4 4 3 8" xfId="37039"/>
    <cellStyle name="Normal 2 8 4 4 3 9" xfId="37040"/>
    <cellStyle name="Normal 2 8 4 4 4" xfId="37041"/>
    <cellStyle name="Normal 2 8 4 4 4 2" xfId="37042"/>
    <cellStyle name="Normal 2 8 4 4 4 2 2" xfId="37043"/>
    <cellStyle name="Normal 2 8 4 4 4 2 3" xfId="37044"/>
    <cellStyle name="Normal 2 8 4 4 4 3" xfId="37045"/>
    <cellStyle name="Normal 2 8 4 4 4 4" xfId="37046"/>
    <cellStyle name="Normal 2 8 4 4 4 5" xfId="37047"/>
    <cellStyle name="Normal 2 8 4 4 4 6" xfId="37048"/>
    <cellStyle name="Normal 2 8 4 4 5" xfId="37049"/>
    <cellStyle name="Normal 2 8 4 4 5 2" xfId="37050"/>
    <cellStyle name="Normal 2 8 4 4 5 2 2" xfId="37051"/>
    <cellStyle name="Normal 2 8 4 4 5 3" xfId="37052"/>
    <cellStyle name="Normal 2 8 4 4 5 4" xfId="37053"/>
    <cellStyle name="Normal 2 8 4 4 5 5" xfId="37054"/>
    <cellStyle name="Normal 2 8 4 4 6" xfId="37055"/>
    <cellStyle name="Normal 2 8 4 4 6 2" xfId="37056"/>
    <cellStyle name="Normal 2 8 4 4 6 3" xfId="37057"/>
    <cellStyle name="Normal 2 8 4 4 6 4" xfId="37058"/>
    <cellStyle name="Normal 2 8 4 4 7" xfId="37059"/>
    <cellStyle name="Normal 2 8 4 4 7 2" xfId="37060"/>
    <cellStyle name="Normal 2 8 4 4 8" xfId="37061"/>
    <cellStyle name="Normal 2 8 4 4 9" xfId="37062"/>
    <cellStyle name="Normal 2 8 4 5" xfId="37063"/>
    <cellStyle name="Normal 2 8 4 5 10" xfId="37064"/>
    <cellStyle name="Normal 2 8 4 5 11" xfId="37065"/>
    <cellStyle name="Normal 2 8 4 5 2" xfId="37066"/>
    <cellStyle name="Normal 2 8 4 5 2 2" xfId="37067"/>
    <cellStyle name="Normal 2 8 4 5 2 2 2" xfId="37068"/>
    <cellStyle name="Normal 2 8 4 5 2 2 2 2" xfId="37069"/>
    <cellStyle name="Normal 2 8 4 5 2 2 2 3" xfId="37070"/>
    <cellStyle name="Normal 2 8 4 5 2 2 3" xfId="37071"/>
    <cellStyle name="Normal 2 8 4 5 2 2 4" xfId="37072"/>
    <cellStyle name="Normal 2 8 4 5 2 2 5" xfId="37073"/>
    <cellStyle name="Normal 2 8 4 5 2 2 6" xfId="37074"/>
    <cellStyle name="Normal 2 8 4 5 2 3" xfId="37075"/>
    <cellStyle name="Normal 2 8 4 5 2 3 2" xfId="37076"/>
    <cellStyle name="Normal 2 8 4 5 2 3 2 2" xfId="37077"/>
    <cellStyle name="Normal 2 8 4 5 2 3 3" xfId="37078"/>
    <cellStyle name="Normal 2 8 4 5 2 3 4" xfId="37079"/>
    <cellStyle name="Normal 2 8 4 5 2 3 5" xfId="37080"/>
    <cellStyle name="Normal 2 8 4 5 2 4" xfId="37081"/>
    <cellStyle name="Normal 2 8 4 5 2 4 2" xfId="37082"/>
    <cellStyle name="Normal 2 8 4 5 2 4 3" xfId="37083"/>
    <cellStyle name="Normal 2 8 4 5 2 4 4" xfId="37084"/>
    <cellStyle name="Normal 2 8 4 5 2 5" xfId="37085"/>
    <cellStyle name="Normal 2 8 4 5 2 5 2" xfId="37086"/>
    <cellStyle name="Normal 2 8 4 5 2 6" xfId="37087"/>
    <cellStyle name="Normal 2 8 4 5 2 7" xfId="37088"/>
    <cellStyle name="Normal 2 8 4 5 2 8" xfId="37089"/>
    <cellStyle name="Normal 2 8 4 5 2 9" xfId="37090"/>
    <cellStyle name="Normal 2 8 4 5 3" xfId="37091"/>
    <cellStyle name="Normal 2 8 4 5 3 2" xfId="37092"/>
    <cellStyle name="Normal 2 8 4 5 3 2 2" xfId="37093"/>
    <cellStyle name="Normal 2 8 4 5 3 2 2 2" xfId="37094"/>
    <cellStyle name="Normal 2 8 4 5 3 2 2 3" xfId="37095"/>
    <cellStyle name="Normal 2 8 4 5 3 2 3" xfId="37096"/>
    <cellStyle name="Normal 2 8 4 5 3 2 4" xfId="37097"/>
    <cellStyle name="Normal 2 8 4 5 3 2 5" xfId="37098"/>
    <cellStyle name="Normal 2 8 4 5 3 2 6" xfId="37099"/>
    <cellStyle name="Normal 2 8 4 5 3 3" xfId="37100"/>
    <cellStyle name="Normal 2 8 4 5 3 3 2" xfId="37101"/>
    <cellStyle name="Normal 2 8 4 5 3 3 2 2" xfId="37102"/>
    <cellStyle name="Normal 2 8 4 5 3 3 3" xfId="37103"/>
    <cellStyle name="Normal 2 8 4 5 3 3 4" xfId="37104"/>
    <cellStyle name="Normal 2 8 4 5 3 3 5" xfId="37105"/>
    <cellStyle name="Normal 2 8 4 5 3 4" xfId="37106"/>
    <cellStyle name="Normal 2 8 4 5 3 4 2" xfId="37107"/>
    <cellStyle name="Normal 2 8 4 5 3 4 3" xfId="37108"/>
    <cellStyle name="Normal 2 8 4 5 3 4 4" xfId="37109"/>
    <cellStyle name="Normal 2 8 4 5 3 5" xfId="37110"/>
    <cellStyle name="Normal 2 8 4 5 3 5 2" xfId="37111"/>
    <cellStyle name="Normal 2 8 4 5 3 6" xfId="37112"/>
    <cellStyle name="Normal 2 8 4 5 3 7" xfId="37113"/>
    <cellStyle name="Normal 2 8 4 5 3 8" xfId="37114"/>
    <cellStyle name="Normal 2 8 4 5 3 9" xfId="37115"/>
    <cellStyle name="Normal 2 8 4 5 4" xfId="37116"/>
    <cellStyle name="Normal 2 8 4 5 4 2" xfId="37117"/>
    <cellStyle name="Normal 2 8 4 5 4 2 2" xfId="37118"/>
    <cellStyle name="Normal 2 8 4 5 4 2 3" xfId="37119"/>
    <cellStyle name="Normal 2 8 4 5 4 3" xfId="37120"/>
    <cellStyle name="Normal 2 8 4 5 4 4" xfId="37121"/>
    <cellStyle name="Normal 2 8 4 5 4 5" xfId="37122"/>
    <cellStyle name="Normal 2 8 4 5 4 6" xfId="37123"/>
    <cellStyle name="Normal 2 8 4 5 5" xfId="37124"/>
    <cellStyle name="Normal 2 8 4 5 5 2" xfId="37125"/>
    <cellStyle name="Normal 2 8 4 5 5 2 2" xfId="37126"/>
    <cellStyle name="Normal 2 8 4 5 5 3" xfId="37127"/>
    <cellStyle name="Normal 2 8 4 5 5 4" xfId="37128"/>
    <cellStyle name="Normal 2 8 4 5 5 5" xfId="37129"/>
    <cellStyle name="Normal 2 8 4 5 6" xfId="37130"/>
    <cellStyle name="Normal 2 8 4 5 6 2" xfId="37131"/>
    <cellStyle name="Normal 2 8 4 5 6 3" xfId="37132"/>
    <cellStyle name="Normal 2 8 4 5 6 4" xfId="37133"/>
    <cellStyle name="Normal 2 8 4 5 7" xfId="37134"/>
    <cellStyle name="Normal 2 8 4 5 7 2" xfId="37135"/>
    <cellStyle name="Normal 2 8 4 5 8" xfId="37136"/>
    <cellStyle name="Normal 2 8 4 5 9" xfId="37137"/>
    <cellStyle name="Normal 2 8 4 6" xfId="37138"/>
    <cellStyle name="Normal 2 8 4 6 10" xfId="37139"/>
    <cellStyle name="Normal 2 8 4 6 11" xfId="37140"/>
    <cellStyle name="Normal 2 8 4 6 2" xfId="37141"/>
    <cellStyle name="Normal 2 8 4 6 2 2" xfId="37142"/>
    <cellStyle name="Normal 2 8 4 6 2 2 2" xfId="37143"/>
    <cellStyle name="Normal 2 8 4 6 2 2 2 2" xfId="37144"/>
    <cellStyle name="Normal 2 8 4 6 2 2 2 3" xfId="37145"/>
    <cellStyle name="Normal 2 8 4 6 2 2 3" xfId="37146"/>
    <cellStyle name="Normal 2 8 4 6 2 2 4" xfId="37147"/>
    <cellStyle name="Normal 2 8 4 6 2 2 5" xfId="37148"/>
    <cellStyle name="Normal 2 8 4 6 2 2 6" xfId="37149"/>
    <cellStyle name="Normal 2 8 4 6 2 3" xfId="37150"/>
    <cellStyle name="Normal 2 8 4 6 2 3 2" xfId="37151"/>
    <cellStyle name="Normal 2 8 4 6 2 3 2 2" xfId="37152"/>
    <cellStyle name="Normal 2 8 4 6 2 3 3" xfId="37153"/>
    <cellStyle name="Normal 2 8 4 6 2 3 4" xfId="37154"/>
    <cellStyle name="Normal 2 8 4 6 2 3 5" xfId="37155"/>
    <cellStyle name="Normal 2 8 4 6 2 4" xfId="37156"/>
    <cellStyle name="Normal 2 8 4 6 2 4 2" xfId="37157"/>
    <cellStyle name="Normal 2 8 4 6 2 4 3" xfId="37158"/>
    <cellStyle name="Normal 2 8 4 6 2 4 4" xfId="37159"/>
    <cellStyle name="Normal 2 8 4 6 2 5" xfId="37160"/>
    <cellStyle name="Normal 2 8 4 6 2 5 2" xfId="37161"/>
    <cellStyle name="Normal 2 8 4 6 2 6" xfId="37162"/>
    <cellStyle name="Normal 2 8 4 6 2 7" xfId="37163"/>
    <cellStyle name="Normal 2 8 4 6 2 8" xfId="37164"/>
    <cellStyle name="Normal 2 8 4 6 2 9" xfId="37165"/>
    <cellStyle name="Normal 2 8 4 6 3" xfId="37166"/>
    <cellStyle name="Normal 2 8 4 6 3 2" xfId="37167"/>
    <cellStyle name="Normal 2 8 4 6 3 2 2" xfId="37168"/>
    <cellStyle name="Normal 2 8 4 6 3 2 2 2" xfId="37169"/>
    <cellStyle name="Normal 2 8 4 6 3 2 2 3" xfId="37170"/>
    <cellStyle name="Normal 2 8 4 6 3 2 3" xfId="37171"/>
    <cellStyle name="Normal 2 8 4 6 3 2 4" xfId="37172"/>
    <cellStyle name="Normal 2 8 4 6 3 2 5" xfId="37173"/>
    <cellStyle name="Normal 2 8 4 6 3 2 6" xfId="37174"/>
    <cellStyle name="Normal 2 8 4 6 3 3" xfId="37175"/>
    <cellStyle name="Normal 2 8 4 6 3 3 2" xfId="37176"/>
    <cellStyle name="Normal 2 8 4 6 3 3 2 2" xfId="37177"/>
    <cellStyle name="Normal 2 8 4 6 3 3 3" xfId="37178"/>
    <cellStyle name="Normal 2 8 4 6 3 3 4" xfId="37179"/>
    <cellStyle name="Normal 2 8 4 6 3 3 5" xfId="37180"/>
    <cellStyle name="Normal 2 8 4 6 3 4" xfId="37181"/>
    <cellStyle name="Normal 2 8 4 6 3 4 2" xfId="37182"/>
    <cellStyle name="Normal 2 8 4 6 3 4 3" xfId="37183"/>
    <cellStyle name="Normal 2 8 4 6 3 4 4" xfId="37184"/>
    <cellStyle name="Normal 2 8 4 6 3 5" xfId="37185"/>
    <cellStyle name="Normal 2 8 4 6 3 5 2" xfId="37186"/>
    <cellStyle name="Normal 2 8 4 6 3 6" xfId="37187"/>
    <cellStyle name="Normal 2 8 4 6 3 7" xfId="37188"/>
    <cellStyle name="Normal 2 8 4 6 3 8" xfId="37189"/>
    <cellStyle name="Normal 2 8 4 6 3 9" xfId="37190"/>
    <cellStyle name="Normal 2 8 4 6 4" xfId="37191"/>
    <cellStyle name="Normal 2 8 4 6 4 2" xfId="37192"/>
    <cellStyle name="Normal 2 8 4 6 4 2 2" xfId="37193"/>
    <cellStyle name="Normal 2 8 4 6 4 2 3" xfId="37194"/>
    <cellStyle name="Normal 2 8 4 6 4 3" xfId="37195"/>
    <cellStyle name="Normal 2 8 4 6 4 4" xfId="37196"/>
    <cellStyle name="Normal 2 8 4 6 4 5" xfId="37197"/>
    <cellStyle name="Normal 2 8 4 6 4 6" xfId="37198"/>
    <cellStyle name="Normal 2 8 4 6 5" xfId="37199"/>
    <cellStyle name="Normal 2 8 4 6 5 2" xfId="37200"/>
    <cellStyle name="Normal 2 8 4 6 5 2 2" xfId="37201"/>
    <cellStyle name="Normal 2 8 4 6 5 3" xfId="37202"/>
    <cellStyle name="Normal 2 8 4 6 5 4" xfId="37203"/>
    <cellStyle name="Normal 2 8 4 6 5 5" xfId="37204"/>
    <cellStyle name="Normal 2 8 4 6 6" xfId="37205"/>
    <cellStyle name="Normal 2 8 4 6 6 2" xfId="37206"/>
    <cellStyle name="Normal 2 8 4 6 6 3" xfId="37207"/>
    <cellStyle name="Normal 2 8 4 6 6 4" xfId="37208"/>
    <cellStyle name="Normal 2 8 4 6 7" xfId="37209"/>
    <cellStyle name="Normal 2 8 4 6 7 2" xfId="37210"/>
    <cellStyle name="Normal 2 8 4 6 8" xfId="37211"/>
    <cellStyle name="Normal 2 8 4 6 9" xfId="37212"/>
    <cellStyle name="Normal 2 8 4 7" xfId="37213"/>
    <cellStyle name="Normal 2 8 4 7 10" xfId="37214"/>
    <cellStyle name="Normal 2 8 4 7 11" xfId="37215"/>
    <cellStyle name="Normal 2 8 4 7 2" xfId="37216"/>
    <cellStyle name="Normal 2 8 4 7 2 2" xfId="37217"/>
    <cellStyle name="Normal 2 8 4 7 2 2 2" xfId="37218"/>
    <cellStyle name="Normal 2 8 4 7 2 2 2 2" xfId="37219"/>
    <cellStyle name="Normal 2 8 4 7 2 2 2 3" xfId="37220"/>
    <cellStyle name="Normal 2 8 4 7 2 2 3" xfId="37221"/>
    <cellStyle name="Normal 2 8 4 7 2 2 4" xfId="37222"/>
    <cellStyle name="Normal 2 8 4 7 2 2 5" xfId="37223"/>
    <cellStyle name="Normal 2 8 4 7 2 2 6" xfId="37224"/>
    <cellStyle name="Normal 2 8 4 7 2 3" xfId="37225"/>
    <cellStyle name="Normal 2 8 4 7 2 3 2" xfId="37226"/>
    <cellStyle name="Normal 2 8 4 7 2 3 2 2" xfId="37227"/>
    <cellStyle name="Normal 2 8 4 7 2 3 3" xfId="37228"/>
    <cellStyle name="Normal 2 8 4 7 2 3 4" xfId="37229"/>
    <cellStyle name="Normal 2 8 4 7 2 3 5" xfId="37230"/>
    <cellStyle name="Normal 2 8 4 7 2 4" xfId="37231"/>
    <cellStyle name="Normal 2 8 4 7 2 4 2" xfId="37232"/>
    <cellStyle name="Normal 2 8 4 7 2 4 3" xfId="37233"/>
    <cellStyle name="Normal 2 8 4 7 2 4 4" xfId="37234"/>
    <cellStyle name="Normal 2 8 4 7 2 5" xfId="37235"/>
    <cellStyle name="Normal 2 8 4 7 2 5 2" xfId="37236"/>
    <cellStyle name="Normal 2 8 4 7 2 6" xfId="37237"/>
    <cellStyle name="Normal 2 8 4 7 2 7" xfId="37238"/>
    <cellStyle name="Normal 2 8 4 7 2 8" xfId="37239"/>
    <cellStyle name="Normal 2 8 4 7 2 9" xfId="37240"/>
    <cellStyle name="Normal 2 8 4 7 3" xfId="37241"/>
    <cellStyle name="Normal 2 8 4 7 3 2" xfId="37242"/>
    <cellStyle name="Normal 2 8 4 7 3 2 2" xfId="37243"/>
    <cellStyle name="Normal 2 8 4 7 3 2 2 2" xfId="37244"/>
    <cellStyle name="Normal 2 8 4 7 3 2 2 3" xfId="37245"/>
    <cellStyle name="Normal 2 8 4 7 3 2 3" xfId="37246"/>
    <cellStyle name="Normal 2 8 4 7 3 2 4" xfId="37247"/>
    <cellStyle name="Normal 2 8 4 7 3 2 5" xfId="37248"/>
    <cellStyle name="Normal 2 8 4 7 3 2 6" xfId="37249"/>
    <cellStyle name="Normal 2 8 4 7 3 3" xfId="37250"/>
    <cellStyle name="Normal 2 8 4 7 3 3 2" xfId="37251"/>
    <cellStyle name="Normal 2 8 4 7 3 3 2 2" xfId="37252"/>
    <cellStyle name="Normal 2 8 4 7 3 3 3" xfId="37253"/>
    <cellStyle name="Normal 2 8 4 7 3 3 4" xfId="37254"/>
    <cellStyle name="Normal 2 8 4 7 3 3 5" xfId="37255"/>
    <cellStyle name="Normal 2 8 4 7 3 4" xfId="37256"/>
    <cellStyle name="Normal 2 8 4 7 3 4 2" xfId="37257"/>
    <cellStyle name="Normal 2 8 4 7 3 4 3" xfId="37258"/>
    <cellStyle name="Normal 2 8 4 7 3 4 4" xfId="37259"/>
    <cellStyle name="Normal 2 8 4 7 3 5" xfId="37260"/>
    <cellStyle name="Normal 2 8 4 7 3 5 2" xfId="37261"/>
    <cellStyle name="Normal 2 8 4 7 3 6" xfId="37262"/>
    <cellStyle name="Normal 2 8 4 7 3 7" xfId="37263"/>
    <cellStyle name="Normal 2 8 4 7 3 8" xfId="37264"/>
    <cellStyle name="Normal 2 8 4 7 3 9" xfId="37265"/>
    <cellStyle name="Normal 2 8 4 7 4" xfId="37266"/>
    <cellStyle name="Normal 2 8 4 7 4 2" xfId="37267"/>
    <cellStyle name="Normal 2 8 4 7 4 2 2" xfId="37268"/>
    <cellStyle name="Normal 2 8 4 7 4 2 3" xfId="37269"/>
    <cellStyle name="Normal 2 8 4 7 4 3" xfId="37270"/>
    <cellStyle name="Normal 2 8 4 7 4 4" xfId="37271"/>
    <cellStyle name="Normal 2 8 4 7 4 5" xfId="37272"/>
    <cellStyle name="Normal 2 8 4 7 4 6" xfId="37273"/>
    <cellStyle name="Normal 2 8 4 7 5" xfId="37274"/>
    <cellStyle name="Normal 2 8 4 7 5 2" xfId="37275"/>
    <cellStyle name="Normal 2 8 4 7 5 2 2" xfId="37276"/>
    <cellStyle name="Normal 2 8 4 7 5 3" xfId="37277"/>
    <cellStyle name="Normal 2 8 4 7 5 4" xfId="37278"/>
    <cellStyle name="Normal 2 8 4 7 5 5" xfId="37279"/>
    <cellStyle name="Normal 2 8 4 7 6" xfId="37280"/>
    <cellStyle name="Normal 2 8 4 7 6 2" xfId="37281"/>
    <cellStyle name="Normal 2 8 4 7 6 3" xfId="37282"/>
    <cellStyle name="Normal 2 8 4 7 6 4" xfId="37283"/>
    <cellStyle name="Normal 2 8 4 7 7" xfId="37284"/>
    <cellStyle name="Normal 2 8 4 7 7 2" xfId="37285"/>
    <cellStyle name="Normal 2 8 4 7 8" xfId="37286"/>
    <cellStyle name="Normal 2 8 4 7 9" xfId="37287"/>
    <cellStyle name="Normal 2 8 4 8" xfId="37288"/>
    <cellStyle name="Normal 2 8 4 8 10" xfId="37289"/>
    <cellStyle name="Normal 2 8 4 8 2" xfId="37290"/>
    <cellStyle name="Normal 2 8 4 8 2 2" xfId="37291"/>
    <cellStyle name="Normal 2 8 4 8 2 2 2" xfId="37292"/>
    <cellStyle name="Normal 2 8 4 8 2 2 3" xfId="37293"/>
    <cellStyle name="Normal 2 8 4 8 2 3" xfId="37294"/>
    <cellStyle name="Normal 2 8 4 8 2 4" xfId="37295"/>
    <cellStyle name="Normal 2 8 4 8 2 5" xfId="37296"/>
    <cellStyle name="Normal 2 8 4 8 2 6" xfId="37297"/>
    <cellStyle name="Normal 2 8 4 8 3" xfId="37298"/>
    <cellStyle name="Normal 2 8 4 8 3 2" xfId="37299"/>
    <cellStyle name="Normal 2 8 4 8 3 2 2" xfId="37300"/>
    <cellStyle name="Normal 2 8 4 8 3 2 3" xfId="37301"/>
    <cellStyle name="Normal 2 8 4 8 3 3" xfId="37302"/>
    <cellStyle name="Normal 2 8 4 8 3 4" xfId="37303"/>
    <cellStyle name="Normal 2 8 4 8 3 5" xfId="37304"/>
    <cellStyle name="Normal 2 8 4 8 3 6" xfId="37305"/>
    <cellStyle name="Normal 2 8 4 8 4" xfId="37306"/>
    <cellStyle name="Normal 2 8 4 8 4 2" xfId="37307"/>
    <cellStyle name="Normal 2 8 4 8 4 2 2" xfId="37308"/>
    <cellStyle name="Normal 2 8 4 8 4 3" xfId="37309"/>
    <cellStyle name="Normal 2 8 4 8 4 4" xfId="37310"/>
    <cellStyle name="Normal 2 8 4 8 4 5" xfId="37311"/>
    <cellStyle name="Normal 2 8 4 8 5" xfId="37312"/>
    <cellStyle name="Normal 2 8 4 8 5 2" xfId="37313"/>
    <cellStyle name="Normal 2 8 4 8 5 3" xfId="37314"/>
    <cellStyle name="Normal 2 8 4 8 5 4" xfId="37315"/>
    <cellStyle name="Normal 2 8 4 8 6" xfId="37316"/>
    <cellStyle name="Normal 2 8 4 8 6 2" xfId="37317"/>
    <cellStyle name="Normal 2 8 4 8 7" xfId="37318"/>
    <cellStyle name="Normal 2 8 4 8 8" xfId="37319"/>
    <cellStyle name="Normal 2 8 4 8 9" xfId="37320"/>
    <cellStyle name="Normal 2 8 4 9" xfId="37321"/>
    <cellStyle name="Normal 2 8 4 9 10" xfId="37322"/>
    <cellStyle name="Normal 2 8 4 9 2" xfId="37323"/>
    <cellStyle name="Normal 2 8 4 9 2 2" xfId="37324"/>
    <cellStyle name="Normal 2 8 4 9 2 2 2" xfId="37325"/>
    <cellStyle name="Normal 2 8 4 9 2 2 3" xfId="37326"/>
    <cellStyle name="Normal 2 8 4 9 2 3" xfId="37327"/>
    <cellStyle name="Normal 2 8 4 9 2 4" xfId="37328"/>
    <cellStyle name="Normal 2 8 4 9 2 5" xfId="37329"/>
    <cellStyle name="Normal 2 8 4 9 2 6" xfId="37330"/>
    <cellStyle name="Normal 2 8 4 9 3" xfId="37331"/>
    <cellStyle name="Normal 2 8 4 9 3 2" xfId="37332"/>
    <cellStyle name="Normal 2 8 4 9 3 2 2" xfId="37333"/>
    <cellStyle name="Normal 2 8 4 9 3 2 3" xfId="37334"/>
    <cellStyle name="Normal 2 8 4 9 3 3" xfId="37335"/>
    <cellStyle name="Normal 2 8 4 9 3 4" xfId="37336"/>
    <cellStyle name="Normal 2 8 4 9 3 5" xfId="37337"/>
    <cellStyle name="Normal 2 8 4 9 3 6" xfId="37338"/>
    <cellStyle name="Normal 2 8 4 9 4" xfId="37339"/>
    <cellStyle name="Normal 2 8 4 9 4 2" xfId="37340"/>
    <cellStyle name="Normal 2 8 4 9 4 2 2" xfId="37341"/>
    <cellStyle name="Normal 2 8 4 9 4 3" xfId="37342"/>
    <cellStyle name="Normal 2 8 4 9 4 4" xfId="37343"/>
    <cellStyle name="Normal 2 8 4 9 4 5" xfId="37344"/>
    <cellStyle name="Normal 2 8 4 9 5" xfId="37345"/>
    <cellStyle name="Normal 2 8 4 9 5 2" xfId="37346"/>
    <cellStyle name="Normal 2 8 4 9 5 3" xfId="37347"/>
    <cellStyle name="Normal 2 8 4 9 5 4" xfId="37348"/>
    <cellStyle name="Normal 2 8 4 9 6" xfId="37349"/>
    <cellStyle name="Normal 2 8 4 9 6 2" xfId="37350"/>
    <cellStyle name="Normal 2 8 4 9 7" xfId="37351"/>
    <cellStyle name="Normal 2 8 4 9 8" xfId="37352"/>
    <cellStyle name="Normal 2 8 4 9 9" xfId="37353"/>
    <cellStyle name="Normal 2 8 5" xfId="37354"/>
    <cellStyle name="Normal 2 8 5 10" xfId="37355"/>
    <cellStyle name="Normal 2 8 5 11" xfId="37356"/>
    <cellStyle name="Normal 2 8 5 2" xfId="37357"/>
    <cellStyle name="Normal 2 8 5 2 2" xfId="37358"/>
    <cellStyle name="Normal 2 8 5 2 2 2" xfId="37359"/>
    <cellStyle name="Normal 2 8 5 2 2 2 2" xfId="37360"/>
    <cellStyle name="Normal 2 8 5 2 2 2 3" xfId="37361"/>
    <cellStyle name="Normal 2 8 5 2 2 3" xfId="37362"/>
    <cellStyle name="Normal 2 8 5 2 2 4" xfId="37363"/>
    <cellStyle name="Normal 2 8 5 2 2 5" xfId="37364"/>
    <cellStyle name="Normal 2 8 5 2 2 6" xfId="37365"/>
    <cellStyle name="Normal 2 8 5 2 3" xfId="37366"/>
    <cellStyle name="Normal 2 8 5 2 3 2" xfId="37367"/>
    <cellStyle name="Normal 2 8 5 2 3 2 2" xfId="37368"/>
    <cellStyle name="Normal 2 8 5 2 3 3" xfId="37369"/>
    <cellStyle name="Normal 2 8 5 2 3 4" xfId="37370"/>
    <cellStyle name="Normal 2 8 5 2 3 5" xfId="37371"/>
    <cellStyle name="Normal 2 8 5 2 4" xfId="37372"/>
    <cellStyle name="Normal 2 8 5 2 4 2" xfId="37373"/>
    <cellStyle name="Normal 2 8 5 2 4 3" xfId="37374"/>
    <cellStyle name="Normal 2 8 5 2 4 4" xfId="37375"/>
    <cellStyle name="Normal 2 8 5 2 5" xfId="37376"/>
    <cellStyle name="Normal 2 8 5 2 5 2" xfId="37377"/>
    <cellStyle name="Normal 2 8 5 2 6" xfId="37378"/>
    <cellStyle name="Normal 2 8 5 2 7" xfId="37379"/>
    <cellStyle name="Normal 2 8 5 2 8" xfId="37380"/>
    <cellStyle name="Normal 2 8 5 2 9" xfId="37381"/>
    <cellStyle name="Normal 2 8 5 3" xfId="37382"/>
    <cellStyle name="Normal 2 8 5 3 2" xfId="37383"/>
    <cellStyle name="Normal 2 8 5 3 2 2" xfId="37384"/>
    <cellStyle name="Normal 2 8 5 3 2 2 2" xfId="37385"/>
    <cellStyle name="Normal 2 8 5 3 2 2 3" xfId="37386"/>
    <cellStyle name="Normal 2 8 5 3 2 3" xfId="37387"/>
    <cellStyle name="Normal 2 8 5 3 2 4" xfId="37388"/>
    <cellStyle name="Normal 2 8 5 3 2 5" xfId="37389"/>
    <cellStyle name="Normal 2 8 5 3 2 6" xfId="37390"/>
    <cellStyle name="Normal 2 8 5 3 3" xfId="37391"/>
    <cellStyle name="Normal 2 8 5 3 3 2" xfId="37392"/>
    <cellStyle name="Normal 2 8 5 3 3 2 2" xfId="37393"/>
    <cellStyle name="Normal 2 8 5 3 3 3" xfId="37394"/>
    <cellStyle name="Normal 2 8 5 3 3 4" xfId="37395"/>
    <cellStyle name="Normal 2 8 5 3 3 5" xfId="37396"/>
    <cellStyle name="Normal 2 8 5 3 4" xfId="37397"/>
    <cellStyle name="Normal 2 8 5 3 4 2" xfId="37398"/>
    <cellStyle name="Normal 2 8 5 3 4 3" xfId="37399"/>
    <cellStyle name="Normal 2 8 5 3 4 4" xfId="37400"/>
    <cellStyle name="Normal 2 8 5 3 5" xfId="37401"/>
    <cellStyle name="Normal 2 8 5 3 5 2" xfId="37402"/>
    <cellStyle name="Normal 2 8 5 3 6" xfId="37403"/>
    <cellStyle name="Normal 2 8 5 3 7" xfId="37404"/>
    <cellStyle name="Normal 2 8 5 3 8" xfId="37405"/>
    <cellStyle name="Normal 2 8 5 3 9" xfId="37406"/>
    <cellStyle name="Normal 2 8 5 4" xfId="37407"/>
    <cellStyle name="Normal 2 8 5 4 2" xfId="37408"/>
    <cellStyle name="Normal 2 8 5 4 2 2" xfId="37409"/>
    <cellStyle name="Normal 2 8 5 4 2 3" xfId="37410"/>
    <cellStyle name="Normal 2 8 5 4 3" xfId="37411"/>
    <cellStyle name="Normal 2 8 5 4 4" xfId="37412"/>
    <cellStyle name="Normal 2 8 5 4 5" xfId="37413"/>
    <cellStyle name="Normal 2 8 5 4 6" xfId="37414"/>
    <cellStyle name="Normal 2 8 5 5" xfId="37415"/>
    <cellStyle name="Normal 2 8 5 5 2" xfId="37416"/>
    <cellStyle name="Normal 2 8 5 5 2 2" xfId="37417"/>
    <cellStyle name="Normal 2 8 5 5 3" xfId="37418"/>
    <cellStyle name="Normal 2 8 5 5 4" xfId="37419"/>
    <cellStyle name="Normal 2 8 5 5 5" xfId="37420"/>
    <cellStyle name="Normal 2 8 5 6" xfId="37421"/>
    <cellStyle name="Normal 2 8 5 6 2" xfId="37422"/>
    <cellStyle name="Normal 2 8 5 6 3" xfId="37423"/>
    <cellStyle name="Normal 2 8 5 6 4" xfId="37424"/>
    <cellStyle name="Normal 2 8 5 7" xfId="37425"/>
    <cellStyle name="Normal 2 8 5 7 2" xfId="37426"/>
    <cellStyle name="Normal 2 8 5 8" xfId="37427"/>
    <cellStyle name="Normal 2 8 5 9" xfId="37428"/>
    <cellStyle name="Normal 2 8 6" xfId="37429"/>
    <cellStyle name="Normal 2 8 6 10" xfId="37430"/>
    <cellStyle name="Normal 2 8 6 11" xfId="37431"/>
    <cellStyle name="Normal 2 8 6 2" xfId="37432"/>
    <cellStyle name="Normal 2 8 6 2 2" xfId="37433"/>
    <cellStyle name="Normal 2 8 6 2 2 2" xfId="37434"/>
    <cellStyle name="Normal 2 8 6 2 2 2 2" xfId="37435"/>
    <cellStyle name="Normal 2 8 6 2 2 2 3" xfId="37436"/>
    <cellStyle name="Normal 2 8 6 2 2 3" xfId="37437"/>
    <cellStyle name="Normal 2 8 6 2 2 4" xfId="37438"/>
    <cellStyle name="Normal 2 8 6 2 2 5" xfId="37439"/>
    <cellStyle name="Normal 2 8 6 2 2 6" xfId="37440"/>
    <cellStyle name="Normal 2 8 6 2 3" xfId="37441"/>
    <cellStyle name="Normal 2 8 6 2 3 2" xfId="37442"/>
    <cellStyle name="Normal 2 8 6 2 3 2 2" xfId="37443"/>
    <cellStyle name="Normal 2 8 6 2 3 3" xfId="37444"/>
    <cellStyle name="Normal 2 8 6 2 3 4" xfId="37445"/>
    <cellStyle name="Normal 2 8 6 2 3 5" xfId="37446"/>
    <cellStyle name="Normal 2 8 6 2 4" xfId="37447"/>
    <cellStyle name="Normal 2 8 6 2 4 2" xfId="37448"/>
    <cellStyle name="Normal 2 8 6 2 4 3" xfId="37449"/>
    <cellStyle name="Normal 2 8 6 2 4 4" xfId="37450"/>
    <cellStyle name="Normal 2 8 6 2 5" xfId="37451"/>
    <cellStyle name="Normal 2 8 6 2 5 2" xfId="37452"/>
    <cellStyle name="Normal 2 8 6 2 6" xfId="37453"/>
    <cellStyle name="Normal 2 8 6 2 7" xfId="37454"/>
    <cellStyle name="Normal 2 8 6 2 8" xfId="37455"/>
    <cellStyle name="Normal 2 8 6 2 9" xfId="37456"/>
    <cellStyle name="Normal 2 8 6 3" xfId="37457"/>
    <cellStyle name="Normal 2 8 6 3 2" xfId="37458"/>
    <cellStyle name="Normal 2 8 6 3 2 2" xfId="37459"/>
    <cellStyle name="Normal 2 8 6 3 2 2 2" xfId="37460"/>
    <cellStyle name="Normal 2 8 6 3 2 2 3" xfId="37461"/>
    <cellStyle name="Normal 2 8 6 3 2 3" xfId="37462"/>
    <cellStyle name="Normal 2 8 6 3 2 4" xfId="37463"/>
    <cellStyle name="Normal 2 8 6 3 2 5" xfId="37464"/>
    <cellStyle name="Normal 2 8 6 3 2 6" xfId="37465"/>
    <cellStyle name="Normal 2 8 6 3 3" xfId="37466"/>
    <cellStyle name="Normal 2 8 6 3 3 2" xfId="37467"/>
    <cellStyle name="Normal 2 8 6 3 3 2 2" xfId="37468"/>
    <cellStyle name="Normal 2 8 6 3 3 3" xfId="37469"/>
    <cellStyle name="Normal 2 8 6 3 3 4" xfId="37470"/>
    <cellStyle name="Normal 2 8 6 3 3 5" xfId="37471"/>
    <cellStyle name="Normal 2 8 6 3 4" xfId="37472"/>
    <cellStyle name="Normal 2 8 6 3 4 2" xfId="37473"/>
    <cellStyle name="Normal 2 8 6 3 4 3" xfId="37474"/>
    <cellStyle name="Normal 2 8 6 3 4 4" xfId="37475"/>
    <cellStyle name="Normal 2 8 6 3 5" xfId="37476"/>
    <cellStyle name="Normal 2 8 6 3 5 2" xfId="37477"/>
    <cellStyle name="Normal 2 8 6 3 6" xfId="37478"/>
    <cellStyle name="Normal 2 8 6 3 7" xfId="37479"/>
    <cellStyle name="Normal 2 8 6 3 8" xfId="37480"/>
    <cellStyle name="Normal 2 8 6 3 9" xfId="37481"/>
    <cellStyle name="Normal 2 8 6 4" xfId="37482"/>
    <cellStyle name="Normal 2 8 6 4 2" xfId="37483"/>
    <cellStyle name="Normal 2 8 6 4 2 2" xfId="37484"/>
    <cellStyle name="Normal 2 8 6 4 2 3" xfId="37485"/>
    <cellStyle name="Normal 2 8 6 4 3" xfId="37486"/>
    <cellStyle name="Normal 2 8 6 4 4" xfId="37487"/>
    <cellStyle name="Normal 2 8 6 4 5" xfId="37488"/>
    <cellStyle name="Normal 2 8 6 4 6" xfId="37489"/>
    <cellStyle name="Normal 2 8 6 5" xfId="37490"/>
    <cellStyle name="Normal 2 8 6 5 2" xfId="37491"/>
    <cellStyle name="Normal 2 8 6 5 2 2" xfId="37492"/>
    <cellStyle name="Normal 2 8 6 5 3" xfId="37493"/>
    <cellStyle name="Normal 2 8 6 5 4" xfId="37494"/>
    <cellStyle name="Normal 2 8 6 5 5" xfId="37495"/>
    <cellStyle name="Normal 2 8 6 6" xfId="37496"/>
    <cellStyle name="Normal 2 8 6 6 2" xfId="37497"/>
    <cellStyle name="Normal 2 8 6 6 3" xfId="37498"/>
    <cellStyle name="Normal 2 8 6 6 4" xfId="37499"/>
    <cellStyle name="Normal 2 8 6 7" xfId="37500"/>
    <cellStyle name="Normal 2 8 6 7 2" xfId="37501"/>
    <cellStyle name="Normal 2 8 6 8" xfId="37502"/>
    <cellStyle name="Normal 2 8 6 9" xfId="37503"/>
    <cellStyle name="Normal 2 8 7" xfId="37504"/>
    <cellStyle name="Normal 2 8 7 10" xfId="37505"/>
    <cellStyle name="Normal 2 8 7 11" xfId="37506"/>
    <cellStyle name="Normal 2 8 7 2" xfId="37507"/>
    <cellStyle name="Normal 2 8 7 2 2" xfId="37508"/>
    <cellStyle name="Normal 2 8 7 2 2 2" xfId="37509"/>
    <cellStyle name="Normal 2 8 7 2 2 2 2" xfId="37510"/>
    <cellStyle name="Normal 2 8 7 2 2 2 3" xfId="37511"/>
    <cellStyle name="Normal 2 8 7 2 2 3" xfId="37512"/>
    <cellStyle name="Normal 2 8 7 2 2 4" xfId="37513"/>
    <cellStyle name="Normal 2 8 7 2 2 5" xfId="37514"/>
    <cellStyle name="Normal 2 8 7 2 2 6" xfId="37515"/>
    <cellStyle name="Normal 2 8 7 2 3" xfId="37516"/>
    <cellStyle name="Normal 2 8 7 2 3 2" xfId="37517"/>
    <cellStyle name="Normal 2 8 7 2 3 2 2" xfId="37518"/>
    <cellStyle name="Normal 2 8 7 2 3 3" xfId="37519"/>
    <cellStyle name="Normal 2 8 7 2 3 4" xfId="37520"/>
    <cellStyle name="Normal 2 8 7 2 3 5" xfId="37521"/>
    <cellStyle name="Normal 2 8 7 2 4" xfId="37522"/>
    <cellStyle name="Normal 2 8 7 2 4 2" xfId="37523"/>
    <cellStyle name="Normal 2 8 7 2 4 3" xfId="37524"/>
    <cellStyle name="Normal 2 8 7 2 4 4" xfId="37525"/>
    <cellStyle name="Normal 2 8 7 2 5" xfId="37526"/>
    <cellStyle name="Normal 2 8 7 2 5 2" xfId="37527"/>
    <cellStyle name="Normal 2 8 7 2 6" xfId="37528"/>
    <cellStyle name="Normal 2 8 7 2 7" xfId="37529"/>
    <cellStyle name="Normal 2 8 7 2 8" xfId="37530"/>
    <cellStyle name="Normal 2 8 7 2 9" xfId="37531"/>
    <cellStyle name="Normal 2 8 7 3" xfId="37532"/>
    <cellStyle name="Normal 2 8 7 3 2" xfId="37533"/>
    <cellStyle name="Normal 2 8 7 3 2 2" xfId="37534"/>
    <cellStyle name="Normal 2 8 7 3 2 2 2" xfId="37535"/>
    <cellStyle name="Normal 2 8 7 3 2 2 3" xfId="37536"/>
    <cellStyle name="Normal 2 8 7 3 2 3" xfId="37537"/>
    <cellStyle name="Normal 2 8 7 3 2 4" xfId="37538"/>
    <cellStyle name="Normal 2 8 7 3 2 5" xfId="37539"/>
    <cellStyle name="Normal 2 8 7 3 2 6" xfId="37540"/>
    <cellStyle name="Normal 2 8 7 3 3" xfId="37541"/>
    <cellStyle name="Normal 2 8 7 3 3 2" xfId="37542"/>
    <cellStyle name="Normal 2 8 7 3 3 2 2" xfId="37543"/>
    <cellStyle name="Normal 2 8 7 3 3 3" xfId="37544"/>
    <cellStyle name="Normal 2 8 7 3 3 4" xfId="37545"/>
    <cellStyle name="Normal 2 8 7 3 3 5" xfId="37546"/>
    <cellStyle name="Normal 2 8 7 3 4" xfId="37547"/>
    <cellStyle name="Normal 2 8 7 3 4 2" xfId="37548"/>
    <cellStyle name="Normal 2 8 7 3 4 3" xfId="37549"/>
    <cellStyle name="Normal 2 8 7 3 4 4" xfId="37550"/>
    <cellStyle name="Normal 2 8 7 3 5" xfId="37551"/>
    <cellStyle name="Normal 2 8 7 3 5 2" xfId="37552"/>
    <cellStyle name="Normal 2 8 7 3 6" xfId="37553"/>
    <cellStyle name="Normal 2 8 7 3 7" xfId="37554"/>
    <cellStyle name="Normal 2 8 7 3 8" xfId="37555"/>
    <cellStyle name="Normal 2 8 7 3 9" xfId="37556"/>
    <cellStyle name="Normal 2 8 7 4" xfId="37557"/>
    <cellStyle name="Normal 2 8 7 4 2" xfId="37558"/>
    <cellStyle name="Normal 2 8 7 4 2 2" xfId="37559"/>
    <cellStyle name="Normal 2 8 7 4 2 3" xfId="37560"/>
    <cellStyle name="Normal 2 8 7 4 3" xfId="37561"/>
    <cellStyle name="Normal 2 8 7 4 4" xfId="37562"/>
    <cellStyle name="Normal 2 8 7 4 5" xfId="37563"/>
    <cellStyle name="Normal 2 8 7 4 6" xfId="37564"/>
    <cellStyle name="Normal 2 8 7 5" xfId="37565"/>
    <cellStyle name="Normal 2 8 7 5 2" xfId="37566"/>
    <cellStyle name="Normal 2 8 7 5 2 2" xfId="37567"/>
    <cellStyle name="Normal 2 8 7 5 3" xfId="37568"/>
    <cellStyle name="Normal 2 8 7 5 4" xfId="37569"/>
    <cellStyle name="Normal 2 8 7 5 5" xfId="37570"/>
    <cellStyle name="Normal 2 8 7 6" xfId="37571"/>
    <cellStyle name="Normal 2 8 7 6 2" xfId="37572"/>
    <cellStyle name="Normal 2 8 7 6 3" xfId="37573"/>
    <cellStyle name="Normal 2 8 7 6 4" xfId="37574"/>
    <cellStyle name="Normal 2 8 7 7" xfId="37575"/>
    <cellStyle name="Normal 2 8 7 7 2" xfId="37576"/>
    <cellStyle name="Normal 2 8 7 8" xfId="37577"/>
    <cellStyle name="Normal 2 8 7 9" xfId="37578"/>
    <cellStyle name="Normal 2 8 8" xfId="37579"/>
    <cellStyle name="Normal 2 8 8 10" xfId="37580"/>
    <cellStyle name="Normal 2 8 8 11" xfId="37581"/>
    <cellStyle name="Normal 2 8 8 2" xfId="37582"/>
    <cellStyle name="Normal 2 8 8 2 2" xfId="37583"/>
    <cellStyle name="Normal 2 8 8 2 2 2" xfId="37584"/>
    <cellStyle name="Normal 2 8 8 2 2 2 2" xfId="37585"/>
    <cellStyle name="Normal 2 8 8 2 2 2 3" xfId="37586"/>
    <cellStyle name="Normal 2 8 8 2 2 3" xfId="37587"/>
    <cellStyle name="Normal 2 8 8 2 2 4" xfId="37588"/>
    <cellStyle name="Normal 2 8 8 2 2 5" xfId="37589"/>
    <cellStyle name="Normal 2 8 8 2 2 6" xfId="37590"/>
    <cellStyle name="Normal 2 8 8 2 3" xfId="37591"/>
    <cellStyle name="Normal 2 8 8 2 3 2" xfId="37592"/>
    <cellStyle name="Normal 2 8 8 2 3 2 2" xfId="37593"/>
    <cellStyle name="Normal 2 8 8 2 3 3" xfId="37594"/>
    <cellStyle name="Normal 2 8 8 2 3 4" xfId="37595"/>
    <cellStyle name="Normal 2 8 8 2 3 5" xfId="37596"/>
    <cellStyle name="Normal 2 8 8 2 4" xfId="37597"/>
    <cellStyle name="Normal 2 8 8 2 4 2" xfId="37598"/>
    <cellStyle name="Normal 2 8 8 2 4 3" xfId="37599"/>
    <cellStyle name="Normal 2 8 8 2 4 4" xfId="37600"/>
    <cellStyle name="Normal 2 8 8 2 5" xfId="37601"/>
    <cellStyle name="Normal 2 8 8 2 5 2" xfId="37602"/>
    <cellStyle name="Normal 2 8 8 2 6" xfId="37603"/>
    <cellStyle name="Normal 2 8 8 2 7" xfId="37604"/>
    <cellStyle name="Normal 2 8 8 2 8" xfId="37605"/>
    <cellStyle name="Normal 2 8 8 2 9" xfId="37606"/>
    <cellStyle name="Normal 2 8 8 3" xfId="37607"/>
    <cellStyle name="Normal 2 8 8 3 2" xfId="37608"/>
    <cellStyle name="Normal 2 8 8 3 2 2" xfId="37609"/>
    <cellStyle name="Normal 2 8 8 3 2 2 2" xfId="37610"/>
    <cellStyle name="Normal 2 8 8 3 2 2 3" xfId="37611"/>
    <cellStyle name="Normal 2 8 8 3 2 3" xfId="37612"/>
    <cellStyle name="Normal 2 8 8 3 2 4" xfId="37613"/>
    <cellStyle name="Normal 2 8 8 3 2 5" xfId="37614"/>
    <cellStyle name="Normal 2 8 8 3 2 6" xfId="37615"/>
    <cellStyle name="Normal 2 8 8 3 3" xfId="37616"/>
    <cellStyle name="Normal 2 8 8 3 3 2" xfId="37617"/>
    <cellStyle name="Normal 2 8 8 3 3 2 2" xfId="37618"/>
    <cellStyle name="Normal 2 8 8 3 3 3" xfId="37619"/>
    <cellStyle name="Normal 2 8 8 3 3 4" xfId="37620"/>
    <cellStyle name="Normal 2 8 8 3 3 5" xfId="37621"/>
    <cellStyle name="Normal 2 8 8 3 4" xfId="37622"/>
    <cellStyle name="Normal 2 8 8 3 4 2" xfId="37623"/>
    <cellStyle name="Normal 2 8 8 3 4 3" xfId="37624"/>
    <cellStyle name="Normal 2 8 8 3 4 4" xfId="37625"/>
    <cellStyle name="Normal 2 8 8 3 5" xfId="37626"/>
    <cellStyle name="Normal 2 8 8 3 5 2" xfId="37627"/>
    <cellStyle name="Normal 2 8 8 3 6" xfId="37628"/>
    <cellStyle name="Normal 2 8 8 3 7" xfId="37629"/>
    <cellStyle name="Normal 2 8 8 3 8" xfId="37630"/>
    <cellStyle name="Normal 2 8 8 3 9" xfId="37631"/>
    <cellStyle name="Normal 2 8 8 4" xfId="37632"/>
    <cellStyle name="Normal 2 8 8 4 2" xfId="37633"/>
    <cellStyle name="Normal 2 8 8 4 2 2" xfId="37634"/>
    <cellStyle name="Normal 2 8 8 4 2 3" xfId="37635"/>
    <cellStyle name="Normal 2 8 8 4 3" xfId="37636"/>
    <cellStyle name="Normal 2 8 8 4 4" xfId="37637"/>
    <cellStyle name="Normal 2 8 8 4 5" xfId="37638"/>
    <cellStyle name="Normal 2 8 8 4 6" xfId="37639"/>
    <cellStyle name="Normal 2 8 8 5" xfId="37640"/>
    <cellStyle name="Normal 2 8 8 5 2" xfId="37641"/>
    <cellStyle name="Normal 2 8 8 5 2 2" xfId="37642"/>
    <cellStyle name="Normal 2 8 8 5 3" xfId="37643"/>
    <cellStyle name="Normal 2 8 8 5 4" xfId="37644"/>
    <cellStyle name="Normal 2 8 8 5 5" xfId="37645"/>
    <cellStyle name="Normal 2 8 8 6" xfId="37646"/>
    <cellStyle name="Normal 2 8 8 6 2" xfId="37647"/>
    <cellStyle name="Normal 2 8 8 6 3" xfId="37648"/>
    <cellStyle name="Normal 2 8 8 6 4" xfId="37649"/>
    <cellStyle name="Normal 2 8 8 7" xfId="37650"/>
    <cellStyle name="Normal 2 8 8 7 2" xfId="37651"/>
    <cellStyle name="Normal 2 8 8 8" xfId="37652"/>
    <cellStyle name="Normal 2 8 8 9" xfId="37653"/>
    <cellStyle name="Normal 2 8 9" xfId="37654"/>
    <cellStyle name="Normal 2 8 9 10" xfId="37655"/>
    <cellStyle name="Normal 2 8 9 11" xfId="37656"/>
    <cellStyle name="Normal 2 8 9 2" xfId="37657"/>
    <cellStyle name="Normal 2 8 9 2 2" xfId="37658"/>
    <cellStyle name="Normal 2 8 9 2 2 2" xfId="37659"/>
    <cellStyle name="Normal 2 8 9 2 2 2 2" xfId="37660"/>
    <cellStyle name="Normal 2 8 9 2 2 2 3" xfId="37661"/>
    <cellStyle name="Normal 2 8 9 2 2 3" xfId="37662"/>
    <cellStyle name="Normal 2 8 9 2 2 4" xfId="37663"/>
    <cellStyle name="Normal 2 8 9 2 2 5" xfId="37664"/>
    <cellStyle name="Normal 2 8 9 2 2 6" xfId="37665"/>
    <cellStyle name="Normal 2 8 9 2 3" xfId="37666"/>
    <cellStyle name="Normal 2 8 9 2 3 2" xfId="37667"/>
    <cellStyle name="Normal 2 8 9 2 3 2 2" xfId="37668"/>
    <cellStyle name="Normal 2 8 9 2 3 3" xfId="37669"/>
    <cellStyle name="Normal 2 8 9 2 3 4" xfId="37670"/>
    <cellStyle name="Normal 2 8 9 2 3 5" xfId="37671"/>
    <cellStyle name="Normal 2 8 9 2 4" xfId="37672"/>
    <cellStyle name="Normal 2 8 9 2 4 2" xfId="37673"/>
    <cellStyle name="Normal 2 8 9 2 4 3" xfId="37674"/>
    <cellStyle name="Normal 2 8 9 2 4 4" xfId="37675"/>
    <cellStyle name="Normal 2 8 9 2 5" xfId="37676"/>
    <cellStyle name="Normal 2 8 9 2 5 2" xfId="37677"/>
    <cellStyle name="Normal 2 8 9 2 6" xfId="37678"/>
    <cellStyle name="Normal 2 8 9 2 7" xfId="37679"/>
    <cellStyle name="Normal 2 8 9 2 8" xfId="37680"/>
    <cellStyle name="Normal 2 8 9 2 9" xfId="37681"/>
    <cellStyle name="Normal 2 8 9 3" xfId="37682"/>
    <cellStyle name="Normal 2 8 9 3 2" xfId="37683"/>
    <cellStyle name="Normal 2 8 9 3 2 2" xfId="37684"/>
    <cellStyle name="Normal 2 8 9 3 2 2 2" xfId="37685"/>
    <cellStyle name="Normal 2 8 9 3 2 2 3" xfId="37686"/>
    <cellStyle name="Normal 2 8 9 3 2 3" xfId="37687"/>
    <cellStyle name="Normal 2 8 9 3 2 4" xfId="37688"/>
    <cellStyle name="Normal 2 8 9 3 2 5" xfId="37689"/>
    <cellStyle name="Normal 2 8 9 3 2 6" xfId="37690"/>
    <cellStyle name="Normal 2 8 9 3 3" xfId="37691"/>
    <cellStyle name="Normal 2 8 9 3 3 2" xfId="37692"/>
    <cellStyle name="Normal 2 8 9 3 3 2 2" xfId="37693"/>
    <cellStyle name="Normal 2 8 9 3 3 3" xfId="37694"/>
    <cellStyle name="Normal 2 8 9 3 3 4" xfId="37695"/>
    <cellStyle name="Normal 2 8 9 3 3 5" xfId="37696"/>
    <cellStyle name="Normal 2 8 9 3 4" xfId="37697"/>
    <cellStyle name="Normal 2 8 9 3 4 2" xfId="37698"/>
    <cellStyle name="Normal 2 8 9 3 4 3" xfId="37699"/>
    <cellStyle name="Normal 2 8 9 3 4 4" xfId="37700"/>
    <cellStyle name="Normal 2 8 9 3 5" xfId="37701"/>
    <cellStyle name="Normal 2 8 9 3 5 2" xfId="37702"/>
    <cellStyle name="Normal 2 8 9 3 6" xfId="37703"/>
    <cellStyle name="Normal 2 8 9 3 7" xfId="37704"/>
    <cellStyle name="Normal 2 8 9 3 8" xfId="37705"/>
    <cellStyle name="Normal 2 8 9 3 9" xfId="37706"/>
    <cellStyle name="Normal 2 8 9 4" xfId="37707"/>
    <cellStyle name="Normal 2 8 9 4 2" xfId="37708"/>
    <cellStyle name="Normal 2 8 9 4 2 2" xfId="37709"/>
    <cellStyle name="Normal 2 8 9 4 2 3" xfId="37710"/>
    <cellStyle name="Normal 2 8 9 4 3" xfId="37711"/>
    <cellStyle name="Normal 2 8 9 4 4" xfId="37712"/>
    <cellStyle name="Normal 2 8 9 4 5" xfId="37713"/>
    <cellStyle name="Normal 2 8 9 4 6" xfId="37714"/>
    <cellStyle name="Normal 2 8 9 5" xfId="37715"/>
    <cellStyle name="Normal 2 8 9 5 2" xfId="37716"/>
    <cellStyle name="Normal 2 8 9 5 2 2" xfId="37717"/>
    <cellStyle name="Normal 2 8 9 5 3" xfId="37718"/>
    <cellStyle name="Normal 2 8 9 5 4" xfId="37719"/>
    <cellStyle name="Normal 2 8 9 5 5" xfId="37720"/>
    <cellStyle name="Normal 2 8 9 6" xfId="37721"/>
    <cellStyle name="Normal 2 8 9 6 2" xfId="37722"/>
    <cellStyle name="Normal 2 8 9 6 3" xfId="37723"/>
    <cellStyle name="Normal 2 8 9 6 4" xfId="37724"/>
    <cellStyle name="Normal 2 8 9 7" xfId="37725"/>
    <cellStyle name="Normal 2 8 9 7 2" xfId="37726"/>
    <cellStyle name="Normal 2 8 9 8" xfId="37727"/>
    <cellStyle name="Normal 2 8 9 9" xfId="37728"/>
    <cellStyle name="Normal 2 9" xfId="37729"/>
    <cellStyle name="Normal 2 9 2" xfId="37730"/>
    <cellStyle name="Normal 2 9 2 10" xfId="37731"/>
    <cellStyle name="Normal 2 9 2 10 10" xfId="37732"/>
    <cellStyle name="Normal 2 9 2 10 2" xfId="37733"/>
    <cellStyle name="Normal 2 9 2 10 2 2" xfId="37734"/>
    <cellStyle name="Normal 2 9 2 10 2 2 2" xfId="37735"/>
    <cellStyle name="Normal 2 9 2 10 2 2 3" xfId="37736"/>
    <cellStyle name="Normal 2 9 2 10 2 3" xfId="37737"/>
    <cellStyle name="Normal 2 9 2 10 2 4" xfId="37738"/>
    <cellStyle name="Normal 2 9 2 10 2 5" xfId="37739"/>
    <cellStyle name="Normal 2 9 2 10 2 6" xfId="37740"/>
    <cellStyle name="Normal 2 9 2 10 3" xfId="37741"/>
    <cellStyle name="Normal 2 9 2 10 3 2" xfId="37742"/>
    <cellStyle name="Normal 2 9 2 10 3 2 2" xfId="37743"/>
    <cellStyle name="Normal 2 9 2 10 3 2 3" xfId="37744"/>
    <cellStyle name="Normal 2 9 2 10 3 3" xfId="37745"/>
    <cellStyle name="Normal 2 9 2 10 3 4" xfId="37746"/>
    <cellStyle name="Normal 2 9 2 10 3 5" xfId="37747"/>
    <cellStyle name="Normal 2 9 2 10 3 6" xfId="37748"/>
    <cellStyle name="Normal 2 9 2 10 4" xfId="37749"/>
    <cellStyle name="Normal 2 9 2 10 4 2" xfId="37750"/>
    <cellStyle name="Normal 2 9 2 10 4 2 2" xfId="37751"/>
    <cellStyle name="Normal 2 9 2 10 4 3" xfId="37752"/>
    <cellStyle name="Normal 2 9 2 10 4 4" xfId="37753"/>
    <cellStyle name="Normal 2 9 2 10 4 5" xfId="37754"/>
    <cellStyle name="Normal 2 9 2 10 5" xfId="37755"/>
    <cellStyle name="Normal 2 9 2 10 5 2" xfId="37756"/>
    <cellStyle name="Normal 2 9 2 10 5 3" xfId="37757"/>
    <cellStyle name="Normal 2 9 2 10 5 4" xfId="37758"/>
    <cellStyle name="Normal 2 9 2 10 6" xfId="37759"/>
    <cellStyle name="Normal 2 9 2 10 6 2" xfId="37760"/>
    <cellStyle name="Normal 2 9 2 10 7" xfId="37761"/>
    <cellStyle name="Normal 2 9 2 10 8" xfId="37762"/>
    <cellStyle name="Normal 2 9 2 10 9" xfId="37763"/>
    <cellStyle name="Normal 2 9 2 11" xfId="37764"/>
    <cellStyle name="Normal 2 9 2 11 10" xfId="37765"/>
    <cellStyle name="Normal 2 9 2 11 2" xfId="37766"/>
    <cellStyle name="Normal 2 9 2 11 2 2" xfId="37767"/>
    <cellStyle name="Normal 2 9 2 11 2 2 2" xfId="37768"/>
    <cellStyle name="Normal 2 9 2 11 2 2 3" xfId="37769"/>
    <cellStyle name="Normal 2 9 2 11 2 3" xfId="37770"/>
    <cellStyle name="Normal 2 9 2 11 2 4" xfId="37771"/>
    <cellStyle name="Normal 2 9 2 11 2 5" xfId="37772"/>
    <cellStyle name="Normal 2 9 2 11 2 6" xfId="37773"/>
    <cellStyle name="Normal 2 9 2 11 3" xfId="37774"/>
    <cellStyle name="Normal 2 9 2 11 3 2" xfId="37775"/>
    <cellStyle name="Normal 2 9 2 11 3 2 2" xfId="37776"/>
    <cellStyle name="Normal 2 9 2 11 3 2 3" xfId="37777"/>
    <cellStyle name="Normal 2 9 2 11 3 3" xfId="37778"/>
    <cellStyle name="Normal 2 9 2 11 3 4" xfId="37779"/>
    <cellStyle name="Normal 2 9 2 11 3 5" xfId="37780"/>
    <cellStyle name="Normal 2 9 2 11 3 6" xfId="37781"/>
    <cellStyle name="Normal 2 9 2 11 4" xfId="37782"/>
    <cellStyle name="Normal 2 9 2 11 4 2" xfId="37783"/>
    <cellStyle name="Normal 2 9 2 11 4 2 2" xfId="37784"/>
    <cellStyle name="Normal 2 9 2 11 4 3" xfId="37785"/>
    <cellStyle name="Normal 2 9 2 11 4 4" xfId="37786"/>
    <cellStyle name="Normal 2 9 2 11 4 5" xfId="37787"/>
    <cellStyle name="Normal 2 9 2 11 5" xfId="37788"/>
    <cellStyle name="Normal 2 9 2 11 5 2" xfId="37789"/>
    <cellStyle name="Normal 2 9 2 11 5 3" xfId="37790"/>
    <cellStyle name="Normal 2 9 2 11 5 4" xfId="37791"/>
    <cellStyle name="Normal 2 9 2 11 6" xfId="37792"/>
    <cellStyle name="Normal 2 9 2 11 6 2" xfId="37793"/>
    <cellStyle name="Normal 2 9 2 11 7" xfId="37794"/>
    <cellStyle name="Normal 2 9 2 11 8" xfId="37795"/>
    <cellStyle name="Normal 2 9 2 11 9" xfId="37796"/>
    <cellStyle name="Normal 2 9 2 12" xfId="37797"/>
    <cellStyle name="Normal 2 9 2 12 10" xfId="37798"/>
    <cellStyle name="Normal 2 9 2 12 2" xfId="37799"/>
    <cellStyle name="Normal 2 9 2 12 2 2" xfId="37800"/>
    <cellStyle name="Normal 2 9 2 12 2 2 2" xfId="37801"/>
    <cellStyle name="Normal 2 9 2 12 2 2 3" xfId="37802"/>
    <cellStyle name="Normal 2 9 2 12 2 3" xfId="37803"/>
    <cellStyle name="Normal 2 9 2 12 2 4" xfId="37804"/>
    <cellStyle name="Normal 2 9 2 12 2 5" xfId="37805"/>
    <cellStyle name="Normal 2 9 2 12 2 6" xfId="37806"/>
    <cellStyle name="Normal 2 9 2 12 3" xfId="37807"/>
    <cellStyle name="Normal 2 9 2 12 3 2" xfId="37808"/>
    <cellStyle name="Normal 2 9 2 12 3 2 2" xfId="37809"/>
    <cellStyle name="Normal 2 9 2 12 3 2 3" xfId="37810"/>
    <cellStyle name="Normal 2 9 2 12 3 3" xfId="37811"/>
    <cellStyle name="Normal 2 9 2 12 3 4" xfId="37812"/>
    <cellStyle name="Normal 2 9 2 12 3 5" xfId="37813"/>
    <cellStyle name="Normal 2 9 2 12 3 6" xfId="37814"/>
    <cellStyle name="Normal 2 9 2 12 4" xfId="37815"/>
    <cellStyle name="Normal 2 9 2 12 4 2" xfId="37816"/>
    <cellStyle name="Normal 2 9 2 12 4 2 2" xfId="37817"/>
    <cellStyle name="Normal 2 9 2 12 4 3" xfId="37818"/>
    <cellStyle name="Normal 2 9 2 12 4 4" xfId="37819"/>
    <cellStyle name="Normal 2 9 2 12 4 5" xfId="37820"/>
    <cellStyle name="Normal 2 9 2 12 5" xfId="37821"/>
    <cellStyle name="Normal 2 9 2 12 5 2" xfId="37822"/>
    <cellStyle name="Normal 2 9 2 12 5 3" xfId="37823"/>
    <cellStyle name="Normal 2 9 2 12 5 4" xfId="37824"/>
    <cellStyle name="Normal 2 9 2 12 6" xfId="37825"/>
    <cellStyle name="Normal 2 9 2 12 6 2" xfId="37826"/>
    <cellStyle name="Normal 2 9 2 12 7" xfId="37827"/>
    <cellStyle name="Normal 2 9 2 12 8" xfId="37828"/>
    <cellStyle name="Normal 2 9 2 12 9" xfId="37829"/>
    <cellStyle name="Normal 2 9 2 13" xfId="37830"/>
    <cellStyle name="Normal 2 9 2 13 2" xfId="37831"/>
    <cellStyle name="Normal 2 9 2 13 2 2" xfId="37832"/>
    <cellStyle name="Normal 2 9 2 13 2 2 2" xfId="37833"/>
    <cellStyle name="Normal 2 9 2 13 2 2 3" xfId="37834"/>
    <cellStyle name="Normal 2 9 2 13 2 3" xfId="37835"/>
    <cellStyle name="Normal 2 9 2 13 2 4" xfId="37836"/>
    <cellStyle name="Normal 2 9 2 13 2 5" xfId="37837"/>
    <cellStyle name="Normal 2 9 2 13 2 6" xfId="37838"/>
    <cellStyle name="Normal 2 9 2 13 3" xfId="37839"/>
    <cellStyle name="Normal 2 9 2 13 3 2" xfId="37840"/>
    <cellStyle name="Normal 2 9 2 13 3 2 2" xfId="37841"/>
    <cellStyle name="Normal 2 9 2 13 3 3" xfId="37842"/>
    <cellStyle name="Normal 2 9 2 13 3 4" xfId="37843"/>
    <cellStyle name="Normal 2 9 2 13 3 5" xfId="37844"/>
    <cellStyle name="Normal 2 9 2 13 4" xfId="37845"/>
    <cellStyle name="Normal 2 9 2 13 4 2" xfId="37846"/>
    <cellStyle name="Normal 2 9 2 13 4 3" xfId="37847"/>
    <cellStyle name="Normal 2 9 2 13 4 4" xfId="37848"/>
    <cellStyle name="Normal 2 9 2 13 5" xfId="37849"/>
    <cellStyle name="Normal 2 9 2 13 5 2" xfId="37850"/>
    <cellStyle name="Normal 2 9 2 13 6" xfId="37851"/>
    <cellStyle name="Normal 2 9 2 13 7" xfId="37852"/>
    <cellStyle name="Normal 2 9 2 13 8" xfId="37853"/>
    <cellStyle name="Normal 2 9 2 13 9" xfId="37854"/>
    <cellStyle name="Normal 2 9 2 14" xfId="37855"/>
    <cellStyle name="Normal 2 9 2 14 2" xfId="37856"/>
    <cellStyle name="Normal 2 9 2 14 2 2" xfId="37857"/>
    <cellStyle name="Normal 2 9 2 14 2 2 2" xfId="37858"/>
    <cellStyle name="Normal 2 9 2 14 2 2 3" xfId="37859"/>
    <cellStyle name="Normal 2 9 2 14 2 3" xfId="37860"/>
    <cellStyle name="Normal 2 9 2 14 2 4" xfId="37861"/>
    <cellStyle name="Normal 2 9 2 14 2 5" xfId="37862"/>
    <cellStyle name="Normal 2 9 2 14 2 6" xfId="37863"/>
    <cellStyle name="Normal 2 9 2 14 3" xfId="37864"/>
    <cellStyle name="Normal 2 9 2 14 3 2" xfId="37865"/>
    <cellStyle name="Normal 2 9 2 14 3 2 2" xfId="37866"/>
    <cellStyle name="Normal 2 9 2 14 3 3" xfId="37867"/>
    <cellStyle name="Normal 2 9 2 14 3 4" xfId="37868"/>
    <cellStyle name="Normal 2 9 2 14 3 5" xfId="37869"/>
    <cellStyle name="Normal 2 9 2 14 4" xfId="37870"/>
    <cellStyle name="Normal 2 9 2 14 4 2" xfId="37871"/>
    <cellStyle name="Normal 2 9 2 14 4 3" xfId="37872"/>
    <cellStyle name="Normal 2 9 2 14 4 4" xfId="37873"/>
    <cellStyle name="Normal 2 9 2 14 5" xfId="37874"/>
    <cellStyle name="Normal 2 9 2 14 5 2" xfId="37875"/>
    <cellStyle name="Normal 2 9 2 14 6" xfId="37876"/>
    <cellStyle name="Normal 2 9 2 14 7" xfId="37877"/>
    <cellStyle name="Normal 2 9 2 14 8" xfId="37878"/>
    <cellStyle name="Normal 2 9 2 14 9" xfId="37879"/>
    <cellStyle name="Normal 2 9 2 15" xfId="37880"/>
    <cellStyle name="Normal 2 9 2 15 2" xfId="37881"/>
    <cellStyle name="Normal 2 9 2 15 2 2" xfId="37882"/>
    <cellStyle name="Normal 2 9 2 15 2 3" xfId="37883"/>
    <cellStyle name="Normal 2 9 2 15 3" xfId="37884"/>
    <cellStyle name="Normal 2 9 2 15 4" xfId="37885"/>
    <cellStyle name="Normal 2 9 2 15 5" xfId="37886"/>
    <cellStyle name="Normal 2 9 2 15 6" xfId="37887"/>
    <cellStyle name="Normal 2 9 2 16" xfId="37888"/>
    <cellStyle name="Normal 2 9 2 16 2" xfId="37889"/>
    <cellStyle name="Normal 2 9 2 16 2 2" xfId="37890"/>
    <cellStyle name="Normal 2 9 2 16 3" xfId="37891"/>
    <cellStyle name="Normal 2 9 2 16 4" xfId="37892"/>
    <cellStyle name="Normal 2 9 2 16 5" xfId="37893"/>
    <cellStyle name="Normal 2 9 2 17" xfId="37894"/>
    <cellStyle name="Normal 2 9 2 17 2" xfId="37895"/>
    <cellStyle name="Normal 2 9 2 17 2 2" xfId="37896"/>
    <cellStyle name="Normal 2 9 2 17 3" xfId="37897"/>
    <cellStyle name="Normal 2 9 2 17 4" xfId="37898"/>
    <cellStyle name="Normal 2 9 2 17 5" xfId="37899"/>
    <cellStyle name="Normal 2 9 2 18" xfId="37900"/>
    <cellStyle name="Normal 2 9 2 18 2" xfId="37901"/>
    <cellStyle name="Normal 2 9 2 19" xfId="37902"/>
    <cellStyle name="Normal 2 9 2 2" xfId="37903"/>
    <cellStyle name="Normal 2 9 2 2 10" xfId="37904"/>
    <cellStyle name="Normal 2 9 2 2 11" xfId="37905"/>
    <cellStyle name="Normal 2 9 2 2 2" xfId="37906"/>
    <cellStyle name="Normal 2 9 2 2 2 2" xfId="37907"/>
    <cellStyle name="Normal 2 9 2 2 2 2 2" xfId="37908"/>
    <cellStyle name="Normal 2 9 2 2 2 2 2 2" xfId="37909"/>
    <cellStyle name="Normal 2 9 2 2 2 2 2 3" xfId="37910"/>
    <cellStyle name="Normal 2 9 2 2 2 2 3" xfId="37911"/>
    <cellStyle name="Normal 2 9 2 2 2 2 4" xfId="37912"/>
    <cellStyle name="Normal 2 9 2 2 2 2 5" xfId="37913"/>
    <cellStyle name="Normal 2 9 2 2 2 2 6" xfId="37914"/>
    <cellStyle name="Normal 2 9 2 2 2 3" xfId="37915"/>
    <cellStyle name="Normal 2 9 2 2 2 3 2" xfId="37916"/>
    <cellStyle name="Normal 2 9 2 2 2 3 2 2" xfId="37917"/>
    <cellStyle name="Normal 2 9 2 2 2 3 3" xfId="37918"/>
    <cellStyle name="Normal 2 9 2 2 2 3 4" xfId="37919"/>
    <cellStyle name="Normal 2 9 2 2 2 3 5" xfId="37920"/>
    <cellStyle name="Normal 2 9 2 2 2 4" xfId="37921"/>
    <cellStyle name="Normal 2 9 2 2 2 4 2" xfId="37922"/>
    <cellStyle name="Normal 2 9 2 2 2 4 3" xfId="37923"/>
    <cellStyle name="Normal 2 9 2 2 2 4 4" xfId="37924"/>
    <cellStyle name="Normal 2 9 2 2 2 5" xfId="37925"/>
    <cellStyle name="Normal 2 9 2 2 2 5 2" xfId="37926"/>
    <cellStyle name="Normal 2 9 2 2 2 6" xfId="37927"/>
    <cellStyle name="Normal 2 9 2 2 2 7" xfId="37928"/>
    <cellStyle name="Normal 2 9 2 2 2 8" xfId="37929"/>
    <cellStyle name="Normal 2 9 2 2 2 9" xfId="37930"/>
    <cellStyle name="Normal 2 9 2 2 3" xfId="37931"/>
    <cellStyle name="Normal 2 9 2 2 3 2" xfId="37932"/>
    <cellStyle name="Normal 2 9 2 2 3 2 2" xfId="37933"/>
    <cellStyle name="Normal 2 9 2 2 3 2 2 2" xfId="37934"/>
    <cellStyle name="Normal 2 9 2 2 3 2 2 3" xfId="37935"/>
    <cellStyle name="Normal 2 9 2 2 3 2 3" xfId="37936"/>
    <cellStyle name="Normal 2 9 2 2 3 2 4" xfId="37937"/>
    <cellStyle name="Normal 2 9 2 2 3 2 5" xfId="37938"/>
    <cellStyle name="Normal 2 9 2 2 3 2 6" xfId="37939"/>
    <cellStyle name="Normal 2 9 2 2 3 3" xfId="37940"/>
    <cellStyle name="Normal 2 9 2 2 3 3 2" xfId="37941"/>
    <cellStyle name="Normal 2 9 2 2 3 3 2 2" xfId="37942"/>
    <cellStyle name="Normal 2 9 2 2 3 3 3" xfId="37943"/>
    <cellStyle name="Normal 2 9 2 2 3 3 4" xfId="37944"/>
    <cellStyle name="Normal 2 9 2 2 3 3 5" xfId="37945"/>
    <cellStyle name="Normal 2 9 2 2 3 4" xfId="37946"/>
    <cellStyle name="Normal 2 9 2 2 3 4 2" xfId="37947"/>
    <cellStyle name="Normal 2 9 2 2 3 4 3" xfId="37948"/>
    <cellStyle name="Normal 2 9 2 2 3 4 4" xfId="37949"/>
    <cellStyle name="Normal 2 9 2 2 3 5" xfId="37950"/>
    <cellStyle name="Normal 2 9 2 2 3 5 2" xfId="37951"/>
    <cellStyle name="Normal 2 9 2 2 3 6" xfId="37952"/>
    <cellStyle name="Normal 2 9 2 2 3 7" xfId="37953"/>
    <cellStyle name="Normal 2 9 2 2 3 8" xfId="37954"/>
    <cellStyle name="Normal 2 9 2 2 3 9" xfId="37955"/>
    <cellStyle name="Normal 2 9 2 2 4" xfId="37956"/>
    <cellStyle name="Normal 2 9 2 2 4 2" xfId="37957"/>
    <cellStyle name="Normal 2 9 2 2 4 2 2" xfId="37958"/>
    <cellStyle name="Normal 2 9 2 2 4 2 3" xfId="37959"/>
    <cellStyle name="Normal 2 9 2 2 4 3" xfId="37960"/>
    <cellStyle name="Normal 2 9 2 2 4 4" xfId="37961"/>
    <cellStyle name="Normal 2 9 2 2 4 5" xfId="37962"/>
    <cellStyle name="Normal 2 9 2 2 4 6" xfId="37963"/>
    <cellStyle name="Normal 2 9 2 2 5" xfId="37964"/>
    <cellStyle name="Normal 2 9 2 2 5 2" xfId="37965"/>
    <cellStyle name="Normal 2 9 2 2 5 2 2" xfId="37966"/>
    <cellStyle name="Normal 2 9 2 2 5 3" xfId="37967"/>
    <cellStyle name="Normal 2 9 2 2 5 4" xfId="37968"/>
    <cellStyle name="Normal 2 9 2 2 5 5" xfId="37969"/>
    <cellStyle name="Normal 2 9 2 2 6" xfId="37970"/>
    <cellStyle name="Normal 2 9 2 2 6 2" xfId="37971"/>
    <cellStyle name="Normal 2 9 2 2 6 3" xfId="37972"/>
    <cellStyle name="Normal 2 9 2 2 6 4" xfId="37973"/>
    <cellStyle name="Normal 2 9 2 2 7" xfId="37974"/>
    <cellStyle name="Normal 2 9 2 2 7 2" xfId="37975"/>
    <cellStyle name="Normal 2 9 2 2 8" xfId="37976"/>
    <cellStyle name="Normal 2 9 2 2 9" xfId="37977"/>
    <cellStyle name="Normal 2 9 2 20" xfId="37978"/>
    <cellStyle name="Normal 2 9 2 21" xfId="37979"/>
    <cellStyle name="Normal 2 9 2 22" xfId="37980"/>
    <cellStyle name="Normal 2 9 2 3" xfId="37981"/>
    <cellStyle name="Normal 2 9 2 3 10" xfId="37982"/>
    <cellStyle name="Normal 2 9 2 3 11" xfId="37983"/>
    <cellStyle name="Normal 2 9 2 3 2" xfId="37984"/>
    <cellStyle name="Normal 2 9 2 3 2 2" xfId="37985"/>
    <cellStyle name="Normal 2 9 2 3 2 2 2" xfId="37986"/>
    <cellStyle name="Normal 2 9 2 3 2 2 2 2" xfId="37987"/>
    <cellStyle name="Normal 2 9 2 3 2 2 2 3" xfId="37988"/>
    <cellStyle name="Normal 2 9 2 3 2 2 3" xfId="37989"/>
    <cellStyle name="Normal 2 9 2 3 2 2 4" xfId="37990"/>
    <cellStyle name="Normal 2 9 2 3 2 2 5" xfId="37991"/>
    <cellStyle name="Normal 2 9 2 3 2 2 6" xfId="37992"/>
    <cellStyle name="Normal 2 9 2 3 2 3" xfId="37993"/>
    <cellStyle name="Normal 2 9 2 3 2 3 2" xfId="37994"/>
    <cellStyle name="Normal 2 9 2 3 2 3 2 2" xfId="37995"/>
    <cellStyle name="Normal 2 9 2 3 2 3 3" xfId="37996"/>
    <cellStyle name="Normal 2 9 2 3 2 3 4" xfId="37997"/>
    <cellStyle name="Normal 2 9 2 3 2 3 5" xfId="37998"/>
    <cellStyle name="Normal 2 9 2 3 2 4" xfId="37999"/>
    <cellStyle name="Normal 2 9 2 3 2 4 2" xfId="38000"/>
    <cellStyle name="Normal 2 9 2 3 2 4 3" xfId="38001"/>
    <cellStyle name="Normal 2 9 2 3 2 4 4" xfId="38002"/>
    <cellStyle name="Normal 2 9 2 3 2 5" xfId="38003"/>
    <cellStyle name="Normal 2 9 2 3 2 5 2" xfId="38004"/>
    <cellStyle name="Normal 2 9 2 3 2 6" xfId="38005"/>
    <cellStyle name="Normal 2 9 2 3 2 7" xfId="38006"/>
    <cellStyle name="Normal 2 9 2 3 2 8" xfId="38007"/>
    <cellStyle name="Normal 2 9 2 3 2 9" xfId="38008"/>
    <cellStyle name="Normal 2 9 2 3 3" xfId="38009"/>
    <cellStyle name="Normal 2 9 2 3 3 2" xfId="38010"/>
    <cellStyle name="Normal 2 9 2 3 3 2 2" xfId="38011"/>
    <cellStyle name="Normal 2 9 2 3 3 2 2 2" xfId="38012"/>
    <cellStyle name="Normal 2 9 2 3 3 2 2 3" xfId="38013"/>
    <cellStyle name="Normal 2 9 2 3 3 2 3" xfId="38014"/>
    <cellStyle name="Normal 2 9 2 3 3 2 4" xfId="38015"/>
    <cellStyle name="Normal 2 9 2 3 3 2 5" xfId="38016"/>
    <cellStyle name="Normal 2 9 2 3 3 2 6" xfId="38017"/>
    <cellStyle name="Normal 2 9 2 3 3 3" xfId="38018"/>
    <cellStyle name="Normal 2 9 2 3 3 3 2" xfId="38019"/>
    <cellStyle name="Normal 2 9 2 3 3 3 2 2" xfId="38020"/>
    <cellStyle name="Normal 2 9 2 3 3 3 3" xfId="38021"/>
    <cellStyle name="Normal 2 9 2 3 3 3 4" xfId="38022"/>
    <cellStyle name="Normal 2 9 2 3 3 3 5" xfId="38023"/>
    <cellStyle name="Normal 2 9 2 3 3 4" xfId="38024"/>
    <cellStyle name="Normal 2 9 2 3 3 4 2" xfId="38025"/>
    <cellStyle name="Normal 2 9 2 3 3 4 3" xfId="38026"/>
    <cellStyle name="Normal 2 9 2 3 3 4 4" xfId="38027"/>
    <cellStyle name="Normal 2 9 2 3 3 5" xfId="38028"/>
    <cellStyle name="Normal 2 9 2 3 3 5 2" xfId="38029"/>
    <cellStyle name="Normal 2 9 2 3 3 6" xfId="38030"/>
    <cellStyle name="Normal 2 9 2 3 3 7" xfId="38031"/>
    <cellStyle name="Normal 2 9 2 3 3 8" xfId="38032"/>
    <cellStyle name="Normal 2 9 2 3 3 9" xfId="38033"/>
    <cellStyle name="Normal 2 9 2 3 4" xfId="38034"/>
    <cellStyle name="Normal 2 9 2 3 4 2" xfId="38035"/>
    <cellStyle name="Normal 2 9 2 3 4 2 2" xfId="38036"/>
    <cellStyle name="Normal 2 9 2 3 4 2 3" xfId="38037"/>
    <cellStyle name="Normal 2 9 2 3 4 3" xfId="38038"/>
    <cellStyle name="Normal 2 9 2 3 4 4" xfId="38039"/>
    <cellStyle name="Normal 2 9 2 3 4 5" xfId="38040"/>
    <cellStyle name="Normal 2 9 2 3 4 6" xfId="38041"/>
    <cellStyle name="Normal 2 9 2 3 5" xfId="38042"/>
    <cellStyle name="Normal 2 9 2 3 5 2" xfId="38043"/>
    <cellStyle name="Normal 2 9 2 3 5 2 2" xfId="38044"/>
    <cellStyle name="Normal 2 9 2 3 5 3" xfId="38045"/>
    <cellStyle name="Normal 2 9 2 3 5 4" xfId="38046"/>
    <cellStyle name="Normal 2 9 2 3 5 5" xfId="38047"/>
    <cellStyle name="Normal 2 9 2 3 6" xfId="38048"/>
    <cellStyle name="Normal 2 9 2 3 6 2" xfId="38049"/>
    <cellStyle name="Normal 2 9 2 3 6 3" xfId="38050"/>
    <cellStyle name="Normal 2 9 2 3 6 4" xfId="38051"/>
    <cellStyle name="Normal 2 9 2 3 7" xfId="38052"/>
    <cellStyle name="Normal 2 9 2 3 7 2" xfId="38053"/>
    <cellStyle name="Normal 2 9 2 3 8" xfId="38054"/>
    <cellStyle name="Normal 2 9 2 3 9" xfId="38055"/>
    <cellStyle name="Normal 2 9 2 4" xfId="38056"/>
    <cellStyle name="Normal 2 9 2 4 10" xfId="38057"/>
    <cellStyle name="Normal 2 9 2 4 11" xfId="38058"/>
    <cellStyle name="Normal 2 9 2 4 2" xfId="38059"/>
    <cellStyle name="Normal 2 9 2 4 2 2" xfId="38060"/>
    <cellStyle name="Normal 2 9 2 4 2 2 2" xfId="38061"/>
    <cellStyle name="Normal 2 9 2 4 2 2 2 2" xfId="38062"/>
    <cellStyle name="Normal 2 9 2 4 2 2 2 3" xfId="38063"/>
    <cellStyle name="Normal 2 9 2 4 2 2 3" xfId="38064"/>
    <cellStyle name="Normal 2 9 2 4 2 2 4" xfId="38065"/>
    <cellStyle name="Normal 2 9 2 4 2 2 5" xfId="38066"/>
    <cellStyle name="Normal 2 9 2 4 2 2 6" xfId="38067"/>
    <cellStyle name="Normal 2 9 2 4 2 3" xfId="38068"/>
    <cellStyle name="Normal 2 9 2 4 2 3 2" xfId="38069"/>
    <cellStyle name="Normal 2 9 2 4 2 3 2 2" xfId="38070"/>
    <cellStyle name="Normal 2 9 2 4 2 3 3" xfId="38071"/>
    <cellStyle name="Normal 2 9 2 4 2 3 4" xfId="38072"/>
    <cellStyle name="Normal 2 9 2 4 2 3 5" xfId="38073"/>
    <cellStyle name="Normal 2 9 2 4 2 4" xfId="38074"/>
    <cellStyle name="Normal 2 9 2 4 2 4 2" xfId="38075"/>
    <cellStyle name="Normal 2 9 2 4 2 4 3" xfId="38076"/>
    <cellStyle name="Normal 2 9 2 4 2 4 4" xfId="38077"/>
    <cellStyle name="Normal 2 9 2 4 2 5" xfId="38078"/>
    <cellStyle name="Normal 2 9 2 4 2 5 2" xfId="38079"/>
    <cellStyle name="Normal 2 9 2 4 2 6" xfId="38080"/>
    <cellStyle name="Normal 2 9 2 4 2 7" xfId="38081"/>
    <cellStyle name="Normal 2 9 2 4 2 8" xfId="38082"/>
    <cellStyle name="Normal 2 9 2 4 2 9" xfId="38083"/>
    <cellStyle name="Normal 2 9 2 4 3" xfId="38084"/>
    <cellStyle name="Normal 2 9 2 4 3 2" xfId="38085"/>
    <cellStyle name="Normal 2 9 2 4 3 2 2" xfId="38086"/>
    <cellStyle name="Normal 2 9 2 4 3 2 2 2" xfId="38087"/>
    <cellStyle name="Normal 2 9 2 4 3 2 2 3" xfId="38088"/>
    <cellStyle name="Normal 2 9 2 4 3 2 3" xfId="38089"/>
    <cellStyle name="Normal 2 9 2 4 3 2 4" xfId="38090"/>
    <cellStyle name="Normal 2 9 2 4 3 2 5" xfId="38091"/>
    <cellStyle name="Normal 2 9 2 4 3 2 6" xfId="38092"/>
    <cellStyle name="Normal 2 9 2 4 3 3" xfId="38093"/>
    <cellStyle name="Normal 2 9 2 4 3 3 2" xfId="38094"/>
    <cellStyle name="Normal 2 9 2 4 3 3 2 2" xfId="38095"/>
    <cellStyle name="Normal 2 9 2 4 3 3 3" xfId="38096"/>
    <cellStyle name="Normal 2 9 2 4 3 3 4" xfId="38097"/>
    <cellStyle name="Normal 2 9 2 4 3 3 5" xfId="38098"/>
    <cellStyle name="Normal 2 9 2 4 3 4" xfId="38099"/>
    <cellStyle name="Normal 2 9 2 4 3 4 2" xfId="38100"/>
    <cellStyle name="Normal 2 9 2 4 3 4 3" xfId="38101"/>
    <cellStyle name="Normal 2 9 2 4 3 4 4" xfId="38102"/>
    <cellStyle name="Normal 2 9 2 4 3 5" xfId="38103"/>
    <cellStyle name="Normal 2 9 2 4 3 5 2" xfId="38104"/>
    <cellStyle name="Normal 2 9 2 4 3 6" xfId="38105"/>
    <cellStyle name="Normal 2 9 2 4 3 7" xfId="38106"/>
    <cellStyle name="Normal 2 9 2 4 3 8" xfId="38107"/>
    <cellStyle name="Normal 2 9 2 4 3 9" xfId="38108"/>
    <cellStyle name="Normal 2 9 2 4 4" xfId="38109"/>
    <cellStyle name="Normal 2 9 2 4 4 2" xfId="38110"/>
    <cellStyle name="Normal 2 9 2 4 4 2 2" xfId="38111"/>
    <cellStyle name="Normal 2 9 2 4 4 2 3" xfId="38112"/>
    <cellStyle name="Normal 2 9 2 4 4 3" xfId="38113"/>
    <cellStyle name="Normal 2 9 2 4 4 4" xfId="38114"/>
    <cellStyle name="Normal 2 9 2 4 4 5" xfId="38115"/>
    <cellStyle name="Normal 2 9 2 4 4 6" xfId="38116"/>
    <cellStyle name="Normal 2 9 2 4 5" xfId="38117"/>
    <cellStyle name="Normal 2 9 2 4 5 2" xfId="38118"/>
    <cellStyle name="Normal 2 9 2 4 5 2 2" xfId="38119"/>
    <cellStyle name="Normal 2 9 2 4 5 3" xfId="38120"/>
    <cellStyle name="Normal 2 9 2 4 5 4" xfId="38121"/>
    <cellStyle name="Normal 2 9 2 4 5 5" xfId="38122"/>
    <cellStyle name="Normal 2 9 2 4 6" xfId="38123"/>
    <cellStyle name="Normal 2 9 2 4 6 2" xfId="38124"/>
    <cellStyle name="Normal 2 9 2 4 6 3" xfId="38125"/>
    <cellStyle name="Normal 2 9 2 4 6 4" xfId="38126"/>
    <cellStyle name="Normal 2 9 2 4 7" xfId="38127"/>
    <cellStyle name="Normal 2 9 2 4 7 2" xfId="38128"/>
    <cellStyle name="Normal 2 9 2 4 8" xfId="38129"/>
    <cellStyle name="Normal 2 9 2 4 9" xfId="38130"/>
    <cellStyle name="Normal 2 9 2 5" xfId="38131"/>
    <cellStyle name="Normal 2 9 2 5 10" xfId="38132"/>
    <cellStyle name="Normal 2 9 2 5 11" xfId="38133"/>
    <cellStyle name="Normal 2 9 2 5 2" xfId="38134"/>
    <cellStyle name="Normal 2 9 2 5 2 2" xfId="38135"/>
    <cellStyle name="Normal 2 9 2 5 2 2 2" xfId="38136"/>
    <cellStyle name="Normal 2 9 2 5 2 2 2 2" xfId="38137"/>
    <cellStyle name="Normal 2 9 2 5 2 2 2 3" xfId="38138"/>
    <cellStyle name="Normal 2 9 2 5 2 2 3" xfId="38139"/>
    <cellStyle name="Normal 2 9 2 5 2 2 4" xfId="38140"/>
    <cellStyle name="Normal 2 9 2 5 2 2 5" xfId="38141"/>
    <cellStyle name="Normal 2 9 2 5 2 2 6" xfId="38142"/>
    <cellStyle name="Normal 2 9 2 5 2 3" xfId="38143"/>
    <cellStyle name="Normal 2 9 2 5 2 3 2" xfId="38144"/>
    <cellStyle name="Normal 2 9 2 5 2 3 2 2" xfId="38145"/>
    <cellStyle name="Normal 2 9 2 5 2 3 3" xfId="38146"/>
    <cellStyle name="Normal 2 9 2 5 2 3 4" xfId="38147"/>
    <cellStyle name="Normal 2 9 2 5 2 3 5" xfId="38148"/>
    <cellStyle name="Normal 2 9 2 5 2 4" xfId="38149"/>
    <cellStyle name="Normal 2 9 2 5 2 4 2" xfId="38150"/>
    <cellStyle name="Normal 2 9 2 5 2 4 3" xfId="38151"/>
    <cellStyle name="Normal 2 9 2 5 2 4 4" xfId="38152"/>
    <cellStyle name="Normal 2 9 2 5 2 5" xfId="38153"/>
    <cellStyle name="Normal 2 9 2 5 2 5 2" xfId="38154"/>
    <cellStyle name="Normal 2 9 2 5 2 6" xfId="38155"/>
    <cellStyle name="Normal 2 9 2 5 2 7" xfId="38156"/>
    <cellStyle name="Normal 2 9 2 5 2 8" xfId="38157"/>
    <cellStyle name="Normal 2 9 2 5 2 9" xfId="38158"/>
    <cellStyle name="Normal 2 9 2 5 3" xfId="38159"/>
    <cellStyle name="Normal 2 9 2 5 3 2" xfId="38160"/>
    <cellStyle name="Normal 2 9 2 5 3 2 2" xfId="38161"/>
    <cellStyle name="Normal 2 9 2 5 3 2 2 2" xfId="38162"/>
    <cellStyle name="Normal 2 9 2 5 3 2 2 3" xfId="38163"/>
    <cellStyle name="Normal 2 9 2 5 3 2 3" xfId="38164"/>
    <cellStyle name="Normal 2 9 2 5 3 2 4" xfId="38165"/>
    <cellStyle name="Normal 2 9 2 5 3 2 5" xfId="38166"/>
    <cellStyle name="Normal 2 9 2 5 3 2 6" xfId="38167"/>
    <cellStyle name="Normal 2 9 2 5 3 3" xfId="38168"/>
    <cellStyle name="Normal 2 9 2 5 3 3 2" xfId="38169"/>
    <cellStyle name="Normal 2 9 2 5 3 3 2 2" xfId="38170"/>
    <cellStyle name="Normal 2 9 2 5 3 3 3" xfId="38171"/>
    <cellStyle name="Normal 2 9 2 5 3 3 4" xfId="38172"/>
    <cellStyle name="Normal 2 9 2 5 3 3 5" xfId="38173"/>
    <cellStyle name="Normal 2 9 2 5 3 4" xfId="38174"/>
    <cellStyle name="Normal 2 9 2 5 3 4 2" xfId="38175"/>
    <cellStyle name="Normal 2 9 2 5 3 4 3" xfId="38176"/>
    <cellStyle name="Normal 2 9 2 5 3 4 4" xfId="38177"/>
    <cellStyle name="Normal 2 9 2 5 3 5" xfId="38178"/>
    <cellStyle name="Normal 2 9 2 5 3 5 2" xfId="38179"/>
    <cellStyle name="Normal 2 9 2 5 3 6" xfId="38180"/>
    <cellStyle name="Normal 2 9 2 5 3 7" xfId="38181"/>
    <cellStyle name="Normal 2 9 2 5 3 8" xfId="38182"/>
    <cellStyle name="Normal 2 9 2 5 3 9" xfId="38183"/>
    <cellStyle name="Normal 2 9 2 5 4" xfId="38184"/>
    <cellStyle name="Normal 2 9 2 5 4 2" xfId="38185"/>
    <cellStyle name="Normal 2 9 2 5 4 2 2" xfId="38186"/>
    <cellStyle name="Normal 2 9 2 5 4 2 3" xfId="38187"/>
    <cellStyle name="Normal 2 9 2 5 4 3" xfId="38188"/>
    <cellStyle name="Normal 2 9 2 5 4 4" xfId="38189"/>
    <cellStyle name="Normal 2 9 2 5 4 5" xfId="38190"/>
    <cellStyle name="Normal 2 9 2 5 4 6" xfId="38191"/>
    <cellStyle name="Normal 2 9 2 5 5" xfId="38192"/>
    <cellStyle name="Normal 2 9 2 5 5 2" xfId="38193"/>
    <cellStyle name="Normal 2 9 2 5 5 2 2" xfId="38194"/>
    <cellStyle name="Normal 2 9 2 5 5 3" xfId="38195"/>
    <cellStyle name="Normal 2 9 2 5 5 4" xfId="38196"/>
    <cellStyle name="Normal 2 9 2 5 5 5" xfId="38197"/>
    <cellStyle name="Normal 2 9 2 5 6" xfId="38198"/>
    <cellStyle name="Normal 2 9 2 5 6 2" xfId="38199"/>
    <cellStyle name="Normal 2 9 2 5 6 3" xfId="38200"/>
    <cellStyle name="Normal 2 9 2 5 6 4" xfId="38201"/>
    <cellStyle name="Normal 2 9 2 5 7" xfId="38202"/>
    <cellStyle name="Normal 2 9 2 5 7 2" xfId="38203"/>
    <cellStyle name="Normal 2 9 2 5 8" xfId="38204"/>
    <cellStyle name="Normal 2 9 2 5 9" xfId="38205"/>
    <cellStyle name="Normal 2 9 2 6" xfId="38206"/>
    <cellStyle name="Normal 2 9 2 6 10" xfId="38207"/>
    <cellStyle name="Normal 2 9 2 6 11" xfId="38208"/>
    <cellStyle name="Normal 2 9 2 6 2" xfId="38209"/>
    <cellStyle name="Normal 2 9 2 6 2 2" xfId="38210"/>
    <cellStyle name="Normal 2 9 2 6 2 2 2" xfId="38211"/>
    <cellStyle name="Normal 2 9 2 6 2 2 2 2" xfId="38212"/>
    <cellStyle name="Normal 2 9 2 6 2 2 2 3" xfId="38213"/>
    <cellStyle name="Normal 2 9 2 6 2 2 3" xfId="38214"/>
    <cellStyle name="Normal 2 9 2 6 2 2 4" xfId="38215"/>
    <cellStyle name="Normal 2 9 2 6 2 2 5" xfId="38216"/>
    <cellStyle name="Normal 2 9 2 6 2 2 6" xfId="38217"/>
    <cellStyle name="Normal 2 9 2 6 2 3" xfId="38218"/>
    <cellStyle name="Normal 2 9 2 6 2 3 2" xfId="38219"/>
    <cellStyle name="Normal 2 9 2 6 2 3 2 2" xfId="38220"/>
    <cellStyle name="Normal 2 9 2 6 2 3 3" xfId="38221"/>
    <cellStyle name="Normal 2 9 2 6 2 3 4" xfId="38222"/>
    <cellStyle name="Normal 2 9 2 6 2 3 5" xfId="38223"/>
    <cellStyle name="Normal 2 9 2 6 2 4" xfId="38224"/>
    <cellStyle name="Normal 2 9 2 6 2 4 2" xfId="38225"/>
    <cellStyle name="Normal 2 9 2 6 2 4 3" xfId="38226"/>
    <cellStyle name="Normal 2 9 2 6 2 4 4" xfId="38227"/>
    <cellStyle name="Normal 2 9 2 6 2 5" xfId="38228"/>
    <cellStyle name="Normal 2 9 2 6 2 5 2" xfId="38229"/>
    <cellStyle name="Normal 2 9 2 6 2 6" xfId="38230"/>
    <cellStyle name="Normal 2 9 2 6 2 7" xfId="38231"/>
    <cellStyle name="Normal 2 9 2 6 2 8" xfId="38232"/>
    <cellStyle name="Normal 2 9 2 6 2 9" xfId="38233"/>
    <cellStyle name="Normal 2 9 2 6 3" xfId="38234"/>
    <cellStyle name="Normal 2 9 2 6 3 2" xfId="38235"/>
    <cellStyle name="Normal 2 9 2 6 3 2 2" xfId="38236"/>
    <cellStyle name="Normal 2 9 2 6 3 2 2 2" xfId="38237"/>
    <cellStyle name="Normal 2 9 2 6 3 2 2 3" xfId="38238"/>
    <cellStyle name="Normal 2 9 2 6 3 2 3" xfId="38239"/>
    <cellStyle name="Normal 2 9 2 6 3 2 4" xfId="38240"/>
    <cellStyle name="Normal 2 9 2 6 3 2 5" xfId="38241"/>
    <cellStyle name="Normal 2 9 2 6 3 2 6" xfId="38242"/>
    <cellStyle name="Normal 2 9 2 6 3 3" xfId="38243"/>
    <cellStyle name="Normal 2 9 2 6 3 3 2" xfId="38244"/>
    <cellStyle name="Normal 2 9 2 6 3 3 2 2" xfId="38245"/>
    <cellStyle name="Normal 2 9 2 6 3 3 3" xfId="38246"/>
    <cellStyle name="Normal 2 9 2 6 3 3 4" xfId="38247"/>
    <cellStyle name="Normal 2 9 2 6 3 3 5" xfId="38248"/>
    <cellStyle name="Normal 2 9 2 6 3 4" xfId="38249"/>
    <cellStyle name="Normal 2 9 2 6 3 4 2" xfId="38250"/>
    <cellStyle name="Normal 2 9 2 6 3 4 3" xfId="38251"/>
    <cellStyle name="Normal 2 9 2 6 3 4 4" xfId="38252"/>
    <cellStyle name="Normal 2 9 2 6 3 5" xfId="38253"/>
    <cellStyle name="Normal 2 9 2 6 3 5 2" xfId="38254"/>
    <cellStyle name="Normal 2 9 2 6 3 6" xfId="38255"/>
    <cellStyle name="Normal 2 9 2 6 3 7" xfId="38256"/>
    <cellStyle name="Normal 2 9 2 6 3 8" xfId="38257"/>
    <cellStyle name="Normal 2 9 2 6 3 9" xfId="38258"/>
    <cellStyle name="Normal 2 9 2 6 4" xfId="38259"/>
    <cellStyle name="Normal 2 9 2 6 4 2" xfId="38260"/>
    <cellStyle name="Normal 2 9 2 6 4 2 2" xfId="38261"/>
    <cellStyle name="Normal 2 9 2 6 4 2 3" xfId="38262"/>
    <cellStyle name="Normal 2 9 2 6 4 3" xfId="38263"/>
    <cellStyle name="Normal 2 9 2 6 4 4" xfId="38264"/>
    <cellStyle name="Normal 2 9 2 6 4 5" xfId="38265"/>
    <cellStyle name="Normal 2 9 2 6 4 6" xfId="38266"/>
    <cellStyle name="Normal 2 9 2 6 5" xfId="38267"/>
    <cellStyle name="Normal 2 9 2 6 5 2" xfId="38268"/>
    <cellStyle name="Normal 2 9 2 6 5 2 2" xfId="38269"/>
    <cellStyle name="Normal 2 9 2 6 5 3" xfId="38270"/>
    <cellStyle name="Normal 2 9 2 6 5 4" xfId="38271"/>
    <cellStyle name="Normal 2 9 2 6 5 5" xfId="38272"/>
    <cellStyle name="Normal 2 9 2 6 6" xfId="38273"/>
    <cellStyle name="Normal 2 9 2 6 6 2" xfId="38274"/>
    <cellStyle name="Normal 2 9 2 6 6 3" xfId="38275"/>
    <cellStyle name="Normal 2 9 2 6 6 4" xfId="38276"/>
    <cellStyle name="Normal 2 9 2 6 7" xfId="38277"/>
    <cellStyle name="Normal 2 9 2 6 7 2" xfId="38278"/>
    <cellStyle name="Normal 2 9 2 6 8" xfId="38279"/>
    <cellStyle name="Normal 2 9 2 6 9" xfId="38280"/>
    <cellStyle name="Normal 2 9 2 7" xfId="38281"/>
    <cellStyle name="Normal 2 9 2 7 10" xfId="38282"/>
    <cellStyle name="Normal 2 9 2 7 11" xfId="38283"/>
    <cellStyle name="Normal 2 9 2 7 2" xfId="38284"/>
    <cellStyle name="Normal 2 9 2 7 2 2" xfId="38285"/>
    <cellStyle name="Normal 2 9 2 7 2 2 2" xfId="38286"/>
    <cellStyle name="Normal 2 9 2 7 2 2 2 2" xfId="38287"/>
    <cellStyle name="Normal 2 9 2 7 2 2 2 3" xfId="38288"/>
    <cellStyle name="Normal 2 9 2 7 2 2 3" xfId="38289"/>
    <cellStyle name="Normal 2 9 2 7 2 2 4" xfId="38290"/>
    <cellStyle name="Normal 2 9 2 7 2 2 5" xfId="38291"/>
    <cellStyle name="Normal 2 9 2 7 2 2 6" xfId="38292"/>
    <cellStyle name="Normal 2 9 2 7 2 3" xfId="38293"/>
    <cellStyle name="Normal 2 9 2 7 2 3 2" xfId="38294"/>
    <cellStyle name="Normal 2 9 2 7 2 3 2 2" xfId="38295"/>
    <cellStyle name="Normal 2 9 2 7 2 3 3" xfId="38296"/>
    <cellStyle name="Normal 2 9 2 7 2 3 4" xfId="38297"/>
    <cellStyle name="Normal 2 9 2 7 2 3 5" xfId="38298"/>
    <cellStyle name="Normal 2 9 2 7 2 4" xfId="38299"/>
    <cellStyle name="Normal 2 9 2 7 2 4 2" xfId="38300"/>
    <cellStyle name="Normal 2 9 2 7 2 4 3" xfId="38301"/>
    <cellStyle name="Normal 2 9 2 7 2 4 4" xfId="38302"/>
    <cellStyle name="Normal 2 9 2 7 2 5" xfId="38303"/>
    <cellStyle name="Normal 2 9 2 7 2 5 2" xfId="38304"/>
    <cellStyle name="Normal 2 9 2 7 2 6" xfId="38305"/>
    <cellStyle name="Normal 2 9 2 7 2 7" xfId="38306"/>
    <cellStyle name="Normal 2 9 2 7 2 8" xfId="38307"/>
    <cellStyle name="Normal 2 9 2 7 2 9" xfId="38308"/>
    <cellStyle name="Normal 2 9 2 7 3" xfId="38309"/>
    <cellStyle name="Normal 2 9 2 7 3 2" xfId="38310"/>
    <cellStyle name="Normal 2 9 2 7 3 2 2" xfId="38311"/>
    <cellStyle name="Normal 2 9 2 7 3 2 2 2" xfId="38312"/>
    <cellStyle name="Normal 2 9 2 7 3 2 2 3" xfId="38313"/>
    <cellStyle name="Normal 2 9 2 7 3 2 3" xfId="38314"/>
    <cellStyle name="Normal 2 9 2 7 3 2 4" xfId="38315"/>
    <cellStyle name="Normal 2 9 2 7 3 2 5" xfId="38316"/>
    <cellStyle name="Normal 2 9 2 7 3 2 6" xfId="38317"/>
    <cellStyle name="Normal 2 9 2 7 3 3" xfId="38318"/>
    <cellStyle name="Normal 2 9 2 7 3 3 2" xfId="38319"/>
    <cellStyle name="Normal 2 9 2 7 3 3 2 2" xfId="38320"/>
    <cellStyle name="Normal 2 9 2 7 3 3 3" xfId="38321"/>
    <cellStyle name="Normal 2 9 2 7 3 3 4" xfId="38322"/>
    <cellStyle name="Normal 2 9 2 7 3 3 5" xfId="38323"/>
    <cellStyle name="Normal 2 9 2 7 3 4" xfId="38324"/>
    <cellStyle name="Normal 2 9 2 7 3 4 2" xfId="38325"/>
    <cellStyle name="Normal 2 9 2 7 3 4 3" xfId="38326"/>
    <cellStyle name="Normal 2 9 2 7 3 4 4" xfId="38327"/>
    <cellStyle name="Normal 2 9 2 7 3 5" xfId="38328"/>
    <cellStyle name="Normal 2 9 2 7 3 5 2" xfId="38329"/>
    <cellStyle name="Normal 2 9 2 7 3 6" xfId="38330"/>
    <cellStyle name="Normal 2 9 2 7 3 7" xfId="38331"/>
    <cellStyle name="Normal 2 9 2 7 3 8" xfId="38332"/>
    <cellStyle name="Normal 2 9 2 7 3 9" xfId="38333"/>
    <cellStyle name="Normal 2 9 2 7 4" xfId="38334"/>
    <cellStyle name="Normal 2 9 2 7 4 2" xfId="38335"/>
    <cellStyle name="Normal 2 9 2 7 4 2 2" xfId="38336"/>
    <cellStyle name="Normal 2 9 2 7 4 2 3" xfId="38337"/>
    <cellStyle name="Normal 2 9 2 7 4 3" xfId="38338"/>
    <cellStyle name="Normal 2 9 2 7 4 4" xfId="38339"/>
    <cellStyle name="Normal 2 9 2 7 4 5" xfId="38340"/>
    <cellStyle name="Normal 2 9 2 7 4 6" xfId="38341"/>
    <cellStyle name="Normal 2 9 2 7 5" xfId="38342"/>
    <cellStyle name="Normal 2 9 2 7 5 2" xfId="38343"/>
    <cellStyle name="Normal 2 9 2 7 5 2 2" xfId="38344"/>
    <cellStyle name="Normal 2 9 2 7 5 3" xfId="38345"/>
    <cellStyle name="Normal 2 9 2 7 5 4" xfId="38346"/>
    <cellStyle name="Normal 2 9 2 7 5 5" xfId="38347"/>
    <cellStyle name="Normal 2 9 2 7 6" xfId="38348"/>
    <cellStyle name="Normal 2 9 2 7 6 2" xfId="38349"/>
    <cellStyle name="Normal 2 9 2 7 6 3" xfId="38350"/>
    <cellStyle name="Normal 2 9 2 7 6 4" xfId="38351"/>
    <cellStyle name="Normal 2 9 2 7 7" xfId="38352"/>
    <cellStyle name="Normal 2 9 2 7 7 2" xfId="38353"/>
    <cellStyle name="Normal 2 9 2 7 8" xfId="38354"/>
    <cellStyle name="Normal 2 9 2 7 9" xfId="38355"/>
    <cellStyle name="Normal 2 9 2 8" xfId="38356"/>
    <cellStyle name="Normal 2 9 2 8 10" xfId="38357"/>
    <cellStyle name="Normal 2 9 2 8 2" xfId="38358"/>
    <cellStyle name="Normal 2 9 2 8 2 2" xfId="38359"/>
    <cellStyle name="Normal 2 9 2 8 2 2 2" xfId="38360"/>
    <cellStyle name="Normal 2 9 2 8 2 2 3" xfId="38361"/>
    <cellStyle name="Normal 2 9 2 8 2 3" xfId="38362"/>
    <cellStyle name="Normal 2 9 2 8 2 4" xfId="38363"/>
    <cellStyle name="Normal 2 9 2 8 2 5" xfId="38364"/>
    <cellStyle name="Normal 2 9 2 8 2 6" xfId="38365"/>
    <cellStyle name="Normal 2 9 2 8 3" xfId="38366"/>
    <cellStyle name="Normal 2 9 2 8 3 2" xfId="38367"/>
    <cellStyle name="Normal 2 9 2 8 3 2 2" xfId="38368"/>
    <cellStyle name="Normal 2 9 2 8 3 2 3" xfId="38369"/>
    <cellStyle name="Normal 2 9 2 8 3 3" xfId="38370"/>
    <cellStyle name="Normal 2 9 2 8 3 4" xfId="38371"/>
    <cellStyle name="Normal 2 9 2 8 3 5" xfId="38372"/>
    <cellStyle name="Normal 2 9 2 8 3 6" xfId="38373"/>
    <cellStyle name="Normal 2 9 2 8 4" xfId="38374"/>
    <cellStyle name="Normal 2 9 2 8 4 2" xfId="38375"/>
    <cellStyle name="Normal 2 9 2 8 4 2 2" xfId="38376"/>
    <cellStyle name="Normal 2 9 2 8 4 3" xfId="38377"/>
    <cellStyle name="Normal 2 9 2 8 4 4" xfId="38378"/>
    <cellStyle name="Normal 2 9 2 8 4 5" xfId="38379"/>
    <cellStyle name="Normal 2 9 2 8 5" xfId="38380"/>
    <cellStyle name="Normal 2 9 2 8 5 2" xfId="38381"/>
    <cellStyle name="Normal 2 9 2 8 5 3" xfId="38382"/>
    <cellStyle name="Normal 2 9 2 8 5 4" xfId="38383"/>
    <cellStyle name="Normal 2 9 2 8 6" xfId="38384"/>
    <cellStyle name="Normal 2 9 2 8 6 2" xfId="38385"/>
    <cellStyle name="Normal 2 9 2 8 7" xfId="38386"/>
    <cellStyle name="Normal 2 9 2 8 8" xfId="38387"/>
    <cellStyle name="Normal 2 9 2 8 9" xfId="38388"/>
    <cellStyle name="Normal 2 9 2 9" xfId="38389"/>
    <cellStyle name="Normal 2 9 2 9 10" xfId="38390"/>
    <cellStyle name="Normal 2 9 2 9 2" xfId="38391"/>
    <cellStyle name="Normal 2 9 2 9 2 2" xfId="38392"/>
    <cellStyle name="Normal 2 9 2 9 2 2 2" xfId="38393"/>
    <cellStyle name="Normal 2 9 2 9 2 2 3" xfId="38394"/>
    <cellStyle name="Normal 2 9 2 9 2 3" xfId="38395"/>
    <cellStyle name="Normal 2 9 2 9 2 4" xfId="38396"/>
    <cellStyle name="Normal 2 9 2 9 2 5" xfId="38397"/>
    <cellStyle name="Normal 2 9 2 9 2 6" xfId="38398"/>
    <cellStyle name="Normal 2 9 2 9 3" xfId="38399"/>
    <cellStyle name="Normal 2 9 2 9 3 2" xfId="38400"/>
    <cellStyle name="Normal 2 9 2 9 3 2 2" xfId="38401"/>
    <cellStyle name="Normal 2 9 2 9 3 2 3" xfId="38402"/>
    <cellStyle name="Normal 2 9 2 9 3 3" xfId="38403"/>
    <cellStyle name="Normal 2 9 2 9 3 4" xfId="38404"/>
    <cellStyle name="Normal 2 9 2 9 3 5" xfId="38405"/>
    <cellStyle name="Normal 2 9 2 9 3 6" xfId="38406"/>
    <cellStyle name="Normal 2 9 2 9 4" xfId="38407"/>
    <cellStyle name="Normal 2 9 2 9 4 2" xfId="38408"/>
    <cellStyle name="Normal 2 9 2 9 4 2 2" xfId="38409"/>
    <cellStyle name="Normal 2 9 2 9 4 3" xfId="38410"/>
    <cellStyle name="Normal 2 9 2 9 4 4" xfId="38411"/>
    <cellStyle name="Normal 2 9 2 9 4 5" xfId="38412"/>
    <cellStyle name="Normal 2 9 2 9 5" xfId="38413"/>
    <cellStyle name="Normal 2 9 2 9 5 2" xfId="38414"/>
    <cellStyle name="Normal 2 9 2 9 5 3" xfId="38415"/>
    <cellStyle name="Normal 2 9 2 9 5 4" xfId="38416"/>
    <cellStyle name="Normal 2 9 2 9 6" xfId="38417"/>
    <cellStyle name="Normal 2 9 2 9 6 2" xfId="38418"/>
    <cellStyle name="Normal 2 9 2 9 7" xfId="38419"/>
    <cellStyle name="Normal 2 9 2 9 8" xfId="38420"/>
    <cellStyle name="Normal 2 9 2 9 9" xfId="38421"/>
    <cellStyle name="Normal 2 9 3" xfId="38422"/>
    <cellStyle name="Normal 2 9 3 2" xfId="38423"/>
    <cellStyle name="Normal 2 9 4" xfId="38424"/>
    <cellStyle name="Normal 2 9 5" xfId="38425"/>
    <cellStyle name="Normal 2 9 6" xfId="38426"/>
    <cellStyle name="Normal 2 9 7" xfId="38427"/>
    <cellStyle name="Normal 2 9 8" xfId="38428"/>
    <cellStyle name="Normal 20" xfId="38429"/>
    <cellStyle name="Normal 20 2" xfId="38430"/>
    <cellStyle name="Normal 20 2 2" xfId="38431"/>
    <cellStyle name="Normal 20 2 3" xfId="38432"/>
    <cellStyle name="Normal 20 3" xfId="38433"/>
    <cellStyle name="Normal 20 4" xfId="38434"/>
    <cellStyle name="Normal 21" xfId="38435"/>
    <cellStyle name="Normal 21 2" xfId="38436"/>
    <cellStyle name="Normal 21 3" xfId="38437"/>
    <cellStyle name="Normal 22" xfId="38438"/>
    <cellStyle name="Normal 22 2" xfId="38439"/>
    <cellStyle name="Normal 23" xfId="38440"/>
    <cellStyle name="Normal 24" xfId="38441"/>
    <cellStyle name="Normal 25" xfId="38442"/>
    <cellStyle name="Normal 26" xfId="38443"/>
    <cellStyle name="Normal 27" xfId="38444"/>
    <cellStyle name="Normal 28" xfId="38445"/>
    <cellStyle name="Normal 29" xfId="38446"/>
    <cellStyle name="Normal 3" xfId="38447"/>
    <cellStyle name="Normal 3 10" xfId="38448"/>
    <cellStyle name="Normal 3 10 2" xfId="38449"/>
    <cellStyle name="Normal 3 11" xfId="38450"/>
    <cellStyle name="Normal 3 11 2" xfId="38451"/>
    <cellStyle name="Normal 3 12" xfId="38452"/>
    <cellStyle name="Normal 3 13" xfId="38453"/>
    <cellStyle name="Normal 3 14" xfId="38454"/>
    <cellStyle name="Normal 3 15" xfId="38455"/>
    <cellStyle name="Normal 3 16" xfId="38456"/>
    <cellStyle name="Normal 3 17" xfId="38457"/>
    <cellStyle name="Normal 3 18" xfId="38458"/>
    <cellStyle name="Normal 3 19" xfId="38459"/>
    <cellStyle name="Normal 3 2" xfId="38460"/>
    <cellStyle name="Normal 3 2 2" xfId="38461"/>
    <cellStyle name="Normal 3 2 2 2" xfId="38462"/>
    <cellStyle name="Normal 3 2 2 2 2" xfId="38463"/>
    <cellStyle name="Normal 3 2 2 2 3" xfId="38464"/>
    <cellStyle name="Normal 3 2 2 3" xfId="38465"/>
    <cellStyle name="Normal 3 2 2 3 2" xfId="38466"/>
    <cellStyle name="Normal 3 2 2 4" xfId="38467"/>
    <cellStyle name="Normal 3 2 2 5" xfId="38468"/>
    <cellStyle name="Normal 3 2 2 6" xfId="38469"/>
    <cellStyle name="Normal 3 2 2 7" xfId="38470"/>
    <cellStyle name="Normal 3 2 3" xfId="38471"/>
    <cellStyle name="Normal 3 2 3 2" xfId="38472"/>
    <cellStyle name="Normal 3 2 3 3" xfId="38473"/>
    <cellStyle name="Normal 3 2 3 4" xfId="38474"/>
    <cellStyle name="Normal 3 2 3 5" xfId="38475"/>
    <cellStyle name="Normal 3 2 4" xfId="38476"/>
    <cellStyle name="Normal 3 2 4 2" xfId="38477"/>
    <cellStyle name="Normal 3 2 4 3" xfId="38478"/>
    <cellStyle name="Normal 3 2 4 4" xfId="38479"/>
    <cellStyle name="Normal 3 2 5" xfId="38480"/>
    <cellStyle name="Normal 3 2 5 2" xfId="38481"/>
    <cellStyle name="Normal 3 2 5 3" xfId="38482"/>
    <cellStyle name="Normal 3 2 5 4" xfId="38483"/>
    <cellStyle name="Normal 3 2 6" xfId="38484"/>
    <cellStyle name="Normal 3 2 7" xfId="38485"/>
    <cellStyle name="Normal 3 2 8" xfId="38486"/>
    <cellStyle name="Normal 3 20" xfId="38487"/>
    <cellStyle name="Normal 3 21" xfId="38488"/>
    <cellStyle name="Normal 3 22" xfId="38489"/>
    <cellStyle name="Normal 3 23" xfId="38490"/>
    <cellStyle name="Normal 3 24" xfId="38491"/>
    <cellStyle name="Normal 3 25" xfId="38492"/>
    <cellStyle name="Normal 3 26" xfId="38493"/>
    <cellStyle name="Normal 3 27" xfId="38494"/>
    <cellStyle name="Normal 3 28" xfId="38495"/>
    <cellStyle name="Normal 3 29" xfId="38496"/>
    <cellStyle name="Normal 3 3" xfId="38497"/>
    <cellStyle name="Normal 3 3 2" xfId="38498"/>
    <cellStyle name="Normal 3 3 3" xfId="38499"/>
    <cellStyle name="Normal 3 30" xfId="38500"/>
    <cellStyle name="Normal 3 31" xfId="38501"/>
    <cellStyle name="Normal 3 32" xfId="38502"/>
    <cellStyle name="Normal 3 33" xfId="38503"/>
    <cellStyle name="Normal 3 34" xfId="38504"/>
    <cellStyle name="Normal 3 35" xfId="38505"/>
    <cellStyle name="Normal 3 36" xfId="38506"/>
    <cellStyle name="Normal 3 37" xfId="38507"/>
    <cellStyle name="Normal 3 38" xfId="38508"/>
    <cellStyle name="Normal 3 39" xfId="38509"/>
    <cellStyle name="Normal 3 4" xfId="38510"/>
    <cellStyle name="Normal 3 4 10" xfId="38511"/>
    <cellStyle name="Normal 3 4 11" xfId="38512"/>
    <cellStyle name="Normal 3 4 12" xfId="38513"/>
    <cellStyle name="Normal 3 4 13" xfId="38514"/>
    <cellStyle name="Normal 3 4 14" xfId="38515"/>
    <cellStyle name="Normal 3 4 15" xfId="38516"/>
    <cellStyle name="Normal 3 4 16" xfId="38517"/>
    <cellStyle name="Normal 3 4 17" xfId="38518"/>
    <cellStyle name="Normal 3 4 18" xfId="38519"/>
    <cellStyle name="Normal 3 4 19" xfId="38520"/>
    <cellStyle name="Normal 3 4 2" xfId="38521"/>
    <cellStyle name="Normal 3 4 20" xfId="38522"/>
    <cellStyle name="Normal 3 4 21" xfId="38523"/>
    <cellStyle name="Normal 3 4 22" xfId="38524"/>
    <cellStyle name="Normal 3 4 23" xfId="38525"/>
    <cellStyle name="Normal 3 4 24" xfId="38526"/>
    <cellStyle name="Normal 3 4 25" xfId="38527"/>
    <cellStyle name="Normal 3 4 26" xfId="38528"/>
    <cellStyle name="Normal 3 4 27" xfId="38529"/>
    <cellStyle name="Normal 3 4 28" xfId="38530"/>
    <cellStyle name="Normal 3 4 29" xfId="38531"/>
    <cellStyle name="Normal 3 4 3" xfId="38532"/>
    <cellStyle name="Normal 3 4 30" xfId="38533"/>
    <cellStyle name="Normal 3 4 31" xfId="38534"/>
    <cellStyle name="Normal 3 4 32" xfId="38535"/>
    <cellStyle name="Normal 3 4 33" xfId="38536"/>
    <cellStyle name="Normal 3 4 34" xfId="38537"/>
    <cellStyle name="Normal 3 4 35" xfId="38538"/>
    <cellStyle name="Normal 3 4 4" xfId="38539"/>
    <cellStyle name="Normal 3 4 5" xfId="38540"/>
    <cellStyle name="Normal 3 4 6" xfId="38541"/>
    <cellStyle name="Normal 3 4 7" xfId="38542"/>
    <cellStyle name="Normal 3 4 8" xfId="38543"/>
    <cellStyle name="Normal 3 4 9" xfId="38544"/>
    <cellStyle name="Normal 3 40" xfId="38545"/>
    <cellStyle name="Normal 3 41" xfId="38546"/>
    <cellStyle name="Normal 3 42" xfId="38547"/>
    <cellStyle name="Normal 3 43" xfId="38548"/>
    <cellStyle name="Normal 3 44" xfId="38549"/>
    <cellStyle name="Normal 3 45" xfId="38550"/>
    <cellStyle name="Normal 3 46" xfId="38551"/>
    <cellStyle name="Normal 3 47" xfId="38552"/>
    <cellStyle name="Normal 3 5" xfId="38553"/>
    <cellStyle name="Normal 3 5 2" xfId="38554"/>
    <cellStyle name="Normal 3 5 3" xfId="38555"/>
    <cellStyle name="Normal 3 6" xfId="38556"/>
    <cellStyle name="Normal 3 6 2" xfId="38557"/>
    <cellStyle name="Normal 3 6 3" xfId="38558"/>
    <cellStyle name="Normal 3 7" xfId="38559"/>
    <cellStyle name="Normal 3 7 2" xfId="38560"/>
    <cellStyle name="Normal 3 8" xfId="38561"/>
    <cellStyle name="Normal 3 8 2" xfId="38562"/>
    <cellStyle name="Normal 3 9" xfId="38563"/>
    <cellStyle name="Normal 3 9 2" xfId="38564"/>
    <cellStyle name="Normal 30" xfId="38565"/>
    <cellStyle name="Normal 31" xfId="38566"/>
    <cellStyle name="Normal 32" xfId="38567"/>
    <cellStyle name="Normal 33" xfId="38568"/>
    <cellStyle name="Normal 34" xfId="38569"/>
    <cellStyle name="Normal 35" xfId="38570"/>
    <cellStyle name="Normal 36" xfId="38571"/>
    <cellStyle name="Normal 37" xfId="38572"/>
    <cellStyle name="Normal 38" xfId="38573"/>
    <cellStyle name="Normal 39" xfId="38574"/>
    <cellStyle name="Normal 4" xfId="38575"/>
    <cellStyle name="Normal 4 10" xfId="38576"/>
    <cellStyle name="Normal 4 10 2" xfId="38577"/>
    <cellStyle name="Normal 4 10 2 2" xfId="38578"/>
    <cellStyle name="Normal 4 10 3" xfId="38579"/>
    <cellStyle name="Normal 4 10 4" xfId="38580"/>
    <cellStyle name="Normal 4 11" xfId="38581"/>
    <cellStyle name="Normal 4 11 2" xfId="38582"/>
    <cellStyle name="Normal 4 11 3" xfId="38583"/>
    <cellStyle name="Normal 4 12" xfId="38584"/>
    <cellStyle name="Normal 4 13" xfId="38585"/>
    <cellStyle name="Normal 4 13 2" xfId="38586"/>
    <cellStyle name="Normal 4 14" xfId="38587"/>
    <cellStyle name="Normal 4 15" xfId="38588"/>
    <cellStyle name="Normal 4 16" xfId="38589"/>
    <cellStyle name="Normal 4 17" xfId="38590"/>
    <cellStyle name="Normal 4 18" xfId="38591"/>
    <cellStyle name="Normal 4 18 2" xfId="38592"/>
    <cellStyle name="Normal 4 19" xfId="38593"/>
    <cellStyle name="Normal 4 2" xfId="38594"/>
    <cellStyle name="Normal 4 2 10" xfId="38595"/>
    <cellStyle name="Normal 4 2 10 2" xfId="38596"/>
    <cellStyle name="Normal 4 2 11" xfId="38597"/>
    <cellStyle name="Normal 4 2 11 2" xfId="38598"/>
    <cellStyle name="Normal 4 2 12" xfId="38599"/>
    <cellStyle name="Normal 4 2 12 2" xfId="38600"/>
    <cellStyle name="Normal 4 2 13" xfId="38601"/>
    <cellStyle name="Normal 4 2 13 2" xfId="38602"/>
    <cellStyle name="Normal 4 2 14" xfId="38603"/>
    <cellStyle name="Normal 4 2 14 2" xfId="38604"/>
    <cellStyle name="Normal 4 2 15" xfId="38605"/>
    <cellStyle name="Normal 4 2 15 2" xfId="38606"/>
    <cellStyle name="Normal 4 2 16" xfId="38607"/>
    <cellStyle name="Normal 4 2 16 2" xfId="38608"/>
    <cellStyle name="Normal 4 2 17" xfId="38609"/>
    <cellStyle name="Normal 4 2 18" xfId="38610"/>
    <cellStyle name="Normal 4 2 19" xfId="38611"/>
    <cellStyle name="Normal 4 2 2" xfId="38612"/>
    <cellStyle name="Normal 4 2 2 2" xfId="38613"/>
    <cellStyle name="Normal 4 2 2 3" xfId="38614"/>
    <cellStyle name="Normal 4 2 2 4" xfId="38615"/>
    <cellStyle name="Normal 4 2 20" xfId="38616"/>
    <cellStyle name="Normal 4 2 21" xfId="38617"/>
    <cellStyle name="Normal 4 2 22" xfId="38618"/>
    <cellStyle name="Normal 4 2 23" xfId="38619"/>
    <cellStyle name="Normal 4 2 24" xfId="38620"/>
    <cellStyle name="Normal 4 2 25" xfId="38621"/>
    <cellStyle name="Normal 4 2 26" xfId="38622"/>
    <cellStyle name="Normal 4 2 27" xfId="38623"/>
    <cellStyle name="Normal 4 2 28" xfId="38624"/>
    <cellStyle name="Normal 4 2 29" xfId="38625"/>
    <cellStyle name="Normal 4 2 3" xfId="38626"/>
    <cellStyle name="Normal 4 2 3 2" xfId="38627"/>
    <cellStyle name="Normal 4 2 3 3" xfId="38628"/>
    <cellStyle name="Normal 4 2 30" xfId="38629"/>
    <cellStyle name="Normal 4 2 31" xfId="38630"/>
    <cellStyle name="Normal 4 2 32" xfId="38631"/>
    <cellStyle name="Normal 4 2 33" xfId="38632"/>
    <cellStyle name="Normal 4 2 34" xfId="38633"/>
    <cellStyle name="Normal 4 2 35" xfId="38634"/>
    <cellStyle name="Normal 4 2 36" xfId="38635"/>
    <cellStyle name="Normal 4 2 37" xfId="38636"/>
    <cellStyle name="Normal 4 2 38" xfId="38637"/>
    <cellStyle name="Normal 4 2 39" xfId="38638"/>
    <cellStyle name="Normal 4 2 4" xfId="38639"/>
    <cellStyle name="Normal 4 2 4 2" xfId="38640"/>
    <cellStyle name="Normal 4 2 40" xfId="38641"/>
    <cellStyle name="Normal 4 2 41" xfId="38642"/>
    <cellStyle name="Normal 4 2 42" xfId="38643"/>
    <cellStyle name="Normal 4 2 43" xfId="38644"/>
    <cellStyle name="Normal 4 2 44" xfId="38645"/>
    <cellStyle name="Normal 4 2 45" xfId="38646"/>
    <cellStyle name="Normal 4 2 46" xfId="38647"/>
    <cellStyle name="Normal 4 2 47" xfId="38648"/>
    <cellStyle name="Normal 4 2 48" xfId="38649"/>
    <cellStyle name="Normal 4 2 49" xfId="38650"/>
    <cellStyle name="Normal 4 2 5" xfId="38651"/>
    <cellStyle name="Normal 4 2 5 2" xfId="38652"/>
    <cellStyle name="Normal 4 2 50" xfId="38653"/>
    <cellStyle name="Normal 4 2 6" xfId="38654"/>
    <cellStyle name="Normal 4 2 6 2" xfId="38655"/>
    <cellStyle name="Normal 4 2 7" xfId="38656"/>
    <cellStyle name="Normal 4 2 7 2" xfId="38657"/>
    <cellStyle name="Normal 4 2 8" xfId="38658"/>
    <cellStyle name="Normal 4 2 8 2" xfId="38659"/>
    <cellStyle name="Normal 4 2 9" xfId="38660"/>
    <cellStyle name="Normal 4 2 9 2" xfId="38661"/>
    <cellStyle name="Normal 4 20" xfId="38662"/>
    <cellStyle name="Normal 4 21" xfId="38663"/>
    <cellStyle name="Normal 4 22" xfId="38664"/>
    <cellStyle name="Normal 4 22 2" xfId="38665"/>
    <cellStyle name="Normal 4 23" xfId="38666"/>
    <cellStyle name="Normal 4 24" xfId="38667"/>
    <cellStyle name="Normal 4 25" xfId="38668"/>
    <cellStyle name="Normal 4 3" xfId="38669"/>
    <cellStyle name="Normal 4 3 2" xfId="38670"/>
    <cellStyle name="Normal 4 3 3" xfId="38671"/>
    <cellStyle name="Normal 4 3 4" xfId="38672"/>
    <cellStyle name="Normal 4 3 5" xfId="38673"/>
    <cellStyle name="Normal 4 3 6" xfId="38674"/>
    <cellStyle name="Normal 4 3 7" xfId="38675"/>
    <cellStyle name="Normal 4 3 7 2" xfId="38676"/>
    <cellStyle name="Normal 4 3 8" xfId="38677"/>
    <cellStyle name="Normal 4 4" xfId="38678"/>
    <cellStyle name="Normal 4 4 10" xfId="38679"/>
    <cellStyle name="Normal 4 4 2" xfId="38680"/>
    <cellStyle name="Normal 4 4 2 2" xfId="38681"/>
    <cellStyle name="Normal 4 4 2 2 2" xfId="38682"/>
    <cellStyle name="Normal 4 4 2 2 2 2" xfId="38683"/>
    <cellStyle name="Normal 4 4 2 2 2 3" xfId="38684"/>
    <cellStyle name="Normal 4 4 2 2 3" xfId="38685"/>
    <cellStyle name="Normal 4 4 2 2 4" xfId="38686"/>
    <cellStyle name="Normal 4 4 2 2 5" xfId="38687"/>
    <cellStyle name="Normal 4 4 2 2 6" xfId="38688"/>
    <cellStyle name="Normal 4 4 2 3" xfId="38689"/>
    <cellStyle name="Normal 4 4 2 3 2" xfId="38690"/>
    <cellStyle name="Normal 4 4 2 3 2 2" xfId="38691"/>
    <cellStyle name="Normal 4 4 2 3 3" xfId="38692"/>
    <cellStyle name="Normal 4 4 2 3 4" xfId="38693"/>
    <cellStyle name="Normal 4 4 2 3 5" xfId="38694"/>
    <cellStyle name="Normal 4 4 2 4" xfId="38695"/>
    <cellStyle name="Normal 4 4 2 4 2" xfId="38696"/>
    <cellStyle name="Normal 4 4 2 4 3" xfId="38697"/>
    <cellStyle name="Normal 4 4 2 4 4" xfId="38698"/>
    <cellStyle name="Normal 4 4 2 5" xfId="38699"/>
    <cellStyle name="Normal 4 4 2 5 2" xfId="38700"/>
    <cellStyle name="Normal 4 4 2 6" xfId="38701"/>
    <cellStyle name="Normal 4 4 2 7" xfId="38702"/>
    <cellStyle name="Normal 4 4 2 8" xfId="38703"/>
    <cellStyle name="Normal 4 4 2 9" xfId="38704"/>
    <cellStyle name="Normal 4 4 3" xfId="38705"/>
    <cellStyle name="Normal 4 4 3 2" xfId="38706"/>
    <cellStyle name="Normal 4 4 3 2 2" xfId="38707"/>
    <cellStyle name="Normal 4 4 3 2 3" xfId="38708"/>
    <cellStyle name="Normal 4 4 3 3" xfId="38709"/>
    <cellStyle name="Normal 4 4 3 4" xfId="38710"/>
    <cellStyle name="Normal 4 4 3 5" xfId="38711"/>
    <cellStyle name="Normal 4 4 3 6" xfId="38712"/>
    <cellStyle name="Normal 4 4 4" xfId="38713"/>
    <cellStyle name="Normal 4 4 4 2" xfId="38714"/>
    <cellStyle name="Normal 4 4 4 2 2" xfId="38715"/>
    <cellStyle name="Normal 4 4 4 3" xfId="38716"/>
    <cellStyle name="Normal 4 4 4 4" xfId="38717"/>
    <cellStyle name="Normal 4 4 4 5" xfId="38718"/>
    <cellStyle name="Normal 4 4 5" xfId="38719"/>
    <cellStyle name="Normal 4 4 5 2" xfId="38720"/>
    <cellStyle name="Normal 4 4 5 3" xfId="38721"/>
    <cellStyle name="Normal 4 4 5 4" xfId="38722"/>
    <cellStyle name="Normal 4 4 6" xfId="38723"/>
    <cellStyle name="Normal 4 4 6 2" xfId="38724"/>
    <cellStyle name="Normal 4 4 6 3" xfId="38725"/>
    <cellStyle name="Normal 4 4 7" xfId="38726"/>
    <cellStyle name="Normal 4 4 8" xfId="38727"/>
    <cellStyle name="Normal 4 4 9" xfId="38728"/>
    <cellStyle name="Normal 4 5" xfId="38729"/>
    <cellStyle name="Normal 4 5 2" xfId="38730"/>
    <cellStyle name="Normal 4 5 2 2" xfId="38731"/>
    <cellStyle name="Normal 4 5 2 2 2" xfId="38732"/>
    <cellStyle name="Normal 4 5 2 2 3" xfId="38733"/>
    <cellStyle name="Normal 4 5 2 3" xfId="38734"/>
    <cellStyle name="Normal 4 5 2 4" xfId="38735"/>
    <cellStyle name="Normal 4 5 2 5" xfId="38736"/>
    <cellStyle name="Normal 4 5 2 6" xfId="38737"/>
    <cellStyle name="Normal 4 5 3" xfId="38738"/>
    <cellStyle name="Normal 4 5 3 2" xfId="38739"/>
    <cellStyle name="Normal 4 5 3 2 2" xfId="38740"/>
    <cellStyle name="Normal 4 5 3 3" xfId="38741"/>
    <cellStyle name="Normal 4 5 3 4" xfId="38742"/>
    <cellStyle name="Normal 4 5 3 5" xfId="38743"/>
    <cellStyle name="Normal 4 5 4" xfId="38744"/>
    <cellStyle name="Normal 4 5 4 2" xfId="38745"/>
    <cellStyle name="Normal 4 5 4 3" xfId="38746"/>
    <cellStyle name="Normal 4 5 4 4" xfId="38747"/>
    <cellStyle name="Normal 4 5 5" xfId="38748"/>
    <cellStyle name="Normal 4 5 5 2" xfId="38749"/>
    <cellStyle name="Normal 4 5 6" xfId="38750"/>
    <cellStyle name="Normal 4 5 7" xfId="38751"/>
    <cellStyle name="Normal 4 5 8" xfId="38752"/>
    <cellStyle name="Normal 4 5 9" xfId="38753"/>
    <cellStyle name="Normal 4 6" xfId="38754"/>
    <cellStyle name="Normal 4 6 2" xfId="38755"/>
    <cellStyle name="Normal 4 6 2 2" xfId="38756"/>
    <cellStyle name="Normal 4 6 2 3" xfId="38757"/>
    <cellStyle name="Normal 4 6 2 4" xfId="38758"/>
    <cellStyle name="Normal 4 6 3" xfId="38759"/>
    <cellStyle name="Normal 4 6 3 2" xfId="38760"/>
    <cellStyle name="Normal 4 6 4" xfId="38761"/>
    <cellStyle name="Normal 4 6 5" xfId="38762"/>
    <cellStyle name="Normal 4 6 6" xfId="38763"/>
    <cellStyle name="Normal 4 6 7" xfId="38764"/>
    <cellStyle name="Normal 4 7" xfId="38765"/>
    <cellStyle name="Normal 4 7 2" xfId="38766"/>
    <cellStyle name="Normal 4 7 2 2" xfId="38767"/>
    <cellStyle name="Normal 4 7 3" xfId="38768"/>
    <cellStyle name="Normal 4 7 4" xfId="38769"/>
    <cellStyle name="Normal 4 7 5" xfId="38770"/>
    <cellStyle name="Normal 4 7 6" xfId="38771"/>
    <cellStyle name="Normal 4 8" xfId="38772"/>
    <cellStyle name="Normal 4 8 2" xfId="38773"/>
    <cellStyle name="Normal 4 8 2 2" xfId="38774"/>
    <cellStyle name="Normal 4 8 2 3" xfId="38775"/>
    <cellStyle name="Normal 4 8 3" xfId="38776"/>
    <cellStyle name="Normal 4 8 4" xfId="38777"/>
    <cellStyle name="Normal 4 8 5" xfId="38778"/>
    <cellStyle name="Normal 4 9" xfId="38779"/>
    <cellStyle name="Normal 4 9 2" xfId="38780"/>
    <cellStyle name="Normal 4 9 2 2" xfId="38781"/>
    <cellStyle name="Normal 4 9 3" xfId="38782"/>
    <cellStyle name="Normal 4 9 4" xfId="38783"/>
    <cellStyle name="Normal 4 9 5" xfId="38784"/>
    <cellStyle name="Normal 40" xfId="38785"/>
    <cellStyle name="Normal 41" xfId="38786"/>
    <cellStyle name="Normal 42" xfId="38787"/>
    <cellStyle name="Normal 43" xfId="38788"/>
    <cellStyle name="Normal 44" xfId="38789"/>
    <cellStyle name="Normal 45" xfId="38790"/>
    <cellStyle name="Normal 46" xfId="38791"/>
    <cellStyle name="Normal 47" xfId="38792"/>
    <cellStyle name="Normal 48" xfId="38793"/>
    <cellStyle name="Normal 49" xfId="38794"/>
    <cellStyle name="Normal 5" xfId="38795"/>
    <cellStyle name="Normal 5 2" xfId="38796"/>
    <cellStyle name="Normal 5 2 2" xfId="38797"/>
    <cellStyle name="Normal 5 2 3" xfId="38798"/>
    <cellStyle name="Normal 5 2 4" xfId="38799"/>
    <cellStyle name="Normal 5 3" xfId="38800"/>
    <cellStyle name="Normal 5 3 2" xfId="38801"/>
    <cellStyle name="Normal 5 3 3" xfId="38802"/>
    <cellStyle name="Normal 5 4" xfId="38803"/>
    <cellStyle name="Normal 5 5" xfId="38804"/>
    <cellStyle name="Normal 5 6" xfId="38805"/>
    <cellStyle name="Normal 5 7" xfId="38806"/>
    <cellStyle name="Normal 5 8" xfId="38807"/>
    <cellStyle name="Normal 5 9" xfId="38808"/>
    <cellStyle name="Normal 50" xfId="38809"/>
    <cellStyle name="Normal 51" xfId="38810"/>
    <cellStyle name="Normal 52" xfId="38811"/>
    <cellStyle name="Normal 53" xfId="38812"/>
    <cellStyle name="Normal 54" xfId="38813"/>
    <cellStyle name="Normal 55" xfId="38814"/>
    <cellStyle name="Normal 56" xfId="38815"/>
    <cellStyle name="Normal 57" xfId="38816"/>
    <cellStyle name="Normal 58" xfId="38817"/>
    <cellStyle name="Normal 59" xfId="38818"/>
    <cellStyle name="Normal 6" xfId="38819"/>
    <cellStyle name="Normal 6 10" xfId="38820"/>
    <cellStyle name="Normal 6 10 10" xfId="38821"/>
    <cellStyle name="Normal 6 10 2" xfId="38822"/>
    <cellStyle name="Normal 6 10 2 2" xfId="38823"/>
    <cellStyle name="Normal 6 10 2 2 2" xfId="38824"/>
    <cellStyle name="Normal 6 10 2 2 3" xfId="38825"/>
    <cellStyle name="Normal 6 10 2 3" xfId="38826"/>
    <cellStyle name="Normal 6 10 2 4" xfId="38827"/>
    <cellStyle name="Normal 6 10 2 5" xfId="38828"/>
    <cellStyle name="Normal 6 10 2 6" xfId="38829"/>
    <cellStyle name="Normal 6 10 3" xfId="38830"/>
    <cellStyle name="Normal 6 10 3 2" xfId="38831"/>
    <cellStyle name="Normal 6 10 3 2 2" xfId="38832"/>
    <cellStyle name="Normal 6 10 3 2 3" xfId="38833"/>
    <cellStyle name="Normal 6 10 3 3" xfId="38834"/>
    <cellStyle name="Normal 6 10 3 4" xfId="38835"/>
    <cellStyle name="Normal 6 10 3 5" xfId="38836"/>
    <cellStyle name="Normal 6 10 3 6" xfId="38837"/>
    <cellStyle name="Normal 6 10 4" xfId="38838"/>
    <cellStyle name="Normal 6 10 4 2" xfId="38839"/>
    <cellStyle name="Normal 6 10 4 2 2" xfId="38840"/>
    <cellStyle name="Normal 6 10 4 3" xfId="38841"/>
    <cellStyle name="Normal 6 10 4 4" xfId="38842"/>
    <cellStyle name="Normal 6 10 4 5" xfId="38843"/>
    <cellStyle name="Normal 6 10 5" xfId="38844"/>
    <cellStyle name="Normal 6 10 5 2" xfId="38845"/>
    <cellStyle name="Normal 6 10 5 3" xfId="38846"/>
    <cellStyle name="Normal 6 10 5 4" xfId="38847"/>
    <cellStyle name="Normal 6 10 6" xfId="38848"/>
    <cellStyle name="Normal 6 10 6 2" xfId="38849"/>
    <cellStyle name="Normal 6 10 7" xfId="38850"/>
    <cellStyle name="Normal 6 10 8" xfId="38851"/>
    <cellStyle name="Normal 6 10 9" xfId="38852"/>
    <cellStyle name="Normal 6 11" xfId="38853"/>
    <cellStyle name="Normal 6 11 10" xfId="38854"/>
    <cellStyle name="Normal 6 11 2" xfId="38855"/>
    <cellStyle name="Normal 6 11 2 2" xfId="38856"/>
    <cellStyle name="Normal 6 11 2 2 2" xfId="38857"/>
    <cellStyle name="Normal 6 11 2 2 3" xfId="38858"/>
    <cellStyle name="Normal 6 11 2 3" xfId="38859"/>
    <cellStyle name="Normal 6 11 2 4" xfId="38860"/>
    <cellStyle name="Normal 6 11 2 5" xfId="38861"/>
    <cellStyle name="Normal 6 11 2 6" xfId="38862"/>
    <cellStyle name="Normal 6 11 3" xfId="38863"/>
    <cellStyle name="Normal 6 11 3 2" xfId="38864"/>
    <cellStyle name="Normal 6 11 3 2 2" xfId="38865"/>
    <cellStyle name="Normal 6 11 3 2 3" xfId="38866"/>
    <cellStyle name="Normal 6 11 3 3" xfId="38867"/>
    <cellStyle name="Normal 6 11 3 4" xfId="38868"/>
    <cellStyle name="Normal 6 11 3 5" xfId="38869"/>
    <cellStyle name="Normal 6 11 3 6" xfId="38870"/>
    <cellStyle name="Normal 6 11 4" xfId="38871"/>
    <cellStyle name="Normal 6 11 4 2" xfId="38872"/>
    <cellStyle name="Normal 6 11 4 2 2" xfId="38873"/>
    <cellStyle name="Normal 6 11 4 3" xfId="38874"/>
    <cellStyle name="Normal 6 11 4 4" xfId="38875"/>
    <cellStyle name="Normal 6 11 4 5" xfId="38876"/>
    <cellStyle name="Normal 6 11 5" xfId="38877"/>
    <cellStyle name="Normal 6 11 5 2" xfId="38878"/>
    <cellStyle name="Normal 6 11 5 3" xfId="38879"/>
    <cellStyle name="Normal 6 11 5 4" xfId="38880"/>
    <cellStyle name="Normal 6 11 6" xfId="38881"/>
    <cellStyle name="Normal 6 11 6 2" xfId="38882"/>
    <cellStyle name="Normal 6 11 7" xfId="38883"/>
    <cellStyle name="Normal 6 11 8" xfId="38884"/>
    <cellStyle name="Normal 6 11 9" xfId="38885"/>
    <cellStyle name="Normal 6 12" xfId="38886"/>
    <cellStyle name="Normal 6 12 10" xfId="38887"/>
    <cellStyle name="Normal 6 12 2" xfId="38888"/>
    <cellStyle name="Normal 6 12 2 2" xfId="38889"/>
    <cellStyle name="Normal 6 12 2 2 2" xfId="38890"/>
    <cellStyle name="Normal 6 12 2 2 3" xfId="38891"/>
    <cellStyle name="Normal 6 12 2 3" xfId="38892"/>
    <cellStyle name="Normal 6 12 2 4" xfId="38893"/>
    <cellStyle name="Normal 6 12 2 5" xfId="38894"/>
    <cellStyle name="Normal 6 12 2 6" xfId="38895"/>
    <cellStyle name="Normal 6 12 3" xfId="38896"/>
    <cellStyle name="Normal 6 12 3 2" xfId="38897"/>
    <cellStyle name="Normal 6 12 3 2 2" xfId="38898"/>
    <cellStyle name="Normal 6 12 3 2 3" xfId="38899"/>
    <cellStyle name="Normal 6 12 3 3" xfId="38900"/>
    <cellStyle name="Normal 6 12 3 4" xfId="38901"/>
    <cellStyle name="Normal 6 12 3 5" xfId="38902"/>
    <cellStyle name="Normal 6 12 3 6" xfId="38903"/>
    <cellStyle name="Normal 6 12 4" xfId="38904"/>
    <cellStyle name="Normal 6 12 4 2" xfId="38905"/>
    <cellStyle name="Normal 6 12 4 2 2" xfId="38906"/>
    <cellStyle name="Normal 6 12 4 3" xfId="38907"/>
    <cellStyle name="Normal 6 12 4 4" xfId="38908"/>
    <cellStyle name="Normal 6 12 4 5" xfId="38909"/>
    <cellStyle name="Normal 6 12 5" xfId="38910"/>
    <cellStyle name="Normal 6 12 5 2" xfId="38911"/>
    <cellStyle name="Normal 6 12 5 3" xfId="38912"/>
    <cellStyle name="Normal 6 12 5 4" xfId="38913"/>
    <cellStyle name="Normal 6 12 6" xfId="38914"/>
    <cellStyle name="Normal 6 12 6 2" xfId="38915"/>
    <cellStyle name="Normal 6 12 7" xfId="38916"/>
    <cellStyle name="Normal 6 12 8" xfId="38917"/>
    <cellStyle name="Normal 6 12 9" xfId="38918"/>
    <cellStyle name="Normal 6 13" xfId="38919"/>
    <cellStyle name="Normal 6 13 10" xfId="38920"/>
    <cellStyle name="Normal 6 13 2" xfId="38921"/>
    <cellStyle name="Normal 6 13 2 2" xfId="38922"/>
    <cellStyle name="Normal 6 13 2 2 2" xfId="38923"/>
    <cellStyle name="Normal 6 13 2 2 3" xfId="38924"/>
    <cellStyle name="Normal 6 13 2 3" xfId="38925"/>
    <cellStyle name="Normal 6 13 2 4" xfId="38926"/>
    <cellStyle name="Normal 6 13 2 5" xfId="38927"/>
    <cellStyle name="Normal 6 13 2 6" xfId="38928"/>
    <cellStyle name="Normal 6 13 3" xfId="38929"/>
    <cellStyle name="Normal 6 13 3 2" xfId="38930"/>
    <cellStyle name="Normal 6 13 3 2 2" xfId="38931"/>
    <cellStyle name="Normal 6 13 3 2 3" xfId="38932"/>
    <cellStyle name="Normal 6 13 3 3" xfId="38933"/>
    <cellStyle name="Normal 6 13 3 4" xfId="38934"/>
    <cellStyle name="Normal 6 13 3 5" xfId="38935"/>
    <cellStyle name="Normal 6 13 3 6" xfId="38936"/>
    <cellStyle name="Normal 6 13 4" xfId="38937"/>
    <cellStyle name="Normal 6 13 4 2" xfId="38938"/>
    <cellStyle name="Normal 6 13 4 2 2" xfId="38939"/>
    <cellStyle name="Normal 6 13 4 3" xfId="38940"/>
    <cellStyle name="Normal 6 13 4 4" xfId="38941"/>
    <cellStyle name="Normal 6 13 4 5" xfId="38942"/>
    <cellStyle name="Normal 6 13 5" xfId="38943"/>
    <cellStyle name="Normal 6 13 5 2" xfId="38944"/>
    <cellStyle name="Normal 6 13 5 3" xfId="38945"/>
    <cellStyle name="Normal 6 13 5 4" xfId="38946"/>
    <cellStyle name="Normal 6 13 6" xfId="38947"/>
    <cellStyle name="Normal 6 13 6 2" xfId="38948"/>
    <cellStyle name="Normal 6 13 7" xfId="38949"/>
    <cellStyle name="Normal 6 13 8" xfId="38950"/>
    <cellStyle name="Normal 6 13 9" xfId="38951"/>
    <cellStyle name="Normal 6 14" xfId="38952"/>
    <cellStyle name="Normal 6 14 2" xfId="38953"/>
    <cellStyle name="Normal 6 14 2 2" xfId="38954"/>
    <cellStyle name="Normal 6 14 2 2 2" xfId="38955"/>
    <cellStyle name="Normal 6 14 2 2 3" xfId="38956"/>
    <cellStyle name="Normal 6 14 2 3" xfId="38957"/>
    <cellStyle name="Normal 6 14 2 4" xfId="38958"/>
    <cellStyle name="Normal 6 14 2 5" xfId="38959"/>
    <cellStyle name="Normal 6 14 2 6" xfId="38960"/>
    <cellStyle name="Normal 6 14 3" xfId="38961"/>
    <cellStyle name="Normal 6 14 3 2" xfId="38962"/>
    <cellStyle name="Normal 6 14 3 2 2" xfId="38963"/>
    <cellStyle name="Normal 6 14 3 3" xfId="38964"/>
    <cellStyle name="Normal 6 14 3 4" xfId="38965"/>
    <cellStyle name="Normal 6 14 3 5" xfId="38966"/>
    <cellStyle name="Normal 6 14 4" xfId="38967"/>
    <cellStyle name="Normal 6 14 4 2" xfId="38968"/>
    <cellStyle name="Normal 6 14 4 3" xfId="38969"/>
    <cellStyle name="Normal 6 14 4 4" xfId="38970"/>
    <cellStyle name="Normal 6 14 5" xfId="38971"/>
    <cellStyle name="Normal 6 14 5 2" xfId="38972"/>
    <cellStyle name="Normal 6 14 6" xfId="38973"/>
    <cellStyle name="Normal 6 14 7" xfId="38974"/>
    <cellStyle name="Normal 6 14 8" xfId="38975"/>
    <cellStyle name="Normal 6 14 9" xfId="38976"/>
    <cellStyle name="Normal 6 15" xfId="38977"/>
    <cellStyle name="Normal 6 15 2" xfId="38978"/>
    <cellStyle name="Normal 6 15 2 2" xfId="38979"/>
    <cellStyle name="Normal 6 15 2 2 2" xfId="38980"/>
    <cellStyle name="Normal 6 15 2 2 3" xfId="38981"/>
    <cellStyle name="Normal 6 15 2 3" xfId="38982"/>
    <cellStyle name="Normal 6 15 2 4" xfId="38983"/>
    <cellStyle name="Normal 6 15 2 5" xfId="38984"/>
    <cellStyle name="Normal 6 15 2 6" xfId="38985"/>
    <cellStyle name="Normal 6 15 3" xfId="38986"/>
    <cellStyle name="Normal 6 15 3 2" xfId="38987"/>
    <cellStyle name="Normal 6 15 3 2 2" xfId="38988"/>
    <cellStyle name="Normal 6 15 3 3" xfId="38989"/>
    <cellStyle name="Normal 6 15 3 4" xfId="38990"/>
    <cellStyle name="Normal 6 15 3 5" xfId="38991"/>
    <cellStyle name="Normal 6 15 4" xfId="38992"/>
    <cellStyle name="Normal 6 15 4 2" xfId="38993"/>
    <cellStyle name="Normal 6 15 4 3" xfId="38994"/>
    <cellStyle name="Normal 6 15 4 4" xfId="38995"/>
    <cellStyle name="Normal 6 15 5" xfId="38996"/>
    <cellStyle name="Normal 6 15 5 2" xfId="38997"/>
    <cellStyle name="Normal 6 15 6" xfId="38998"/>
    <cellStyle name="Normal 6 15 7" xfId="38999"/>
    <cellStyle name="Normal 6 15 8" xfId="39000"/>
    <cellStyle name="Normal 6 15 9" xfId="39001"/>
    <cellStyle name="Normal 6 16" xfId="39002"/>
    <cellStyle name="Normal 6 16 2" xfId="39003"/>
    <cellStyle name="Normal 6 16 2 2" xfId="39004"/>
    <cellStyle name="Normal 6 16 2 3" xfId="39005"/>
    <cellStyle name="Normal 6 16 3" xfId="39006"/>
    <cellStyle name="Normal 6 16 4" xfId="39007"/>
    <cellStyle name="Normal 6 16 5" xfId="39008"/>
    <cellStyle name="Normal 6 16 6" xfId="39009"/>
    <cellStyle name="Normal 6 17" xfId="39010"/>
    <cellStyle name="Normal 6 17 2" xfId="39011"/>
    <cellStyle name="Normal 6 17 2 2" xfId="39012"/>
    <cellStyle name="Normal 6 17 3" xfId="39013"/>
    <cellStyle name="Normal 6 17 4" xfId="39014"/>
    <cellStyle name="Normal 6 17 5" xfId="39015"/>
    <cellStyle name="Normal 6 17 6" xfId="39016"/>
    <cellStyle name="Normal 6 18" xfId="39017"/>
    <cellStyle name="Normal 6 18 2" xfId="39018"/>
    <cellStyle name="Normal 6 18 2 2" xfId="39019"/>
    <cellStyle name="Normal 6 18 3" xfId="39020"/>
    <cellStyle name="Normal 6 18 4" xfId="39021"/>
    <cellStyle name="Normal 6 18 5" xfId="39022"/>
    <cellStyle name="Normal 6 18 6" xfId="39023"/>
    <cellStyle name="Normal 6 19" xfId="39024"/>
    <cellStyle name="Normal 6 19 2" xfId="39025"/>
    <cellStyle name="Normal 6 19 3" xfId="39026"/>
    <cellStyle name="Normal 6 19 4" xfId="39027"/>
    <cellStyle name="Normal 6 2" xfId="39028"/>
    <cellStyle name="Normal 6 2 2" xfId="39029"/>
    <cellStyle name="Normal 6 2 2 2" xfId="39030"/>
    <cellStyle name="Normal 6 2 2 3" xfId="39031"/>
    <cellStyle name="Normal 6 2 3" xfId="39032"/>
    <cellStyle name="Normal 6 2 3 2" xfId="39033"/>
    <cellStyle name="Normal 6 2 4" xfId="39034"/>
    <cellStyle name="Normal 6 2 5" xfId="39035"/>
    <cellStyle name="Normal 6 20" xfId="39036"/>
    <cellStyle name="Normal 6 20 2" xfId="39037"/>
    <cellStyle name="Normal 6 20 3" xfId="39038"/>
    <cellStyle name="Normal 6 21" xfId="39039"/>
    <cellStyle name="Normal 6 21 2" xfId="39040"/>
    <cellStyle name="Normal 6 22" xfId="39041"/>
    <cellStyle name="Normal 6 22 2" xfId="39042"/>
    <cellStyle name="Normal 6 23" xfId="39043"/>
    <cellStyle name="Normal 6 23 2" xfId="39044"/>
    <cellStyle name="Normal 6 24" xfId="39045"/>
    <cellStyle name="Normal 6 25" xfId="39046"/>
    <cellStyle name="Normal 6 26" xfId="39047"/>
    <cellStyle name="Normal 6 27" xfId="39048"/>
    <cellStyle name="Normal 6 28" xfId="39049"/>
    <cellStyle name="Normal 6 29" xfId="39050"/>
    <cellStyle name="Normal 6 3" xfId="39051"/>
    <cellStyle name="Normal 6 3 10" xfId="39052"/>
    <cellStyle name="Normal 6 3 11" xfId="39053"/>
    <cellStyle name="Normal 6 3 2" xfId="39054"/>
    <cellStyle name="Normal 6 3 2 2" xfId="39055"/>
    <cellStyle name="Normal 6 3 2 2 2" xfId="39056"/>
    <cellStyle name="Normal 6 3 2 2 2 2" xfId="39057"/>
    <cellStyle name="Normal 6 3 2 2 2 3" xfId="39058"/>
    <cellStyle name="Normal 6 3 2 2 3" xfId="39059"/>
    <cellStyle name="Normal 6 3 2 2 4" xfId="39060"/>
    <cellStyle name="Normal 6 3 2 2 5" xfId="39061"/>
    <cellStyle name="Normal 6 3 2 2 6" xfId="39062"/>
    <cellStyle name="Normal 6 3 2 3" xfId="39063"/>
    <cellStyle name="Normal 6 3 2 3 2" xfId="39064"/>
    <cellStyle name="Normal 6 3 2 3 2 2" xfId="39065"/>
    <cellStyle name="Normal 6 3 2 3 3" xfId="39066"/>
    <cellStyle name="Normal 6 3 2 3 4" xfId="39067"/>
    <cellStyle name="Normal 6 3 2 3 5" xfId="39068"/>
    <cellStyle name="Normal 6 3 2 4" xfId="39069"/>
    <cellStyle name="Normal 6 3 2 4 2" xfId="39070"/>
    <cellStyle name="Normal 6 3 2 4 3" xfId="39071"/>
    <cellStyle name="Normal 6 3 2 4 4" xfId="39072"/>
    <cellStyle name="Normal 6 3 2 5" xfId="39073"/>
    <cellStyle name="Normal 6 3 2 5 2" xfId="39074"/>
    <cellStyle name="Normal 6 3 2 6" xfId="39075"/>
    <cellStyle name="Normal 6 3 2 7" xfId="39076"/>
    <cellStyle name="Normal 6 3 2 8" xfId="39077"/>
    <cellStyle name="Normal 6 3 2 9" xfId="39078"/>
    <cellStyle name="Normal 6 3 3" xfId="39079"/>
    <cellStyle name="Normal 6 3 3 2" xfId="39080"/>
    <cellStyle name="Normal 6 3 3 2 2" xfId="39081"/>
    <cellStyle name="Normal 6 3 3 2 2 2" xfId="39082"/>
    <cellStyle name="Normal 6 3 3 2 2 3" xfId="39083"/>
    <cellStyle name="Normal 6 3 3 2 3" xfId="39084"/>
    <cellStyle name="Normal 6 3 3 2 4" xfId="39085"/>
    <cellStyle name="Normal 6 3 3 2 5" xfId="39086"/>
    <cellStyle name="Normal 6 3 3 2 6" xfId="39087"/>
    <cellStyle name="Normal 6 3 3 3" xfId="39088"/>
    <cellStyle name="Normal 6 3 3 3 2" xfId="39089"/>
    <cellStyle name="Normal 6 3 3 3 2 2" xfId="39090"/>
    <cellStyle name="Normal 6 3 3 3 3" xfId="39091"/>
    <cellStyle name="Normal 6 3 3 3 4" xfId="39092"/>
    <cellStyle name="Normal 6 3 3 3 5" xfId="39093"/>
    <cellStyle name="Normal 6 3 3 4" xfId="39094"/>
    <cellStyle name="Normal 6 3 3 4 2" xfId="39095"/>
    <cellStyle name="Normal 6 3 3 4 3" xfId="39096"/>
    <cellStyle name="Normal 6 3 3 4 4" xfId="39097"/>
    <cellStyle name="Normal 6 3 3 5" xfId="39098"/>
    <cellStyle name="Normal 6 3 3 5 2" xfId="39099"/>
    <cellStyle name="Normal 6 3 3 6" xfId="39100"/>
    <cellStyle name="Normal 6 3 3 7" xfId="39101"/>
    <cellStyle name="Normal 6 3 3 8" xfId="39102"/>
    <cellStyle name="Normal 6 3 3 9" xfId="39103"/>
    <cellStyle name="Normal 6 3 4" xfId="39104"/>
    <cellStyle name="Normal 6 3 4 2" xfId="39105"/>
    <cellStyle name="Normal 6 3 4 2 2" xfId="39106"/>
    <cellStyle name="Normal 6 3 4 2 3" xfId="39107"/>
    <cellStyle name="Normal 6 3 4 3" xfId="39108"/>
    <cellStyle name="Normal 6 3 4 4" xfId="39109"/>
    <cellStyle name="Normal 6 3 4 5" xfId="39110"/>
    <cellStyle name="Normal 6 3 4 6" xfId="39111"/>
    <cellStyle name="Normal 6 3 5" xfId="39112"/>
    <cellStyle name="Normal 6 3 5 2" xfId="39113"/>
    <cellStyle name="Normal 6 3 5 2 2" xfId="39114"/>
    <cellStyle name="Normal 6 3 5 3" xfId="39115"/>
    <cellStyle name="Normal 6 3 5 4" xfId="39116"/>
    <cellStyle name="Normal 6 3 5 5" xfId="39117"/>
    <cellStyle name="Normal 6 3 6" xfId="39118"/>
    <cellStyle name="Normal 6 3 6 2" xfId="39119"/>
    <cellStyle name="Normal 6 3 6 3" xfId="39120"/>
    <cellStyle name="Normal 6 3 6 4" xfId="39121"/>
    <cellStyle name="Normal 6 3 7" xfId="39122"/>
    <cellStyle name="Normal 6 3 7 2" xfId="39123"/>
    <cellStyle name="Normal 6 3 8" xfId="39124"/>
    <cellStyle name="Normal 6 3 9" xfId="39125"/>
    <cellStyle name="Normal 6 30" xfId="39126"/>
    <cellStyle name="Normal 6 31" xfId="39127"/>
    <cellStyle name="Normal 6 32" xfId="39128"/>
    <cellStyle name="Normal 6 33" xfId="39129"/>
    <cellStyle name="Normal 6 34" xfId="39130"/>
    <cellStyle name="Normal 6 35" xfId="39131"/>
    <cellStyle name="Normal 6 36" xfId="39132"/>
    <cellStyle name="Normal 6 37" xfId="39133"/>
    <cellStyle name="Normal 6 38" xfId="39134"/>
    <cellStyle name="Normal 6 39" xfId="39135"/>
    <cellStyle name="Normal 6 4" xfId="39136"/>
    <cellStyle name="Normal 6 4 10" xfId="39137"/>
    <cellStyle name="Normal 6 4 11" xfId="39138"/>
    <cellStyle name="Normal 6 4 2" xfId="39139"/>
    <cellStyle name="Normal 6 4 2 2" xfId="39140"/>
    <cellStyle name="Normal 6 4 2 2 2" xfId="39141"/>
    <cellStyle name="Normal 6 4 2 2 2 2" xfId="39142"/>
    <cellStyle name="Normal 6 4 2 2 2 3" xfId="39143"/>
    <cellStyle name="Normal 6 4 2 2 3" xfId="39144"/>
    <cellStyle name="Normal 6 4 2 2 4" xfId="39145"/>
    <cellStyle name="Normal 6 4 2 2 5" xfId="39146"/>
    <cellStyle name="Normal 6 4 2 2 6" xfId="39147"/>
    <cellStyle name="Normal 6 4 2 3" xfId="39148"/>
    <cellStyle name="Normal 6 4 2 3 2" xfId="39149"/>
    <cellStyle name="Normal 6 4 2 3 2 2" xfId="39150"/>
    <cellStyle name="Normal 6 4 2 3 3" xfId="39151"/>
    <cellStyle name="Normal 6 4 2 3 4" xfId="39152"/>
    <cellStyle name="Normal 6 4 2 3 5" xfId="39153"/>
    <cellStyle name="Normal 6 4 2 4" xfId="39154"/>
    <cellStyle name="Normal 6 4 2 4 2" xfId="39155"/>
    <cellStyle name="Normal 6 4 2 4 3" xfId="39156"/>
    <cellStyle name="Normal 6 4 2 4 4" xfId="39157"/>
    <cellStyle name="Normal 6 4 2 5" xfId="39158"/>
    <cellStyle name="Normal 6 4 2 5 2" xfId="39159"/>
    <cellStyle name="Normal 6 4 2 6" xfId="39160"/>
    <cellStyle name="Normal 6 4 2 7" xfId="39161"/>
    <cellStyle name="Normal 6 4 2 8" xfId="39162"/>
    <cellStyle name="Normal 6 4 2 9" xfId="39163"/>
    <cellStyle name="Normal 6 4 3" xfId="39164"/>
    <cellStyle name="Normal 6 4 3 2" xfId="39165"/>
    <cellStyle name="Normal 6 4 3 2 2" xfId="39166"/>
    <cellStyle name="Normal 6 4 3 2 2 2" xfId="39167"/>
    <cellStyle name="Normal 6 4 3 2 2 3" xfId="39168"/>
    <cellStyle name="Normal 6 4 3 2 3" xfId="39169"/>
    <cellStyle name="Normal 6 4 3 2 4" xfId="39170"/>
    <cellStyle name="Normal 6 4 3 2 5" xfId="39171"/>
    <cellStyle name="Normal 6 4 3 2 6" xfId="39172"/>
    <cellStyle name="Normal 6 4 3 3" xfId="39173"/>
    <cellStyle name="Normal 6 4 3 3 2" xfId="39174"/>
    <cellStyle name="Normal 6 4 3 3 2 2" xfId="39175"/>
    <cellStyle name="Normal 6 4 3 3 3" xfId="39176"/>
    <cellStyle name="Normal 6 4 3 3 4" xfId="39177"/>
    <cellStyle name="Normal 6 4 3 3 5" xfId="39178"/>
    <cellStyle name="Normal 6 4 3 4" xfId="39179"/>
    <cellStyle name="Normal 6 4 3 4 2" xfId="39180"/>
    <cellStyle name="Normal 6 4 3 4 3" xfId="39181"/>
    <cellStyle name="Normal 6 4 3 4 4" xfId="39182"/>
    <cellStyle name="Normal 6 4 3 5" xfId="39183"/>
    <cellStyle name="Normal 6 4 3 5 2" xfId="39184"/>
    <cellStyle name="Normal 6 4 3 6" xfId="39185"/>
    <cellStyle name="Normal 6 4 3 7" xfId="39186"/>
    <cellStyle name="Normal 6 4 3 8" xfId="39187"/>
    <cellStyle name="Normal 6 4 3 9" xfId="39188"/>
    <cellStyle name="Normal 6 4 4" xfId="39189"/>
    <cellStyle name="Normal 6 4 4 2" xfId="39190"/>
    <cellStyle name="Normal 6 4 4 2 2" xfId="39191"/>
    <cellStyle name="Normal 6 4 4 2 3" xfId="39192"/>
    <cellStyle name="Normal 6 4 4 3" xfId="39193"/>
    <cellStyle name="Normal 6 4 4 4" xfId="39194"/>
    <cellStyle name="Normal 6 4 4 5" xfId="39195"/>
    <cellStyle name="Normal 6 4 4 6" xfId="39196"/>
    <cellStyle name="Normal 6 4 5" xfId="39197"/>
    <cellStyle name="Normal 6 4 5 2" xfId="39198"/>
    <cellStyle name="Normal 6 4 5 2 2" xfId="39199"/>
    <cellStyle name="Normal 6 4 5 3" xfId="39200"/>
    <cellStyle name="Normal 6 4 5 4" xfId="39201"/>
    <cellStyle name="Normal 6 4 5 5" xfId="39202"/>
    <cellStyle name="Normal 6 4 6" xfId="39203"/>
    <cellStyle name="Normal 6 4 6 2" xfId="39204"/>
    <cellStyle name="Normal 6 4 6 3" xfId="39205"/>
    <cellStyle name="Normal 6 4 6 4" xfId="39206"/>
    <cellStyle name="Normal 6 4 7" xfId="39207"/>
    <cellStyle name="Normal 6 4 7 2" xfId="39208"/>
    <cellStyle name="Normal 6 4 8" xfId="39209"/>
    <cellStyle name="Normal 6 4 9" xfId="39210"/>
    <cellStyle name="Normal 6 40" xfId="39211"/>
    <cellStyle name="Normal 6 41" xfId="39212"/>
    <cellStyle name="Normal 6 5" xfId="39213"/>
    <cellStyle name="Normal 6 5 10" xfId="39214"/>
    <cellStyle name="Normal 6 5 11" xfId="39215"/>
    <cellStyle name="Normal 6 5 2" xfId="39216"/>
    <cellStyle name="Normal 6 5 2 2" xfId="39217"/>
    <cellStyle name="Normal 6 5 2 2 2" xfId="39218"/>
    <cellStyle name="Normal 6 5 2 2 2 2" xfId="39219"/>
    <cellStyle name="Normal 6 5 2 2 2 3" xfId="39220"/>
    <cellStyle name="Normal 6 5 2 2 3" xfId="39221"/>
    <cellStyle name="Normal 6 5 2 2 4" xfId="39222"/>
    <cellStyle name="Normal 6 5 2 2 5" xfId="39223"/>
    <cellStyle name="Normal 6 5 2 2 6" xfId="39224"/>
    <cellStyle name="Normal 6 5 2 3" xfId="39225"/>
    <cellStyle name="Normal 6 5 2 3 2" xfId="39226"/>
    <cellStyle name="Normal 6 5 2 3 2 2" xfId="39227"/>
    <cellStyle name="Normal 6 5 2 3 3" xfId="39228"/>
    <cellStyle name="Normal 6 5 2 3 4" xfId="39229"/>
    <cellStyle name="Normal 6 5 2 3 5" xfId="39230"/>
    <cellStyle name="Normal 6 5 2 4" xfId="39231"/>
    <cellStyle name="Normal 6 5 2 4 2" xfId="39232"/>
    <cellStyle name="Normal 6 5 2 4 3" xfId="39233"/>
    <cellStyle name="Normal 6 5 2 4 4" xfId="39234"/>
    <cellStyle name="Normal 6 5 2 5" xfId="39235"/>
    <cellStyle name="Normal 6 5 2 5 2" xfId="39236"/>
    <cellStyle name="Normal 6 5 2 6" xfId="39237"/>
    <cellStyle name="Normal 6 5 2 7" xfId="39238"/>
    <cellStyle name="Normal 6 5 2 8" xfId="39239"/>
    <cellStyle name="Normal 6 5 2 9" xfId="39240"/>
    <cellStyle name="Normal 6 5 3" xfId="39241"/>
    <cellStyle name="Normal 6 5 3 2" xfId="39242"/>
    <cellStyle name="Normal 6 5 3 2 2" xfId="39243"/>
    <cellStyle name="Normal 6 5 3 2 2 2" xfId="39244"/>
    <cellStyle name="Normal 6 5 3 2 2 3" xfId="39245"/>
    <cellStyle name="Normal 6 5 3 2 3" xfId="39246"/>
    <cellStyle name="Normal 6 5 3 2 4" xfId="39247"/>
    <cellStyle name="Normal 6 5 3 2 5" xfId="39248"/>
    <cellStyle name="Normal 6 5 3 2 6" xfId="39249"/>
    <cellStyle name="Normal 6 5 3 3" xfId="39250"/>
    <cellStyle name="Normal 6 5 3 3 2" xfId="39251"/>
    <cellStyle name="Normal 6 5 3 3 2 2" xfId="39252"/>
    <cellStyle name="Normal 6 5 3 3 3" xfId="39253"/>
    <cellStyle name="Normal 6 5 3 3 4" xfId="39254"/>
    <cellStyle name="Normal 6 5 3 3 5" xfId="39255"/>
    <cellStyle name="Normal 6 5 3 4" xfId="39256"/>
    <cellStyle name="Normal 6 5 3 4 2" xfId="39257"/>
    <cellStyle name="Normal 6 5 3 4 3" xfId="39258"/>
    <cellStyle name="Normal 6 5 3 4 4" xfId="39259"/>
    <cellStyle name="Normal 6 5 3 5" xfId="39260"/>
    <cellStyle name="Normal 6 5 3 5 2" xfId="39261"/>
    <cellStyle name="Normal 6 5 3 6" xfId="39262"/>
    <cellStyle name="Normal 6 5 3 7" xfId="39263"/>
    <cellStyle name="Normal 6 5 3 8" xfId="39264"/>
    <cellStyle name="Normal 6 5 3 9" xfId="39265"/>
    <cellStyle name="Normal 6 5 4" xfId="39266"/>
    <cellStyle name="Normal 6 5 4 2" xfId="39267"/>
    <cellStyle name="Normal 6 5 4 2 2" xfId="39268"/>
    <cellStyle name="Normal 6 5 4 2 3" xfId="39269"/>
    <cellStyle name="Normal 6 5 4 3" xfId="39270"/>
    <cellStyle name="Normal 6 5 4 4" xfId="39271"/>
    <cellStyle name="Normal 6 5 4 5" xfId="39272"/>
    <cellStyle name="Normal 6 5 4 6" xfId="39273"/>
    <cellStyle name="Normal 6 5 5" xfId="39274"/>
    <cellStyle name="Normal 6 5 5 2" xfId="39275"/>
    <cellStyle name="Normal 6 5 5 2 2" xfId="39276"/>
    <cellStyle name="Normal 6 5 5 3" xfId="39277"/>
    <cellStyle name="Normal 6 5 5 4" xfId="39278"/>
    <cellStyle name="Normal 6 5 5 5" xfId="39279"/>
    <cellStyle name="Normal 6 5 6" xfId="39280"/>
    <cellStyle name="Normal 6 5 6 2" xfId="39281"/>
    <cellStyle name="Normal 6 5 6 3" xfId="39282"/>
    <cellStyle name="Normal 6 5 6 4" xfId="39283"/>
    <cellStyle name="Normal 6 5 7" xfId="39284"/>
    <cellStyle name="Normal 6 5 7 2" xfId="39285"/>
    <cellStyle name="Normal 6 5 8" xfId="39286"/>
    <cellStyle name="Normal 6 5 9" xfId="39287"/>
    <cellStyle name="Normal 6 6" xfId="39288"/>
    <cellStyle name="Normal 6 6 10" xfId="39289"/>
    <cellStyle name="Normal 6 6 11" xfId="39290"/>
    <cellStyle name="Normal 6 6 2" xfId="39291"/>
    <cellStyle name="Normal 6 6 2 2" xfId="39292"/>
    <cellStyle name="Normal 6 6 2 2 2" xfId="39293"/>
    <cellStyle name="Normal 6 6 2 2 2 2" xfId="39294"/>
    <cellStyle name="Normal 6 6 2 2 2 3" xfId="39295"/>
    <cellStyle name="Normal 6 6 2 2 3" xfId="39296"/>
    <cellStyle name="Normal 6 6 2 2 4" xfId="39297"/>
    <cellStyle name="Normal 6 6 2 2 5" xfId="39298"/>
    <cellStyle name="Normal 6 6 2 2 6" xfId="39299"/>
    <cellStyle name="Normal 6 6 2 3" xfId="39300"/>
    <cellStyle name="Normal 6 6 2 3 2" xfId="39301"/>
    <cellStyle name="Normal 6 6 2 3 2 2" xfId="39302"/>
    <cellStyle name="Normal 6 6 2 3 3" xfId="39303"/>
    <cellStyle name="Normal 6 6 2 3 4" xfId="39304"/>
    <cellStyle name="Normal 6 6 2 3 5" xfId="39305"/>
    <cellStyle name="Normal 6 6 2 4" xfId="39306"/>
    <cellStyle name="Normal 6 6 2 4 2" xfId="39307"/>
    <cellStyle name="Normal 6 6 2 4 3" xfId="39308"/>
    <cellStyle name="Normal 6 6 2 4 4" xfId="39309"/>
    <cellStyle name="Normal 6 6 2 5" xfId="39310"/>
    <cellStyle name="Normal 6 6 2 5 2" xfId="39311"/>
    <cellStyle name="Normal 6 6 2 6" xfId="39312"/>
    <cellStyle name="Normal 6 6 2 7" xfId="39313"/>
    <cellStyle name="Normal 6 6 2 8" xfId="39314"/>
    <cellStyle name="Normal 6 6 2 9" xfId="39315"/>
    <cellStyle name="Normal 6 6 3" xfId="39316"/>
    <cellStyle name="Normal 6 6 3 2" xfId="39317"/>
    <cellStyle name="Normal 6 6 3 2 2" xfId="39318"/>
    <cellStyle name="Normal 6 6 3 2 2 2" xfId="39319"/>
    <cellStyle name="Normal 6 6 3 2 2 3" xfId="39320"/>
    <cellStyle name="Normal 6 6 3 2 3" xfId="39321"/>
    <cellStyle name="Normal 6 6 3 2 4" xfId="39322"/>
    <cellStyle name="Normal 6 6 3 2 5" xfId="39323"/>
    <cellStyle name="Normal 6 6 3 2 6" xfId="39324"/>
    <cellStyle name="Normal 6 6 3 3" xfId="39325"/>
    <cellStyle name="Normal 6 6 3 3 2" xfId="39326"/>
    <cellStyle name="Normal 6 6 3 3 2 2" xfId="39327"/>
    <cellStyle name="Normal 6 6 3 3 3" xfId="39328"/>
    <cellStyle name="Normal 6 6 3 3 4" xfId="39329"/>
    <cellStyle name="Normal 6 6 3 3 5" xfId="39330"/>
    <cellStyle name="Normal 6 6 3 4" xfId="39331"/>
    <cellStyle name="Normal 6 6 3 4 2" xfId="39332"/>
    <cellStyle name="Normal 6 6 3 4 3" xfId="39333"/>
    <cellStyle name="Normal 6 6 3 4 4" xfId="39334"/>
    <cellStyle name="Normal 6 6 3 5" xfId="39335"/>
    <cellStyle name="Normal 6 6 3 5 2" xfId="39336"/>
    <cellStyle name="Normal 6 6 3 6" xfId="39337"/>
    <cellStyle name="Normal 6 6 3 7" xfId="39338"/>
    <cellStyle name="Normal 6 6 3 8" xfId="39339"/>
    <cellStyle name="Normal 6 6 3 9" xfId="39340"/>
    <cellStyle name="Normal 6 6 4" xfId="39341"/>
    <cellStyle name="Normal 6 6 4 2" xfId="39342"/>
    <cellStyle name="Normal 6 6 4 2 2" xfId="39343"/>
    <cellStyle name="Normal 6 6 4 2 3" xfId="39344"/>
    <cellStyle name="Normal 6 6 4 3" xfId="39345"/>
    <cellStyle name="Normal 6 6 4 4" xfId="39346"/>
    <cellStyle name="Normal 6 6 4 5" xfId="39347"/>
    <cellStyle name="Normal 6 6 4 6" xfId="39348"/>
    <cellStyle name="Normal 6 6 5" xfId="39349"/>
    <cellStyle name="Normal 6 6 5 2" xfId="39350"/>
    <cellStyle name="Normal 6 6 5 2 2" xfId="39351"/>
    <cellStyle name="Normal 6 6 5 3" xfId="39352"/>
    <cellStyle name="Normal 6 6 5 4" xfId="39353"/>
    <cellStyle name="Normal 6 6 5 5" xfId="39354"/>
    <cellStyle name="Normal 6 6 6" xfId="39355"/>
    <cellStyle name="Normal 6 6 6 2" xfId="39356"/>
    <cellStyle name="Normal 6 6 6 3" xfId="39357"/>
    <cellStyle name="Normal 6 6 6 4" xfId="39358"/>
    <cellStyle name="Normal 6 6 7" xfId="39359"/>
    <cellStyle name="Normal 6 6 7 2" xfId="39360"/>
    <cellStyle name="Normal 6 6 8" xfId="39361"/>
    <cellStyle name="Normal 6 6 9" xfId="39362"/>
    <cellStyle name="Normal 6 7" xfId="39363"/>
    <cellStyle name="Normal 6 7 10" xfId="39364"/>
    <cellStyle name="Normal 6 7 11" xfId="39365"/>
    <cellStyle name="Normal 6 7 2" xfId="39366"/>
    <cellStyle name="Normal 6 7 2 2" xfId="39367"/>
    <cellStyle name="Normal 6 7 2 2 2" xfId="39368"/>
    <cellStyle name="Normal 6 7 2 2 2 2" xfId="39369"/>
    <cellStyle name="Normal 6 7 2 2 2 3" xfId="39370"/>
    <cellStyle name="Normal 6 7 2 2 3" xfId="39371"/>
    <cellStyle name="Normal 6 7 2 2 4" xfId="39372"/>
    <cellStyle name="Normal 6 7 2 2 5" xfId="39373"/>
    <cellStyle name="Normal 6 7 2 2 6" xfId="39374"/>
    <cellStyle name="Normal 6 7 2 3" xfId="39375"/>
    <cellStyle name="Normal 6 7 2 3 2" xfId="39376"/>
    <cellStyle name="Normal 6 7 2 3 2 2" xfId="39377"/>
    <cellStyle name="Normal 6 7 2 3 3" xfId="39378"/>
    <cellStyle name="Normal 6 7 2 3 4" xfId="39379"/>
    <cellStyle name="Normal 6 7 2 3 5" xfId="39380"/>
    <cellStyle name="Normal 6 7 2 4" xfId="39381"/>
    <cellStyle name="Normal 6 7 2 4 2" xfId="39382"/>
    <cellStyle name="Normal 6 7 2 4 3" xfId="39383"/>
    <cellStyle name="Normal 6 7 2 4 4" xfId="39384"/>
    <cellStyle name="Normal 6 7 2 5" xfId="39385"/>
    <cellStyle name="Normal 6 7 2 5 2" xfId="39386"/>
    <cellStyle name="Normal 6 7 2 6" xfId="39387"/>
    <cellStyle name="Normal 6 7 2 7" xfId="39388"/>
    <cellStyle name="Normal 6 7 2 8" xfId="39389"/>
    <cellStyle name="Normal 6 7 2 9" xfId="39390"/>
    <cellStyle name="Normal 6 7 3" xfId="39391"/>
    <cellStyle name="Normal 6 7 3 2" xfId="39392"/>
    <cellStyle name="Normal 6 7 3 2 2" xfId="39393"/>
    <cellStyle name="Normal 6 7 3 2 2 2" xfId="39394"/>
    <cellStyle name="Normal 6 7 3 2 2 3" xfId="39395"/>
    <cellStyle name="Normal 6 7 3 2 3" xfId="39396"/>
    <cellStyle name="Normal 6 7 3 2 4" xfId="39397"/>
    <cellStyle name="Normal 6 7 3 2 5" xfId="39398"/>
    <cellStyle name="Normal 6 7 3 2 6" xfId="39399"/>
    <cellStyle name="Normal 6 7 3 3" xfId="39400"/>
    <cellStyle name="Normal 6 7 3 3 2" xfId="39401"/>
    <cellStyle name="Normal 6 7 3 3 2 2" xfId="39402"/>
    <cellStyle name="Normal 6 7 3 3 3" xfId="39403"/>
    <cellStyle name="Normal 6 7 3 3 4" xfId="39404"/>
    <cellStyle name="Normal 6 7 3 3 5" xfId="39405"/>
    <cellStyle name="Normal 6 7 3 4" xfId="39406"/>
    <cellStyle name="Normal 6 7 3 4 2" xfId="39407"/>
    <cellStyle name="Normal 6 7 3 4 3" xfId="39408"/>
    <cellStyle name="Normal 6 7 3 4 4" xfId="39409"/>
    <cellStyle name="Normal 6 7 3 5" xfId="39410"/>
    <cellStyle name="Normal 6 7 3 5 2" xfId="39411"/>
    <cellStyle name="Normal 6 7 3 6" xfId="39412"/>
    <cellStyle name="Normal 6 7 3 7" xfId="39413"/>
    <cellStyle name="Normal 6 7 3 8" xfId="39414"/>
    <cellStyle name="Normal 6 7 3 9" xfId="39415"/>
    <cellStyle name="Normal 6 7 4" xfId="39416"/>
    <cellStyle name="Normal 6 7 4 2" xfId="39417"/>
    <cellStyle name="Normal 6 7 4 2 2" xfId="39418"/>
    <cellStyle name="Normal 6 7 4 2 3" xfId="39419"/>
    <cellStyle name="Normal 6 7 4 3" xfId="39420"/>
    <cellStyle name="Normal 6 7 4 4" xfId="39421"/>
    <cellStyle name="Normal 6 7 4 5" xfId="39422"/>
    <cellStyle name="Normal 6 7 4 6" xfId="39423"/>
    <cellStyle name="Normal 6 7 5" xfId="39424"/>
    <cellStyle name="Normal 6 7 5 2" xfId="39425"/>
    <cellStyle name="Normal 6 7 5 2 2" xfId="39426"/>
    <cellStyle name="Normal 6 7 5 3" xfId="39427"/>
    <cellStyle name="Normal 6 7 5 4" xfId="39428"/>
    <cellStyle name="Normal 6 7 5 5" xfId="39429"/>
    <cellStyle name="Normal 6 7 6" xfId="39430"/>
    <cellStyle name="Normal 6 7 6 2" xfId="39431"/>
    <cellStyle name="Normal 6 7 6 3" xfId="39432"/>
    <cellStyle name="Normal 6 7 6 4" xfId="39433"/>
    <cellStyle name="Normal 6 7 7" xfId="39434"/>
    <cellStyle name="Normal 6 7 7 2" xfId="39435"/>
    <cellStyle name="Normal 6 7 8" xfId="39436"/>
    <cellStyle name="Normal 6 7 9" xfId="39437"/>
    <cellStyle name="Normal 6 8" xfId="39438"/>
    <cellStyle name="Normal 6 8 10" xfId="39439"/>
    <cellStyle name="Normal 6 8 11" xfId="39440"/>
    <cellStyle name="Normal 6 8 2" xfId="39441"/>
    <cellStyle name="Normal 6 8 2 2" xfId="39442"/>
    <cellStyle name="Normal 6 8 2 2 2" xfId="39443"/>
    <cellStyle name="Normal 6 8 2 2 2 2" xfId="39444"/>
    <cellStyle name="Normal 6 8 2 2 2 3" xfId="39445"/>
    <cellStyle name="Normal 6 8 2 2 3" xfId="39446"/>
    <cellStyle name="Normal 6 8 2 2 4" xfId="39447"/>
    <cellStyle name="Normal 6 8 2 2 5" xfId="39448"/>
    <cellStyle name="Normal 6 8 2 2 6" xfId="39449"/>
    <cellStyle name="Normal 6 8 2 3" xfId="39450"/>
    <cellStyle name="Normal 6 8 2 3 2" xfId="39451"/>
    <cellStyle name="Normal 6 8 2 3 2 2" xfId="39452"/>
    <cellStyle name="Normal 6 8 2 3 3" xfId="39453"/>
    <cellStyle name="Normal 6 8 2 3 4" xfId="39454"/>
    <cellStyle name="Normal 6 8 2 3 5" xfId="39455"/>
    <cellStyle name="Normal 6 8 2 4" xfId="39456"/>
    <cellStyle name="Normal 6 8 2 4 2" xfId="39457"/>
    <cellStyle name="Normal 6 8 2 4 3" xfId="39458"/>
    <cellStyle name="Normal 6 8 2 4 4" xfId="39459"/>
    <cellStyle name="Normal 6 8 2 5" xfId="39460"/>
    <cellStyle name="Normal 6 8 2 5 2" xfId="39461"/>
    <cellStyle name="Normal 6 8 2 6" xfId="39462"/>
    <cellStyle name="Normal 6 8 2 7" xfId="39463"/>
    <cellStyle name="Normal 6 8 2 8" xfId="39464"/>
    <cellStyle name="Normal 6 8 2 9" xfId="39465"/>
    <cellStyle name="Normal 6 8 3" xfId="39466"/>
    <cellStyle name="Normal 6 8 3 2" xfId="39467"/>
    <cellStyle name="Normal 6 8 3 2 2" xfId="39468"/>
    <cellStyle name="Normal 6 8 3 2 2 2" xfId="39469"/>
    <cellStyle name="Normal 6 8 3 2 2 3" xfId="39470"/>
    <cellStyle name="Normal 6 8 3 2 3" xfId="39471"/>
    <cellStyle name="Normal 6 8 3 2 4" xfId="39472"/>
    <cellStyle name="Normal 6 8 3 2 5" xfId="39473"/>
    <cellStyle name="Normal 6 8 3 2 6" xfId="39474"/>
    <cellStyle name="Normal 6 8 3 3" xfId="39475"/>
    <cellStyle name="Normal 6 8 3 3 2" xfId="39476"/>
    <cellStyle name="Normal 6 8 3 3 2 2" xfId="39477"/>
    <cellStyle name="Normal 6 8 3 3 3" xfId="39478"/>
    <cellStyle name="Normal 6 8 3 3 4" xfId="39479"/>
    <cellStyle name="Normal 6 8 3 3 5" xfId="39480"/>
    <cellStyle name="Normal 6 8 3 4" xfId="39481"/>
    <cellStyle name="Normal 6 8 3 4 2" xfId="39482"/>
    <cellStyle name="Normal 6 8 3 4 3" xfId="39483"/>
    <cellStyle name="Normal 6 8 3 4 4" xfId="39484"/>
    <cellStyle name="Normal 6 8 3 5" xfId="39485"/>
    <cellStyle name="Normal 6 8 3 5 2" xfId="39486"/>
    <cellStyle name="Normal 6 8 3 6" xfId="39487"/>
    <cellStyle name="Normal 6 8 3 7" xfId="39488"/>
    <cellStyle name="Normal 6 8 3 8" xfId="39489"/>
    <cellStyle name="Normal 6 8 3 9" xfId="39490"/>
    <cellStyle name="Normal 6 8 4" xfId="39491"/>
    <cellStyle name="Normal 6 8 4 2" xfId="39492"/>
    <cellStyle name="Normal 6 8 4 2 2" xfId="39493"/>
    <cellStyle name="Normal 6 8 4 2 3" xfId="39494"/>
    <cellStyle name="Normal 6 8 4 3" xfId="39495"/>
    <cellStyle name="Normal 6 8 4 4" xfId="39496"/>
    <cellStyle name="Normal 6 8 4 5" xfId="39497"/>
    <cellStyle name="Normal 6 8 4 6" xfId="39498"/>
    <cellStyle name="Normal 6 8 5" xfId="39499"/>
    <cellStyle name="Normal 6 8 5 2" xfId="39500"/>
    <cellStyle name="Normal 6 8 5 2 2" xfId="39501"/>
    <cellStyle name="Normal 6 8 5 3" xfId="39502"/>
    <cellStyle name="Normal 6 8 5 4" xfId="39503"/>
    <cellStyle name="Normal 6 8 5 5" xfId="39504"/>
    <cellStyle name="Normal 6 8 6" xfId="39505"/>
    <cellStyle name="Normal 6 8 6 2" xfId="39506"/>
    <cellStyle name="Normal 6 8 6 3" xfId="39507"/>
    <cellStyle name="Normal 6 8 6 4" xfId="39508"/>
    <cellStyle name="Normal 6 8 7" xfId="39509"/>
    <cellStyle name="Normal 6 8 7 2" xfId="39510"/>
    <cellStyle name="Normal 6 8 8" xfId="39511"/>
    <cellStyle name="Normal 6 8 9" xfId="39512"/>
    <cellStyle name="Normal 6 9" xfId="39513"/>
    <cellStyle name="Normal 6 9 10" xfId="39514"/>
    <cellStyle name="Normal 6 9 2" xfId="39515"/>
    <cellStyle name="Normal 6 9 2 2" xfId="39516"/>
    <cellStyle name="Normal 6 9 2 2 2" xfId="39517"/>
    <cellStyle name="Normal 6 9 2 2 3" xfId="39518"/>
    <cellStyle name="Normal 6 9 2 3" xfId="39519"/>
    <cellStyle name="Normal 6 9 2 4" xfId="39520"/>
    <cellStyle name="Normal 6 9 2 5" xfId="39521"/>
    <cellStyle name="Normal 6 9 2 6" xfId="39522"/>
    <cellStyle name="Normal 6 9 3" xfId="39523"/>
    <cellStyle name="Normal 6 9 3 2" xfId="39524"/>
    <cellStyle name="Normal 6 9 3 2 2" xfId="39525"/>
    <cellStyle name="Normal 6 9 3 2 3" xfId="39526"/>
    <cellStyle name="Normal 6 9 3 3" xfId="39527"/>
    <cellStyle name="Normal 6 9 3 4" xfId="39528"/>
    <cellStyle name="Normal 6 9 3 5" xfId="39529"/>
    <cellStyle name="Normal 6 9 3 6" xfId="39530"/>
    <cellStyle name="Normal 6 9 4" xfId="39531"/>
    <cellStyle name="Normal 6 9 4 2" xfId="39532"/>
    <cellStyle name="Normal 6 9 4 2 2" xfId="39533"/>
    <cellStyle name="Normal 6 9 4 3" xfId="39534"/>
    <cellStyle name="Normal 6 9 4 4" xfId="39535"/>
    <cellStyle name="Normal 6 9 4 5" xfId="39536"/>
    <cellStyle name="Normal 6 9 5" xfId="39537"/>
    <cellStyle name="Normal 6 9 5 2" xfId="39538"/>
    <cellStyle name="Normal 6 9 5 3" xfId="39539"/>
    <cellStyle name="Normal 6 9 5 4" xfId="39540"/>
    <cellStyle name="Normal 6 9 6" xfId="39541"/>
    <cellStyle name="Normal 6 9 6 2" xfId="39542"/>
    <cellStyle name="Normal 6 9 7" xfId="39543"/>
    <cellStyle name="Normal 6 9 8" xfId="39544"/>
    <cellStyle name="Normal 6 9 9" xfId="39545"/>
    <cellStyle name="Normal 60" xfId="39546"/>
    <cellStyle name="Normal 61" xfId="39547"/>
    <cellStyle name="Normal 62" xfId="39548"/>
    <cellStyle name="Normal 63" xfId="39549"/>
    <cellStyle name="Normal 64" xfId="39550"/>
    <cellStyle name="Normal 65" xfId="39551"/>
    <cellStyle name="Normal 66" xfId="39552"/>
    <cellStyle name="Normal 67" xfId="39553"/>
    <cellStyle name="Normal 68" xfId="39554"/>
    <cellStyle name="Normal 69" xfId="39555"/>
    <cellStyle name="Normal 7" xfId="39556"/>
    <cellStyle name="Normal 7 2" xfId="39557"/>
    <cellStyle name="Normal 7 2 2" xfId="39558"/>
    <cellStyle name="Normal 7 3" xfId="39559"/>
    <cellStyle name="Normal 7 3 2" xfId="39560"/>
    <cellStyle name="Normal 7 4" xfId="39561"/>
    <cellStyle name="Normal 70" xfId="39562"/>
    <cellStyle name="Normal 71" xfId="39563"/>
    <cellStyle name="Normal 72" xfId="42325"/>
    <cellStyle name="Normal 73" xfId="42326"/>
    <cellStyle name="Normal 8" xfId="39564"/>
    <cellStyle name="Normal 8 2" xfId="39565"/>
    <cellStyle name="Normal 8 2 2" xfId="39566"/>
    <cellStyle name="Normal 8 2 3" xfId="39567"/>
    <cellStyle name="Normal 8 3" xfId="39568"/>
    <cellStyle name="Normal 8 3 2" xfId="39569"/>
    <cellStyle name="Normal 8 4" xfId="39570"/>
    <cellStyle name="Normal 8 5" xfId="39571"/>
    <cellStyle name="Normal 8 6" xfId="39572"/>
    <cellStyle name="Normal 9" xfId="39573"/>
    <cellStyle name="Normal 9 10" xfId="39574"/>
    <cellStyle name="Normal 9 11" xfId="39575"/>
    <cellStyle name="Normal 9 12" xfId="39576"/>
    <cellStyle name="Normal 9 13" xfId="39577"/>
    <cellStyle name="Normal 9 14" xfId="39578"/>
    <cellStyle name="Normal 9 15" xfId="39579"/>
    <cellStyle name="Normal 9 16" xfId="39580"/>
    <cellStyle name="Normal 9 17" xfId="39581"/>
    <cellStyle name="Normal 9 18" xfId="39582"/>
    <cellStyle name="Normal 9 19" xfId="39583"/>
    <cellStyle name="Normal 9 2" xfId="39584"/>
    <cellStyle name="Normal 9 20" xfId="39585"/>
    <cellStyle name="Normal 9 21" xfId="39586"/>
    <cellStyle name="Normal 9 22" xfId="39587"/>
    <cellStyle name="Normal 9 23" xfId="39588"/>
    <cellStyle name="Normal 9 24" xfId="39589"/>
    <cellStyle name="Normal 9 25" xfId="39590"/>
    <cellStyle name="Normal 9 26" xfId="39591"/>
    <cellStyle name="Normal 9 27" xfId="39592"/>
    <cellStyle name="Normal 9 28" xfId="39593"/>
    <cellStyle name="Normal 9 29" xfId="39594"/>
    <cellStyle name="Normal 9 3" xfId="39595"/>
    <cellStyle name="Normal 9 3 2" xfId="39596"/>
    <cellStyle name="Normal 9 30" xfId="39597"/>
    <cellStyle name="Normal 9 31" xfId="39598"/>
    <cellStyle name="Normal 9 32" xfId="39599"/>
    <cellStyle name="Normal 9 33" xfId="39600"/>
    <cellStyle name="Normal 9 34" xfId="39601"/>
    <cellStyle name="Normal 9 35" xfId="39602"/>
    <cellStyle name="Normal 9 36" xfId="39603"/>
    <cellStyle name="Normal 9 37" xfId="39604"/>
    <cellStyle name="Normal 9 38" xfId="39605"/>
    <cellStyle name="Normal 9 39" xfId="39606"/>
    <cellStyle name="Normal 9 4" xfId="39607"/>
    <cellStyle name="Normal 9 40" xfId="39608"/>
    <cellStyle name="Normal 9 5" xfId="39609"/>
    <cellStyle name="Normal 9 6" xfId="39610"/>
    <cellStyle name="Normal 9 7" xfId="39611"/>
    <cellStyle name="Normal 9 8" xfId="39612"/>
    <cellStyle name="Normal 9 9" xfId="39613"/>
    <cellStyle name="Normal 99" xfId="39614"/>
    <cellStyle name="Normal_FY94COST.XLS" xfId="42321"/>
    <cellStyle name="Normal_PRS21RX" xfId="42320"/>
    <cellStyle name="Normal_PRS21X" xfId="42319"/>
    <cellStyle name="Note 10" xfId="39615"/>
    <cellStyle name="Note 11" xfId="39616"/>
    <cellStyle name="Note 11 10" xfId="39617"/>
    <cellStyle name="Note 11 2" xfId="39618"/>
    <cellStyle name="Note 11 2 2" xfId="39619"/>
    <cellStyle name="Note 11 2 2 2" xfId="39620"/>
    <cellStyle name="Note 11 2 2 2 2" xfId="39621"/>
    <cellStyle name="Note 11 2 2 2 3" xfId="39622"/>
    <cellStyle name="Note 11 2 2 3" xfId="39623"/>
    <cellStyle name="Note 11 2 2 4" xfId="39624"/>
    <cellStyle name="Note 11 2 2 5" xfId="39625"/>
    <cellStyle name="Note 11 2 2 6" xfId="39626"/>
    <cellStyle name="Note 11 2 3" xfId="39627"/>
    <cellStyle name="Note 11 2 3 2" xfId="39628"/>
    <cellStyle name="Note 11 2 3 2 2" xfId="39629"/>
    <cellStyle name="Note 11 2 3 3" xfId="39630"/>
    <cellStyle name="Note 11 2 3 4" xfId="39631"/>
    <cellStyle name="Note 11 2 3 5" xfId="39632"/>
    <cellStyle name="Note 11 2 4" xfId="39633"/>
    <cellStyle name="Note 11 2 4 2" xfId="39634"/>
    <cellStyle name="Note 11 2 4 3" xfId="39635"/>
    <cellStyle name="Note 11 2 4 4" xfId="39636"/>
    <cellStyle name="Note 11 2 5" xfId="39637"/>
    <cellStyle name="Note 11 2 5 2" xfId="39638"/>
    <cellStyle name="Note 11 2 6" xfId="39639"/>
    <cellStyle name="Note 11 2 7" xfId="39640"/>
    <cellStyle name="Note 11 2 8" xfId="39641"/>
    <cellStyle name="Note 11 2 9" xfId="39642"/>
    <cellStyle name="Note 11 3" xfId="39643"/>
    <cellStyle name="Note 11 3 2" xfId="39644"/>
    <cellStyle name="Note 11 3 2 2" xfId="39645"/>
    <cellStyle name="Note 11 3 2 3" xfId="39646"/>
    <cellStyle name="Note 11 3 3" xfId="39647"/>
    <cellStyle name="Note 11 3 4" xfId="39648"/>
    <cellStyle name="Note 11 3 5" xfId="39649"/>
    <cellStyle name="Note 11 3 6" xfId="39650"/>
    <cellStyle name="Note 11 4" xfId="39651"/>
    <cellStyle name="Note 11 4 2" xfId="39652"/>
    <cellStyle name="Note 11 4 2 2" xfId="39653"/>
    <cellStyle name="Note 11 4 3" xfId="39654"/>
    <cellStyle name="Note 11 4 4" xfId="39655"/>
    <cellStyle name="Note 11 4 5" xfId="39656"/>
    <cellStyle name="Note 11 5" xfId="39657"/>
    <cellStyle name="Note 11 5 2" xfId="39658"/>
    <cellStyle name="Note 11 5 2 2" xfId="39659"/>
    <cellStyle name="Note 11 5 3" xfId="39660"/>
    <cellStyle name="Note 11 5 4" xfId="39661"/>
    <cellStyle name="Note 11 5 5" xfId="39662"/>
    <cellStyle name="Note 11 6" xfId="39663"/>
    <cellStyle name="Note 11 6 2" xfId="39664"/>
    <cellStyle name="Note 11 7" xfId="39665"/>
    <cellStyle name="Note 11 8" xfId="39666"/>
    <cellStyle name="Note 11 9" xfId="39667"/>
    <cellStyle name="Note 12" xfId="39668"/>
    <cellStyle name="Note 12 10" xfId="39669"/>
    <cellStyle name="Note 12 2" xfId="39670"/>
    <cellStyle name="Note 12 2 2" xfId="39671"/>
    <cellStyle name="Note 12 2 2 2" xfId="39672"/>
    <cellStyle name="Note 12 2 2 2 2" xfId="39673"/>
    <cellStyle name="Note 12 2 2 2 3" xfId="39674"/>
    <cellStyle name="Note 12 2 2 3" xfId="39675"/>
    <cellStyle name="Note 12 2 2 4" xfId="39676"/>
    <cellStyle name="Note 12 2 2 5" xfId="39677"/>
    <cellStyle name="Note 12 2 2 6" xfId="39678"/>
    <cellStyle name="Note 12 2 3" xfId="39679"/>
    <cellStyle name="Note 12 2 3 2" xfId="39680"/>
    <cellStyle name="Note 12 2 3 2 2" xfId="39681"/>
    <cellStyle name="Note 12 2 3 3" xfId="39682"/>
    <cellStyle name="Note 12 2 3 4" xfId="39683"/>
    <cellStyle name="Note 12 2 3 5" xfId="39684"/>
    <cellStyle name="Note 12 2 4" xfId="39685"/>
    <cellStyle name="Note 12 2 4 2" xfId="39686"/>
    <cellStyle name="Note 12 2 4 3" xfId="39687"/>
    <cellStyle name="Note 12 2 4 4" xfId="39688"/>
    <cellStyle name="Note 12 2 5" xfId="39689"/>
    <cellStyle name="Note 12 2 5 2" xfId="39690"/>
    <cellStyle name="Note 12 2 6" xfId="39691"/>
    <cellStyle name="Note 12 2 7" xfId="39692"/>
    <cellStyle name="Note 12 2 8" xfId="39693"/>
    <cellStyle name="Note 12 2 9" xfId="39694"/>
    <cellStyle name="Note 12 3" xfId="39695"/>
    <cellStyle name="Note 12 3 2" xfId="39696"/>
    <cellStyle name="Note 12 3 2 2" xfId="39697"/>
    <cellStyle name="Note 12 3 2 3" xfId="39698"/>
    <cellStyle name="Note 12 3 3" xfId="39699"/>
    <cellStyle name="Note 12 3 4" xfId="39700"/>
    <cellStyle name="Note 12 3 5" xfId="39701"/>
    <cellStyle name="Note 12 3 6" xfId="39702"/>
    <cellStyle name="Note 12 4" xfId="39703"/>
    <cellStyle name="Note 12 4 2" xfId="39704"/>
    <cellStyle name="Note 12 4 2 2" xfId="39705"/>
    <cellStyle name="Note 12 4 3" xfId="39706"/>
    <cellStyle name="Note 12 4 4" xfId="39707"/>
    <cellStyle name="Note 12 4 5" xfId="39708"/>
    <cellStyle name="Note 12 5" xfId="39709"/>
    <cellStyle name="Note 12 5 2" xfId="39710"/>
    <cellStyle name="Note 12 5 2 2" xfId="39711"/>
    <cellStyle name="Note 12 5 3" xfId="39712"/>
    <cellStyle name="Note 12 5 4" xfId="39713"/>
    <cellStyle name="Note 12 5 5" xfId="39714"/>
    <cellStyle name="Note 12 6" xfId="39715"/>
    <cellStyle name="Note 12 6 2" xfId="39716"/>
    <cellStyle name="Note 12 7" xfId="39717"/>
    <cellStyle name="Note 12 8" xfId="39718"/>
    <cellStyle name="Note 12 9" xfId="39719"/>
    <cellStyle name="Note 13" xfId="39720"/>
    <cellStyle name="Note 13 10" xfId="39721"/>
    <cellStyle name="Note 13 2" xfId="39722"/>
    <cellStyle name="Note 13 2 2" xfId="39723"/>
    <cellStyle name="Note 13 2 2 2" xfId="39724"/>
    <cellStyle name="Note 13 2 2 2 2" xfId="39725"/>
    <cellStyle name="Note 13 2 2 2 3" xfId="39726"/>
    <cellStyle name="Note 13 2 2 3" xfId="39727"/>
    <cellStyle name="Note 13 2 2 4" xfId="39728"/>
    <cellStyle name="Note 13 2 2 5" xfId="39729"/>
    <cellStyle name="Note 13 2 2 6" xfId="39730"/>
    <cellStyle name="Note 13 2 3" xfId="39731"/>
    <cellStyle name="Note 13 2 3 2" xfId="39732"/>
    <cellStyle name="Note 13 2 3 2 2" xfId="39733"/>
    <cellStyle name="Note 13 2 3 3" xfId="39734"/>
    <cellStyle name="Note 13 2 3 4" xfId="39735"/>
    <cellStyle name="Note 13 2 3 5" xfId="39736"/>
    <cellStyle name="Note 13 2 4" xfId="39737"/>
    <cellStyle name="Note 13 2 4 2" xfId="39738"/>
    <cellStyle name="Note 13 2 4 3" xfId="39739"/>
    <cellStyle name="Note 13 2 4 4" xfId="39740"/>
    <cellStyle name="Note 13 2 5" xfId="39741"/>
    <cellStyle name="Note 13 2 5 2" xfId="39742"/>
    <cellStyle name="Note 13 2 6" xfId="39743"/>
    <cellStyle name="Note 13 2 7" xfId="39744"/>
    <cellStyle name="Note 13 2 8" xfId="39745"/>
    <cellStyle name="Note 13 2 9" xfId="39746"/>
    <cellStyle name="Note 13 3" xfId="39747"/>
    <cellStyle name="Note 13 3 2" xfId="39748"/>
    <cellStyle name="Note 13 3 2 2" xfId="39749"/>
    <cellStyle name="Note 13 3 2 3" xfId="39750"/>
    <cellStyle name="Note 13 3 3" xfId="39751"/>
    <cellStyle name="Note 13 3 4" xfId="39752"/>
    <cellStyle name="Note 13 3 5" xfId="39753"/>
    <cellStyle name="Note 13 3 6" xfId="39754"/>
    <cellStyle name="Note 13 4" xfId="39755"/>
    <cellStyle name="Note 13 4 2" xfId="39756"/>
    <cellStyle name="Note 13 4 2 2" xfId="39757"/>
    <cellStyle name="Note 13 4 3" xfId="39758"/>
    <cellStyle name="Note 13 4 4" xfId="39759"/>
    <cellStyle name="Note 13 4 5" xfId="39760"/>
    <cellStyle name="Note 13 5" xfId="39761"/>
    <cellStyle name="Note 13 5 2" xfId="39762"/>
    <cellStyle name="Note 13 5 2 2" xfId="39763"/>
    <cellStyle name="Note 13 5 3" xfId="39764"/>
    <cellStyle name="Note 13 5 4" xfId="39765"/>
    <cellStyle name="Note 13 5 5" xfId="39766"/>
    <cellStyle name="Note 13 6" xfId="39767"/>
    <cellStyle name="Note 13 6 2" xfId="39768"/>
    <cellStyle name="Note 13 7" xfId="39769"/>
    <cellStyle name="Note 13 8" xfId="39770"/>
    <cellStyle name="Note 13 9" xfId="39771"/>
    <cellStyle name="Note 14" xfId="39772"/>
    <cellStyle name="Note 14 10" xfId="39773"/>
    <cellStyle name="Note 14 2" xfId="39774"/>
    <cellStyle name="Note 14 2 2" xfId="39775"/>
    <cellStyle name="Note 14 2 2 2" xfId="39776"/>
    <cellStyle name="Note 14 2 2 2 2" xfId="39777"/>
    <cellStyle name="Note 14 2 2 2 3" xfId="39778"/>
    <cellStyle name="Note 14 2 2 3" xfId="39779"/>
    <cellStyle name="Note 14 2 2 4" xfId="39780"/>
    <cellStyle name="Note 14 2 2 5" xfId="39781"/>
    <cellStyle name="Note 14 2 2 6" xfId="39782"/>
    <cellStyle name="Note 14 2 3" xfId="39783"/>
    <cellStyle name="Note 14 2 3 2" xfId="39784"/>
    <cellStyle name="Note 14 2 3 2 2" xfId="39785"/>
    <cellStyle name="Note 14 2 3 3" xfId="39786"/>
    <cellStyle name="Note 14 2 3 4" xfId="39787"/>
    <cellStyle name="Note 14 2 3 5" xfId="39788"/>
    <cellStyle name="Note 14 2 4" xfId="39789"/>
    <cellStyle name="Note 14 2 4 2" xfId="39790"/>
    <cellStyle name="Note 14 2 4 3" xfId="39791"/>
    <cellStyle name="Note 14 2 4 4" xfId="39792"/>
    <cellStyle name="Note 14 2 5" xfId="39793"/>
    <cellStyle name="Note 14 2 5 2" xfId="39794"/>
    <cellStyle name="Note 14 2 6" xfId="39795"/>
    <cellStyle name="Note 14 2 7" xfId="39796"/>
    <cellStyle name="Note 14 2 8" xfId="39797"/>
    <cellStyle name="Note 14 2 9" xfId="39798"/>
    <cellStyle name="Note 14 3" xfId="39799"/>
    <cellStyle name="Note 14 3 2" xfId="39800"/>
    <cellStyle name="Note 14 3 2 2" xfId="39801"/>
    <cellStyle name="Note 14 3 2 3" xfId="39802"/>
    <cellStyle name="Note 14 3 3" xfId="39803"/>
    <cellStyle name="Note 14 3 4" xfId="39804"/>
    <cellStyle name="Note 14 3 5" xfId="39805"/>
    <cellStyle name="Note 14 3 6" xfId="39806"/>
    <cellStyle name="Note 14 4" xfId="39807"/>
    <cellStyle name="Note 14 4 2" xfId="39808"/>
    <cellStyle name="Note 14 4 2 2" xfId="39809"/>
    <cellStyle name="Note 14 4 3" xfId="39810"/>
    <cellStyle name="Note 14 4 4" xfId="39811"/>
    <cellStyle name="Note 14 4 5" xfId="39812"/>
    <cellStyle name="Note 14 5" xfId="39813"/>
    <cellStyle name="Note 14 5 2" xfId="39814"/>
    <cellStyle name="Note 14 5 2 2" xfId="39815"/>
    <cellStyle name="Note 14 5 3" xfId="39816"/>
    <cellStyle name="Note 14 5 4" xfId="39817"/>
    <cellStyle name="Note 14 5 5" xfId="39818"/>
    <cellStyle name="Note 14 6" xfId="39819"/>
    <cellStyle name="Note 14 6 2" xfId="39820"/>
    <cellStyle name="Note 14 7" xfId="39821"/>
    <cellStyle name="Note 14 8" xfId="39822"/>
    <cellStyle name="Note 14 9" xfId="39823"/>
    <cellStyle name="Note 15" xfId="39824"/>
    <cellStyle name="Note 15 10" xfId="39825"/>
    <cellStyle name="Note 15 2" xfId="39826"/>
    <cellStyle name="Note 15 2 2" xfId="39827"/>
    <cellStyle name="Note 15 2 2 2" xfId="39828"/>
    <cellStyle name="Note 15 2 2 2 2" xfId="39829"/>
    <cellStyle name="Note 15 2 2 2 3" xfId="39830"/>
    <cellStyle name="Note 15 2 2 3" xfId="39831"/>
    <cellStyle name="Note 15 2 2 4" xfId="39832"/>
    <cellStyle name="Note 15 2 2 5" xfId="39833"/>
    <cellStyle name="Note 15 2 2 6" xfId="39834"/>
    <cellStyle name="Note 15 2 3" xfId="39835"/>
    <cellStyle name="Note 15 2 3 2" xfId="39836"/>
    <cellStyle name="Note 15 2 3 2 2" xfId="39837"/>
    <cellStyle name="Note 15 2 3 3" xfId="39838"/>
    <cellStyle name="Note 15 2 3 4" xfId="39839"/>
    <cellStyle name="Note 15 2 3 5" xfId="39840"/>
    <cellStyle name="Note 15 2 4" xfId="39841"/>
    <cellStyle name="Note 15 2 4 2" xfId="39842"/>
    <cellStyle name="Note 15 2 4 3" xfId="39843"/>
    <cellStyle name="Note 15 2 4 4" xfId="39844"/>
    <cellStyle name="Note 15 2 5" xfId="39845"/>
    <cellStyle name="Note 15 2 5 2" xfId="39846"/>
    <cellStyle name="Note 15 2 6" xfId="39847"/>
    <cellStyle name="Note 15 2 7" xfId="39848"/>
    <cellStyle name="Note 15 2 8" xfId="39849"/>
    <cellStyle name="Note 15 2 9" xfId="39850"/>
    <cellStyle name="Note 15 3" xfId="39851"/>
    <cellStyle name="Note 15 3 2" xfId="39852"/>
    <cellStyle name="Note 15 3 2 2" xfId="39853"/>
    <cellStyle name="Note 15 3 2 3" xfId="39854"/>
    <cellStyle name="Note 15 3 3" xfId="39855"/>
    <cellStyle name="Note 15 3 4" xfId="39856"/>
    <cellStyle name="Note 15 3 5" xfId="39857"/>
    <cellStyle name="Note 15 3 6" xfId="39858"/>
    <cellStyle name="Note 15 4" xfId="39859"/>
    <cellStyle name="Note 15 4 2" xfId="39860"/>
    <cellStyle name="Note 15 4 2 2" xfId="39861"/>
    <cellStyle name="Note 15 4 3" xfId="39862"/>
    <cellStyle name="Note 15 4 4" xfId="39863"/>
    <cellStyle name="Note 15 4 5" xfId="39864"/>
    <cellStyle name="Note 15 5" xfId="39865"/>
    <cellStyle name="Note 15 5 2" xfId="39866"/>
    <cellStyle name="Note 15 5 2 2" xfId="39867"/>
    <cellStyle name="Note 15 5 3" xfId="39868"/>
    <cellStyle name="Note 15 5 4" xfId="39869"/>
    <cellStyle name="Note 15 5 5" xfId="39870"/>
    <cellStyle name="Note 15 6" xfId="39871"/>
    <cellStyle name="Note 15 6 2" xfId="39872"/>
    <cellStyle name="Note 15 7" xfId="39873"/>
    <cellStyle name="Note 15 8" xfId="39874"/>
    <cellStyle name="Note 15 9" xfId="39875"/>
    <cellStyle name="Note 16" xfId="39876"/>
    <cellStyle name="Note 16 10" xfId="39877"/>
    <cellStyle name="Note 16 2" xfId="39878"/>
    <cellStyle name="Note 16 2 2" xfId="39879"/>
    <cellStyle name="Note 16 2 2 2" xfId="39880"/>
    <cellStyle name="Note 16 2 2 2 2" xfId="39881"/>
    <cellStyle name="Note 16 2 2 2 3" xfId="39882"/>
    <cellStyle name="Note 16 2 2 3" xfId="39883"/>
    <cellStyle name="Note 16 2 2 4" xfId="39884"/>
    <cellStyle name="Note 16 2 2 5" xfId="39885"/>
    <cellStyle name="Note 16 2 2 6" xfId="39886"/>
    <cellStyle name="Note 16 2 3" xfId="39887"/>
    <cellStyle name="Note 16 2 3 2" xfId="39888"/>
    <cellStyle name="Note 16 2 3 2 2" xfId="39889"/>
    <cellStyle name="Note 16 2 3 3" xfId="39890"/>
    <cellStyle name="Note 16 2 3 4" xfId="39891"/>
    <cellStyle name="Note 16 2 3 5" xfId="39892"/>
    <cellStyle name="Note 16 2 4" xfId="39893"/>
    <cellStyle name="Note 16 2 4 2" xfId="39894"/>
    <cellStyle name="Note 16 2 4 3" xfId="39895"/>
    <cellStyle name="Note 16 2 4 4" xfId="39896"/>
    <cellStyle name="Note 16 2 5" xfId="39897"/>
    <cellStyle name="Note 16 2 5 2" xfId="39898"/>
    <cellStyle name="Note 16 2 6" xfId="39899"/>
    <cellStyle name="Note 16 2 7" xfId="39900"/>
    <cellStyle name="Note 16 2 8" xfId="39901"/>
    <cellStyle name="Note 16 2 9" xfId="39902"/>
    <cellStyle name="Note 16 3" xfId="39903"/>
    <cellStyle name="Note 16 3 2" xfId="39904"/>
    <cellStyle name="Note 16 3 2 2" xfId="39905"/>
    <cellStyle name="Note 16 3 2 3" xfId="39906"/>
    <cellStyle name="Note 16 3 3" xfId="39907"/>
    <cellStyle name="Note 16 3 4" xfId="39908"/>
    <cellStyle name="Note 16 3 5" xfId="39909"/>
    <cellStyle name="Note 16 3 6" xfId="39910"/>
    <cellStyle name="Note 16 4" xfId="39911"/>
    <cellStyle name="Note 16 4 2" xfId="39912"/>
    <cellStyle name="Note 16 4 2 2" xfId="39913"/>
    <cellStyle name="Note 16 4 3" xfId="39914"/>
    <cellStyle name="Note 16 4 4" xfId="39915"/>
    <cellStyle name="Note 16 4 5" xfId="39916"/>
    <cellStyle name="Note 16 5" xfId="39917"/>
    <cellStyle name="Note 16 5 2" xfId="39918"/>
    <cellStyle name="Note 16 5 2 2" xfId="39919"/>
    <cellStyle name="Note 16 5 3" xfId="39920"/>
    <cellStyle name="Note 16 5 4" xfId="39921"/>
    <cellStyle name="Note 16 5 5" xfId="39922"/>
    <cellStyle name="Note 16 6" xfId="39923"/>
    <cellStyle name="Note 16 6 2" xfId="39924"/>
    <cellStyle name="Note 16 7" xfId="39925"/>
    <cellStyle name="Note 16 8" xfId="39926"/>
    <cellStyle name="Note 16 9" xfId="39927"/>
    <cellStyle name="Note 17" xfId="39928"/>
    <cellStyle name="Note 17 10" xfId="39929"/>
    <cellStyle name="Note 17 2" xfId="39930"/>
    <cellStyle name="Note 17 2 2" xfId="39931"/>
    <cellStyle name="Note 17 2 2 2" xfId="39932"/>
    <cellStyle name="Note 17 2 2 2 2" xfId="39933"/>
    <cellStyle name="Note 17 2 2 2 3" xfId="39934"/>
    <cellStyle name="Note 17 2 2 3" xfId="39935"/>
    <cellStyle name="Note 17 2 2 4" xfId="39936"/>
    <cellStyle name="Note 17 2 2 5" xfId="39937"/>
    <cellStyle name="Note 17 2 2 6" xfId="39938"/>
    <cellStyle name="Note 17 2 3" xfId="39939"/>
    <cellStyle name="Note 17 2 3 2" xfId="39940"/>
    <cellStyle name="Note 17 2 3 2 2" xfId="39941"/>
    <cellStyle name="Note 17 2 3 3" xfId="39942"/>
    <cellStyle name="Note 17 2 3 4" xfId="39943"/>
    <cellStyle name="Note 17 2 3 5" xfId="39944"/>
    <cellStyle name="Note 17 2 4" xfId="39945"/>
    <cellStyle name="Note 17 2 4 2" xfId="39946"/>
    <cellStyle name="Note 17 2 4 3" xfId="39947"/>
    <cellStyle name="Note 17 2 4 4" xfId="39948"/>
    <cellStyle name="Note 17 2 5" xfId="39949"/>
    <cellStyle name="Note 17 2 5 2" xfId="39950"/>
    <cellStyle name="Note 17 2 6" xfId="39951"/>
    <cellStyle name="Note 17 2 7" xfId="39952"/>
    <cellStyle name="Note 17 2 8" xfId="39953"/>
    <cellStyle name="Note 17 2 9" xfId="39954"/>
    <cellStyle name="Note 17 3" xfId="39955"/>
    <cellStyle name="Note 17 3 2" xfId="39956"/>
    <cellStyle name="Note 17 3 2 2" xfId="39957"/>
    <cellStyle name="Note 17 3 2 3" xfId="39958"/>
    <cellStyle name="Note 17 3 3" xfId="39959"/>
    <cellStyle name="Note 17 3 4" xfId="39960"/>
    <cellStyle name="Note 17 3 5" xfId="39961"/>
    <cellStyle name="Note 17 3 6" xfId="39962"/>
    <cellStyle name="Note 17 4" xfId="39963"/>
    <cellStyle name="Note 17 4 2" xfId="39964"/>
    <cellStyle name="Note 17 4 2 2" xfId="39965"/>
    <cellStyle name="Note 17 4 3" xfId="39966"/>
    <cellStyle name="Note 17 4 4" xfId="39967"/>
    <cellStyle name="Note 17 4 5" xfId="39968"/>
    <cellStyle name="Note 17 5" xfId="39969"/>
    <cellStyle name="Note 17 5 2" xfId="39970"/>
    <cellStyle name="Note 17 5 2 2" xfId="39971"/>
    <cellStyle name="Note 17 5 3" xfId="39972"/>
    <cellStyle name="Note 17 5 4" xfId="39973"/>
    <cellStyle name="Note 17 5 5" xfId="39974"/>
    <cellStyle name="Note 17 6" xfId="39975"/>
    <cellStyle name="Note 17 6 2" xfId="39976"/>
    <cellStyle name="Note 17 7" xfId="39977"/>
    <cellStyle name="Note 17 8" xfId="39978"/>
    <cellStyle name="Note 17 9" xfId="39979"/>
    <cellStyle name="Note 18" xfId="39980"/>
    <cellStyle name="Note 18 10" xfId="39981"/>
    <cellStyle name="Note 18 2" xfId="39982"/>
    <cellStyle name="Note 18 2 2" xfId="39983"/>
    <cellStyle name="Note 18 2 2 2" xfId="39984"/>
    <cellStyle name="Note 18 2 2 2 2" xfId="39985"/>
    <cellStyle name="Note 18 2 2 2 3" xfId="39986"/>
    <cellStyle name="Note 18 2 2 3" xfId="39987"/>
    <cellStyle name="Note 18 2 2 4" xfId="39988"/>
    <cellStyle name="Note 18 2 2 5" xfId="39989"/>
    <cellStyle name="Note 18 2 2 6" xfId="39990"/>
    <cellStyle name="Note 18 2 3" xfId="39991"/>
    <cellStyle name="Note 18 2 3 2" xfId="39992"/>
    <cellStyle name="Note 18 2 3 2 2" xfId="39993"/>
    <cellStyle name="Note 18 2 3 3" xfId="39994"/>
    <cellStyle name="Note 18 2 3 4" xfId="39995"/>
    <cellStyle name="Note 18 2 3 5" xfId="39996"/>
    <cellStyle name="Note 18 2 4" xfId="39997"/>
    <cellStyle name="Note 18 2 4 2" xfId="39998"/>
    <cellStyle name="Note 18 2 4 3" xfId="39999"/>
    <cellStyle name="Note 18 2 4 4" xfId="40000"/>
    <cellStyle name="Note 18 2 5" xfId="40001"/>
    <cellStyle name="Note 18 2 5 2" xfId="40002"/>
    <cellStyle name="Note 18 2 6" xfId="40003"/>
    <cellStyle name="Note 18 2 7" xfId="40004"/>
    <cellStyle name="Note 18 2 8" xfId="40005"/>
    <cellStyle name="Note 18 2 9" xfId="40006"/>
    <cellStyle name="Note 18 3" xfId="40007"/>
    <cellStyle name="Note 18 3 2" xfId="40008"/>
    <cellStyle name="Note 18 3 2 2" xfId="40009"/>
    <cellStyle name="Note 18 3 2 3" xfId="40010"/>
    <cellStyle name="Note 18 3 3" xfId="40011"/>
    <cellStyle name="Note 18 3 4" xfId="40012"/>
    <cellStyle name="Note 18 3 5" xfId="40013"/>
    <cellStyle name="Note 18 3 6" xfId="40014"/>
    <cellStyle name="Note 18 4" xfId="40015"/>
    <cellStyle name="Note 18 4 2" xfId="40016"/>
    <cellStyle name="Note 18 4 2 2" xfId="40017"/>
    <cellStyle name="Note 18 4 3" xfId="40018"/>
    <cellStyle name="Note 18 4 4" xfId="40019"/>
    <cellStyle name="Note 18 4 5" xfId="40020"/>
    <cellStyle name="Note 18 5" xfId="40021"/>
    <cellStyle name="Note 18 5 2" xfId="40022"/>
    <cellStyle name="Note 18 5 2 2" xfId="40023"/>
    <cellStyle name="Note 18 5 3" xfId="40024"/>
    <cellStyle name="Note 18 5 4" xfId="40025"/>
    <cellStyle name="Note 18 5 5" xfId="40026"/>
    <cellStyle name="Note 18 6" xfId="40027"/>
    <cellStyle name="Note 18 6 2" xfId="40028"/>
    <cellStyle name="Note 18 7" xfId="40029"/>
    <cellStyle name="Note 18 8" xfId="40030"/>
    <cellStyle name="Note 18 9" xfId="40031"/>
    <cellStyle name="Note 19" xfId="40032"/>
    <cellStyle name="Note 19 10" xfId="40033"/>
    <cellStyle name="Note 19 2" xfId="40034"/>
    <cellStyle name="Note 19 2 2" xfId="40035"/>
    <cellStyle name="Note 19 2 2 2" xfId="40036"/>
    <cellStyle name="Note 19 2 2 2 2" xfId="40037"/>
    <cellStyle name="Note 19 2 2 2 3" xfId="40038"/>
    <cellStyle name="Note 19 2 2 3" xfId="40039"/>
    <cellStyle name="Note 19 2 2 4" xfId="40040"/>
    <cellStyle name="Note 19 2 2 5" xfId="40041"/>
    <cellStyle name="Note 19 2 2 6" xfId="40042"/>
    <cellStyle name="Note 19 2 3" xfId="40043"/>
    <cellStyle name="Note 19 2 3 2" xfId="40044"/>
    <cellStyle name="Note 19 2 3 2 2" xfId="40045"/>
    <cellStyle name="Note 19 2 3 3" xfId="40046"/>
    <cellStyle name="Note 19 2 3 4" xfId="40047"/>
    <cellStyle name="Note 19 2 3 5" xfId="40048"/>
    <cellStyle name="Note 19 2 4" xfId="40049"/>
    <cellStyle name="Note 19 2 4 2" xfId="40050"/>
    <cellStyle name="Note 19 2 4 3" xfId="40051"/>
    <cellStyle name="Note 19 2 4 4" xfId="40052"/>
    <cellStyle name="Note 19 2 5" xfId="40053"/>
    <cellStyle name="Note 19 2 5 2" xfId="40054"/>
    <cellStyle name="Note 19 2 6" xfId="40055"/>
    <cellStyle name="Note 19 2 7" xfId="40056"/>
    <cellStyle name="Note 19 2 8" xfId="40057"/>
    <cellStyle name="Note 19 2 9" xfId="40058"/>
    <cellStyle name="Note 19 3" xfId="40059"/>
    <cellStyle name="Note 19 3 2" xfId="40060"/>
    <cellStyle name="Note 19 3 2 2" xfId="40061"/>
    <cellStyle name="Note 19 3 2 3" xfId="40062"/>
    <cellStyle name="Note 19 3 3" xfId="40063"/>
    <cellStyle name="Note 19 3 4" xfId="40064"/>
    <cellStyle name="Note 19 3 5" xfId="40065"/>
    <cellStyle name="Note 19 3 6" xfId="40066"/>
    <cellStyle name="Note 19 4" xfId="40067"/>
    <cellStyle name="Note 19 4 2" xfId="40068"/>
    <cellStyle name="Note 19 4 2 2" xfId="40069"/>
    <cellStyle name="Note 19 4 3" xfId="40070"/>
    <cellStyle name="Note 19 4 4" xfId="40071"/>
    <cellStyle name="Note 19 4 5" xfId="40072"/>
    <cellStyle name="Note 19 5" xfId="40073"/>
    <cellStyle name="Note 19 5 2" xfId="40074"/>
    <cellStyle name="Note 19 5 2 2" xfId="40075"/>
    <cellStyle name="Note 19 5 3" xfId="40076"/>
    <cellStyle name="Note 19 5 4" xfId="40077"/>
    <cellStyle name="Note 19 5 5" xfId="40078"/>
    <cellStyle name="Note 19 6" xfId="40079"/>
    <cellStyle name="Note 19 6 2" xfId="40080"/>
    <cellStyle name="Note 19 7" xfId="40081"/>
    <cellStyle name="Note 19 8" xfId="40082"/>
    <cellStyle name="Note 19 9" xfId="40083"/>
    <cellStyle name="Note 2" xfId="40084"/>
    <cellStyle name="Note 2 10" xfId="40085"/>
    <cellStyle name="Note 2 10 2" xfId="40086"/>
    <cellStyle name="Note 2 10 2 2" xfId="40087"/>
    <cellStyle name="Note 2 10 2 2 2" xfId="40088"/>
    <cellStyle name="Note 2 10 2 2 3" xfId="40089"/>
    <cellStyle name="Note 2 10 2 3" xfId="40090"/>
    <cellStyle name="Note 2 10 2 4" xfId="40091"/>
    <cellStyle name="Note 2 10 2 5" xfId="40092"/>
    <cellStyle name="Note 2 10 2 6" xfId="40093"/>
    <cellStyle name="Note 2 10 3" xfId="40094"/>
    <cellStyle name="Note 2 10 3 2" xfId="40095"/>
    <cellStyle name="Note 2 10 3 2 2" xfId="40096"/>
    <cellStyle name="Note 2 10 3 3" xfId="40097"/>
    <cellStyle name="Note 2 10 3 4" xfId="40098"/>
    <cellStyle name="Note 2 10 3 5" xfId="40099"/>
    <cellStyle name="Note 2 10 4" xfId="40100"/>
    <cellStyle name="Note 2 10 4 2" xfId="40101"/>
    <cellStyle name="Note 2 10 4 3" xfId="40102"/>
    <cellStyle name="Note 2 10 4 4" xfId="40103"/>
    <cellStyle name="Note 2 10 5" xfId="40104"/>
    <cellStyle name="Note 2 10 5 2" xfId="40105"/>
    <cellStyle name="Note 2 10 6" xfId="40106"/>
    <cellStyle name="Note 2 10 7" xfId="40107"/>
    <cellStyle name="Note 2 10 8" xfId="40108"/>
    <cellStyle name="Note 2 10 9" xfId="40109"/>
    <cellStyle name="Note 2 11" xfId="40110"/>
    <cellStyle name="Note 2 11 2" xfId="40111"/>
    <cellStyle name="Note 2 11 2 2" xfId="40112"/>
    <cellStyle name="Note 2 11 2 2 2" xfId="40113"/>
    <cellStyle name="Note 2 11 2 3" xfId="40114"/>
    <cellStyle name="Note 2 11 2 4" xfId="40115"/>
    <cellStyle name="Note 2 11 2 5" xfId="40116"/>
    <cellStyle name="Note 2 11 3" xfId="40117"/>
    <cellStyle name="Note 2 11 3 2" xfId="40118"/>
    <cellStyle name="Note 2 11 3 3" xfId="40119"/>
    <cellStyle name="Note 2 11 3 4" xfId="40120"/>
    <cellStyle name="Note 2 11 4" xfId="40121"/>
    <cellStyle name="Note 2 11 4 2" xfId="40122"/>
    <cellStyle name="Note 2 11 5" xfId="40123"/>
    <cellStyle name="Note 2 11 6" xfId="40124"/>
    <cellStyle name="Note 2 11 7" xfId="40125"/>
    <cellStyle name="Note 2 11 8" xfId="40126"/>
    <cellStyle name="Note 2 12" xfId="40127"/>
    <cellStyle name="Note 2 12 2" xfId="40128"/>
    <cellStyle name="Note 2 12 2 2" xfId="40129"/>
    <cellStyle name="Note 2 12 2 3" xfId="40130"/>
    <cellStyle name="Note 2 12 3" xfId="40131"/>
    <cellStyle name="Note 2 12 4" xfId="40132"/>
    <cellStyle name="Note 2 12 5" xfId="40133"/>
    <cellStyle name="Note 2 12 6" xfId="40134"/>
    <cellStyle name="Note 2 13" xfId="40135"/>
    <cellStyle name="Note 2 13 2" xfId="40136"/>
    <cellStyle name="Note 2 13 2 2" xfId="40137"/>
    <cellStyle name="Note 2 13 3" xfId="40138"/>
    <cellStyle name="Note 2 13 4" xfId="40139"/>
    <cellStyle name="Note 2 13 5" xfId="40140"/>
    <cellStyle name="Note 2 14" xfId="40141"/>
    <cellStyle name="Note 2 14 2" xfId="40142"/>
    <cellStyle name="Note 2 14 2 2" xfId="40143"/>
    <cellStyle name="Note 2 14 3" xfId="40144"/>
    <cellStyle name="Note 2 14 4" xfId="40145"/>
    <cellStyle name="Note 2 14 5" xfId="40146"/>
    <cellStyle name="Note 2 15" xfId="40147"/>
    <cellStyle name="Note 2 15 2" xfId="40148"/>
    <cellStyle name="Note 2 16" xfId="40149"/>
    <cellStyle name="Note 2 17" xfId="40150"/>
    <cellStyle name="Note 2 18" xfId="40151"/>
    <cellStyle name="Note 2 19" xfId="40152"/>
    <cellStyle name="Note 2 2" xfId="40153"/>
    <cellStyle name="Note 2 2 10" xfId="40154"/>
    <cellStyle name="Note 2 2 2" xfId="40155"/>
    <cellStyle name="Note 2 2 2 2" xfId="40156"/>
    <cellStyle name="Note 2 2 2 2 2" xfId="40157"/>
    <cellStyle name="Note 2 2 2 2 2 2" xfId="40158"/>
    <cellStyle name="Note 2 2 2 2 2 3" xfId="40159"/>
    <cellStyle name="Note 2 2 2 2 3" xfId="40160"/>
    <cellStyle name="Note 2 2 2 2 4" xfId="40161"/>
    <cellStyle name="Note 2 2 2 2 5" xfId="40162"/>
    <cellStyle name="Note 2 2 2 2 6" xfId="40163"/>
    <cellStyle name="Note 2 2 2 3" xfId="40164"/>
    <cellStyle name="Note 2 2 2 3 2" xfId="40165"/>
    <cellStyle name="Note 2 2 2 3 2 2" xfId="40166"/>
    <cellStyle name="Note 2 2 2 3 3" xfId="40167"/>
    <cellStyle name="Note 2 2 2 3 4" xfId="40168"/>
    <cellStyle name="Note 2 2 2 3 5" xfId="40169"/>
    <cellStyle name="Note 2 2 2 4" xfId="40170"/>
    <cellStyle name="Note 2 2 2 4 2" xfId="40171"/>
    <cellStyle name="Note 2 2 2 4 3" xfId="40172"/>
    <cellStyle name="Note 2 2 2 4 4" xfId="40173"/>
    <cellStyle name="Note 2 2 2 5" xfId="40174"/>
    <cellStyle name="Note 2 2 2 5 2" xfId="40175"/>
    <cellStyle name="Note 2 2 2 6" xfId="40176"/>
    <cellStyle name="Note 2 2 2 7" xfId="40177"/>
    <cellStyle name="Note 2 2 2 8" xfId="40178"/>
    <cellStyle name="Note 2 2 2 9" xfId="40179"/>
    <cellStyle name="Note 2 2 3" xfId="40180"/>
    <cellStyle name="Note 2 2 3 2" xfId="40181"/>
    <cellStyle name="Note 2 2 3 2 2" xfId="40182"/>
    <cellStyle name="Note 2 2 3 2 3" xfId="40183"/>
    <cellStyle name="Note 2 2 3 3" xfId="40184"/>
    <cellStyle name="Note 2 2 3 4" xfId="40185"/>
    <cellStyle name="Note 2 2 3 5" xfId="40186"/>
    <cellStyle name="Note 2 2 3 6" xfId="40187"/>
    <cellStyle name="Note 2 2 4" xfId="40188"/>
    <cellStyle name="Note 2 2 4 2" xfId="40189"/>
    <cellStyle name="Note 2 2 4 2 2" xfId="40190"/>
    <cellStyle name="Note 2 2 4 3" xfId="40191"/>
    <cellStyle name="Note 2 2 4 4" xfId="40192"/>
    <cellStyle name="Note 2 2 4 5" xfId="40193"/>
    <cellStyle name="Note 2 2 5" xfId="40194"/>
    <cellStyle name="Note 2 2 5 2" xfId="40195"/>
    <cellStyle name="Note 2 2 5 2 2" xfId="40196"/>
    <cellStyle name="Note 2 2 5 3" xfId="40197"/>
    <cellStyle name="Note 2 2 5 4" xfId="40198"/>
    <cellStyle name="Note 2 2 5 5" xfId="40199"/>
    <cellStyle name="Note 2 2 6" xfId="40200"/>
    <cellStyle name="Note 2 2 6 2" xfId="40201"/>
    <cellStyle name="Note 2 2 7" xfId="40202"/>
    <cellStyle name="Note 2 2 8" xfId="40203"/>
    <cellStyle name="Note 2 2 9" xfId="40204"/>
    <cellStyle name="Note 2 3" xfId="40205"/>
    <cellStyle name="Note 2 3 10" xfId="40206"/>
    <cellStyle name="Note 2 3 2" xfId="40207"/>
    <cellStyle name="Note 2 3 2 2" xfId="40208"/>
    <cellStyle name="Note 2 3 2 2 2" xfId="40209"/>
    <cellStyle name="Note 2 3 2 2 2 2" xfId="40210"/>
    <cellStyle name="Note 2 3 2 2 2 3" xfId="40211"/>
    <cellStyle name="Note 2 3 2 2 3" xfId="40212"/>
    <cellStyle name="Note 2 3 2 2 4" xfId="40213"/>
    <cellStyle name="Note 2 3 2 2 5" xfId="40214"/>
    <cellStyle name="Note 2 3 2 2 6" xfId="40215"/>
    <cellStyle name="Note 2 3 2 3" xfId="40216"/>
    <cellStyle name="Note 2 3 2 3 2" xfId="40217"/>
    <cellStyle name="Note 2 3 2 3 2 2" xfId="40218"/>
    <cellStyle name="Note 2 3 2 3 3" xfId="40219"/>
    <cellStyle name="Note 2 3 2 3 4" xfId="40220"/>
    <cellStyle name="Note 2 3 2 3 5" xfId="40221"/>
    <cellStyle name="Note 2 3 2 4" xfId="40222"/>
    <cellStyle name="Note 2 3 2 4 2" xfId="40223"/>
    <cellStyle name="Note 2 3 2 4 3" xfId="40224"/>
    <cellStyle name="Note 2 3 2 4 4" xfId="40225"/>
    <cellStyle name="Note 2 3 2 5" xfId="40226"/>
    <cellStyle name="Note 2 3 2 5 2" xfId="40227"/>
    <cellStyle name="Note 2 3 2 6" xfId="40228"/>
    <cellStyle name="Note 2 3 2 7" xfId="40229"/>
    <cellStyle name="Note 2 3 2 8" xfId="40230"/>
    <cellStyle name="Note 2 3 2 9" xfId="40231"/>
    <cellStyle name="Note 2 3 3" xfId="40232"/>
    <cellStyle name="Note 2 3 3 2" xfId="40233"/>
    <cellStyle name="Note 2 3 3 2 2" xfId="40234"/>
    <cellStyle name="Note 2 3 3 2 3" xfId="40235"/>
    <cellStyle name="Note 2 3 3 3" xfId="40236"/>
    <cellStyle name="Note 2 3 3 4" xfId="40237"/>
    <cellStyle name="Note 2 3 3 5" xfId="40238"/>
    <cellStyle name="Note 2 3 3 6" xfId="40239"/>
    <cellStyle name="Note 2 3 4" xfId="40240"/>
    <cellStyle name="Note 2 3 4 2" xfId="40241"/>
    <cellStyle name="Note 2 3 4 2 2" xfId="40242"/>
    <cellStyle name="Note 2 3 4 3" xfId="40243"/>
    <cellStyle name="Note 2 3 4 4" xfId="40244"/>
    <cellStyle name="Note 2 3 4 5" xfId="40245"/>
    <cellStyle name="Note 2 3 5" xfId="40246"/>
    <cellStyle name="Note 2 3 5 2" xfId="40247"/>
    <cellStyle name="Note 2 3 5 2 2" xfId="40248"/>
    <cellStyle name="Note 2 3 5 3" xfId="40249"/>
    <cellStyle name="Note 2 3 5 4" xfId="40250"/>
    <cellStyle name="Note 2 3 5 5" xfId="40251"/>
    <cellStyle name="Note 2 3 6" xfId="40252"/>
    <cellStyle name="Note 2 3 6 2" xfId="40253"/>
    <cellStyle name="Note 2 3 7" xfId="40254"/>
    <cellStyle name="Note 2 3 8" xfId="40255"/>
    <cellStyle name="Note 2 3 9" xfId="40256"/>
    <cellStyle name="Note 2 4" xfId="40257"/>
    <cellStyle name="Note 2 4 10" xfId="40258"/>
    <cellStyle name="Note 2 4 2" xfId="40259"/>
    <cellStyle name="Note 2 4 2 2" xfId="40260"/>
    <cellStyle name="Note 2 4 2 2 2" xfId="40261"/>
    <cellStyle name="Note 2 4 2 2 2 2" xfId="40262"/>
    <cellStyle name="Note 2 4 2 2 2 3" xfId="40263"/>
    <cellStyle name="Note 2 4 2 2 3" xfId="40264"/>
    <cellStyle name="Note 2 4 2 2 4" xfId="40265"/>
    <cellStyle name="Note 2 4 2 2 5" xfId="40266"/>
    <cellStyle name="Note 2 4 2 2 6" xfId="40267"/>
    <cellStyle name="Note 2 4 2 3" xfId="40268"/>
    <cellStyle name="Note 2 4 2 3 2" xfId="40269"/>
    <cellStyle name="Note 2 4 2 3 2 2" xfId="40270"/>
    <cellStyle name="Note 2 4 2 3 3" xfId="40271"/>
    <cellStyle name="Note 2 4 2 3 4" xfId="40272"/>
    <cellStyle name="Note 2 4 2 3 5" xfId="40273"/>
    <cellStyle name="Note 2 4 2 4" xfId="40274"/>
    <cellStyle name="Note 2 4 2 4 2" xfId="40275"/>
    <cellStyle name="Note 2 4 2 4 3" xfId="40276"/>
    <cellStyle name="Note 2 4 2 4 4" xfId="40277"/>
    <cellStyle name="Note 2 4 2 5" xfId="40278"/>
    <cellStyle name="Note 2 4 2 5 2" xfId="40279"/>
    <cellStyle name="Note 2 4 2 6" xfId="40280"/>
    <cellStyle name="Note 2 4 2 7" xfId="40281"/>
    <cellStyle name="Note 2 4 2 8" xfId="40282"/>
    <cellStyle name="Note 2 4 2 9" xfId="40283"/>
    <cellStyle name="Note 2 4 3" xfId="40284"/>
    <cellStyle name="Note 2 4 3 2" xfId="40285"/>
    <cellStyle name="Note 2 4 3 2 2" xfId="40286"/>
    <cellStyle name="Note 2 4 3 2 3" xfId="40287"/>
    <cellStyle name="Note 2 4 3 3" xfId="40288"/>
    <cellStyle name="Note 2 4 3 4" xfId="40289"/>
    <cellStyle name="Note 2 4 3 5" xfId="40290"/>
    <cellStyle name="Note 2 4 3 6" xfId="40291"/>
    <cellStyle name="Note 2 4 4" xfId="40292"/>
    <cellStyle name="Note 2 4 4 2" xfId="40293"/>
    <cellStyle name="Note 2 4 4 2 2" xfId="40294"/>
    <cellStyle name="Note 2 4 4 3" xfId="40295"/>
    <cellStyle name="Note 2 4 4 4" xfId="40296"/>
    <cellStyle name="Note 2 4 4 5" xfId="40297"/>
    <cellStyle name="Note 2 4 5" xfId="40298"/>
    <cellStyle name="Note 2 4 5 2" xfId="40299"/>
    <cellStyle name="Note 2 4 5 2 2" xfId="40300"/>
    <cellStyle name="Note 2 4 5 3" xfId="40301"/>
    <cellStyle name="Note 2 4 5 4" xfId="40302"/>
    <cellStyle name="Note 2 4 5 5" xfId="40303"/>
    <cellStyle name="Note 2 4 6" xfId="40304"/>
    <cellStyle name="Note 2 4 6 2" xfId="40305"/>
    <cellStyle name="Note 2 4 7" xfId="40306"/>
    <cellStyle name="Note 2 4 8" xfId="40307"/>
    <cellStyle name="Note 2 4 9" xfId="40308"/>
    <cellStyle name="Note 2 5" xfId="40309"/>
    <cellStyle name="Note 2 5 10" xfId="40310"/>
    <cellStyle name="Note 2 5 2" xfId="40311"/>
    <cellStyle name="Note 2 5 2 2" xfId="40312"/>
    <cellStyle name="Note 2 5 2 2 2" xfId="40313"/>
    <cellStyle name="Note 2 5 2 2 2 2" xfId="40314"/>
    <cellStyle name="Note 2 5 2 2 2 3" xfId="40315"/>
    <cellStyle name="Note 2 5 2 2 3" xfId="40316"/>
    <cellStyle name="Note 2 5 2 2 4" xfId="40317"/>
    <cellStyle name="Note 2 5 2 2 5" xfId="40318"/>
    <cellStyle name="Note 2 5 2 2 6" xfId="40319"/>
    <cellStyle name="Note 2 5 2 3" xfId="40320"/>
    <cellStyle name="Note 2 5 2 3 2" xfId="40321"/>
    <cellStyle name="Note 2 5 2 3 2 2" xfId="40322"/>
    <cellStyle name="Note 2 5 2 3 3" xfId="40323"/>
    <cellStyle name="Note 2 5 2 3 4" xfId="40324"/>
    <cellStyle name="Note 2 5 2 3 5" xfId="40325"/>
    <cellStyle name="Note 2 5 2 4" xfId="40326"/>
    <cellStyle name="Note 2 5 2 4 2" xfId="40327"/>
    <cellStyle name="Note 2 5 2 4 3" xfId="40328"/>
    <cellStyle name="Note 2 5 2 4 4" xfId="40329"/>
    <cellStyle name="Note 2 5 2 5" xfId="40330"/>
    <cellStyle name="Note 2 5 2 5 2" xfId="40331"/>
    <cellStyle name="Note 2 5 2 6" xfId="40332"/>
    <cellStyle name="Note 2 5 2 7" xfId="40333"/>
    <cellStyle name="Note 2 5 2 8" xfId="40334"/>
    <cellStyle name="Note 2 5 2 9" xfId="40335"/>
    <cellStyle name="Note 2 5 3" xfId="40336"/>
    <cellStyle name="Note 2 5 3 2" xfId="40337"/>
    <cellStyle name="Note 2 5 3 2 2" xfId="40338"/>
    <cellStyle name="Note 2 5 3 2 3" xfId="40339"/>
    <cellStyle name="Note 2 5 3 3" xfId="40340"/>
    <cellStyle name="Note 2 5 3 4" xfId="40341"/>
    <cellStyle name="Note 2 5 3 5" xfId="40342"/>
    <cellStyle name="Note 2 5 3 6" xfId="40343"/>
    <cellStyle name="Note 2 5 4" xfId="40344"/>
    <cellStyle name="Note 2 5 4 2" xfId="40345"/>
    <cellStyle name="Note 2 5 4 2 2" xfId="40346"/>
    <cellStyle name="Note 2 5 4 3" xfId="40347"/>
    <cellStyle name="Note 2 5 4 4" xfId="40348"/>
    <cellStyle name="Note 2 5 4 5" xfId="40349"/>
    <cellStyle name="Note 2 5 5" xfId="40350"/>
    <cellStyle name="Note 2 5 5 2" xfId="40351"/>
    <cellStyle name="Note 2 5 5 2 2" xfId="40352"/>
    <cellStyle name="Note 2 5 5 3" xfId="40353"/>
    <cellStyle name="Note 2 5 5 4" xfId="40354"/>
    <cellStyle name="Note 2 5 5 5" xfId="40355"/>
    <cellStyle name="Note 2 5 6" xfId="40356"/>
    <cellStyle name="Note 2 5 6 2" xfId="40357"/>
    <cellStyle name="Note 2 5 7" xfId="40358"/>
    <cellStyle name="Note 2 5 8" xfId="40359"/>
    <cellStyle name="Note 2 5 9" xfId="40360"/>
    <cellStyle name="Note 2 6" xfId="40361"/>
    <cellStyle name="Note 2 6 10" xfId="40362"/>
    <cellStyle name="Note 2 6 2" xfId="40363"/>
    <cellStyle name="Note 2 6 2 2" xfId="40364"/>
    <cellStyle name="Note 2 6 2 2 2" xfId="40365"/>
    <cellStyle name="Note 2 6 2 2 2 2" xfId="40366"/>
    <cellStyle name="Note 2 6 2 2 2 3" xfId="40367"/>
    <cellStyle name="Note 2 6 2 2 3" xfId="40368"/>
    <cellStyle name="Note 2 6 2 2 4" xfId="40369"/>
    <cellStyle name="Note 2 6 2 2 5" xfId="40370"/>
    <cellStyle name="Note 2 6 2 2 6" xfId="40371"/>
    <cellStyle name="Note 2 6 2 3" xfId="40372"/>
    <cellStyle name="Note 2 6 2 3 2" xfId="40373"/>
    <cellStyle name="Note 2 6 2 3 2 2" xfId="40374"/>
    <cellStyle name="Note 2 6 2 3 3" xfId="40375"/>
    <cellStyle name="Note 2 6 2 3 4" xfId="40376"/>
    <cellStyle name="Note 2 6 2 3 5" xfId="40377"/>
    <cellStyle name="Note 2 6 2 4" xfId="40378"/>
    <cellStyle name="Note 2 6 2 4 2" xfId="40379"/>
    <cellStyle name="Note 2 6 2 4 3" xfId="40380"/>
    <cellStyle name="Note 2 6 2 4 4" xfId="40381"/>
    <cellStyle name="Note 2 6 2 5" xfId="40382"/>
    <cellStyle name="Note 2 6 2 5 2" xfId="40383"/>
    <cellStyle name="Note 2 6 2 6" xfId="40384"/>
    <cellStyle name="Note 2 6 2 7" xfId="40385"/>
    <cellStyle name="Note 2 6 2 8" xfId="40386"/>
    <cellStyle name="Note 2 6 2 9" xfId="40387"/>
    <cellStyle name="Note 2 6 3" xfId="40388"/>
    <cellStyle name="Note 2 6 3 2" xfId="40389"/>
    <cellStyle name="Note 2 6 3 2 2" xfId="40390"/>
    <cellStyle name="Note 2 6 3 2 3" xfId="40391"/>
    <cellStyle name="Note 2 6 3 3" xfId="40392"/>
    <cellStyle name="Note 2 6 3 4" xfId="40393"/>
    <cellStyle name="Note 2 6 3 5" xfId="40394"/>
    <cellStyle name="Note 2 6 3 6" xfId="40395"/>
    <cellStyle name="Note 2 6 4" xfId="40396"/>
    <cellStyle name="Note 2 6 4 2" xfId="40397"/>
    <cellStyle name="Note 2 6 4 2 2" xfId="40398"/>
    <cellStyle name="Note 2 6 4 3" xfId="40399"/>
    <cellStyle name="Note 2 6 4 4" xfId="40400"/>
    <cellStyle name="Note 2 6 4 5" xfId="40401"/>
    <cellStyle name="Note 2 6 5" xfId="40402"/>
    <cellStyle name="Note 2 6 5 2" xfId="40403"/>
    <cellStyle name="Note 2 6 5 2 2" xfId="40404"/>
    <cellStyle name="Note 2 6 5 3" xfId="40405"/>
    <cellStyle name="Note 2 6 5 4" xfId="40406"/>
    <cellStyle name="Note 2 6 5 5" xfId="40407"/>
    <cellStyle name="Note 2 6 6" xfId="40408"/>
    <cellStyle name="Note 2 6 6 2" xfId="40409"/>
    <cellStyle name="Note 2 6 7" xfId="40410"/>
    <cellStyle name="Note 2 6 8" xfId="40411"/>
    <cellStyle name="Note 2 6 9" xfId="40412"/>
    <cellStyle name="Note 2 7" xfId="40413"/>
    <cellStyle name="Note 2 7 10" xfId="40414"/>
    <cellStyle name="Note 2 7 2" xfId="40415"/>
    <cellStyle name="Note 2 7 2 2" xfId="40416"/>
    <cellStyle name="Note 2 7 2 2 2" xfId="40417"/>
    <cellStyle name="Note 2 7 2 2 2 2" xfId="40418"/>
    <cellStyle name="Note 2 7 2 2 2 3" xfId="40419"/>
    <cellStyle name="Note 2 7 2 2 3" xfId="40420"/>
    <cellStyle name="Note 2 7 2 2 4" xfId="40421"/>
    <cellStyle name="Note 2 7 2 2 5" xfId="40422"/>
    <cellStyle name="Note 2 7 2 2 6" xfId="40423"/>
    <cellStyle name="Note 2 7 2 3" xfId="40424"/>
    <cellStyle name="Note 2 7 2 3 2" xfId="40425"/>
    <cellStyle name="Note 2 7 2 3 2 2" xfId="40426"/>
    <cellStyle name="Note 2 7 2 3 3" xfId="40427"/>
    <cellStyle name="Note 2 7 2 3 4" xfId="40428"/>
    <cellStyle name="Note 2 7 2 3 5" xfId="40429"/>
    <cellStyle name="Note 2 7 2 4" xfId="40430"/>
    <cellStyle name="Note 2 7 2 4 2" xfId="40431"/>
    <cellStyle name="Note 2 7 2 4 3" xfId="40432"/>
    <cellStyle name="Note 2 7 2 4 4" xfId="40433"/>
    <cellStyle name="Note 2 7 2 5" xfId="40434"/>
    <cellStyle name="Note 2 7 2 5 2" xfId="40435"/>
    <cellStyle name="Note 2 7 2 6" xfId="40436"/>
    <cellStyle name="Note 2 7 2 7" xfId="40437"/>
    <cellStyle name="Note 2 7 2 8" xfId="40438"/>
    <cellStyle name="Note 2 7 2 9" xfId="40439"/>
    <cellStyle name="Note 2 7 3" xfId="40440"/>
    <cellStyle name="Note 2 7 3 2" xfId="40441"/>
    <cellStyle name="Note 2 7 3 2 2" xfId="40442"/>
    <cellStyle name="Note 2 7 3 2 3" xfId="40443"/>
    <cellStyle name="Note 2 7 3 3" xfId="40444"/>
    <cellStyle name="Note 2 7 3 4" xfId="40445"/>
    <cellStyle name="Note 2 7 3 5" xfId="40446"/>
    <cellStyle name="Note 2 7 3 6" xfId="40447"/>
    <cellStyle name="Note 2 7 4" xfId="40448"/>
    <cellStyle name="Note 2 7 4 2" xfId="40449"/>
    <cellStyle name="Note 2 7 4 2 2" xfId="40450"/>
    <cellStyle name="Note 2 7 4 3" xfId="40451"/>
    <cellStyle name="Note 2 7 4 4" xfId="40452"/>
    <cellStyle name="Note 2 7 4 5" xfId="40453"/>
    <cellStyle name="Note 2 7 5" xfId="40454"/>
    <cellStyle name="Note 2 7 5 2" xfId="40455"/>
    <cellStyle name="Note 2 7 5 2 2" xfId="40456"/>
    <cellStyle name="Note 2 7 5 3" xfId="40457"/>
    <cellStyle name="Note 2 7 5 4" xfId="40458"/>
    <cellStyle name="Note 2 7 5 5" xfId="40459"/>
    <cellStyle name="Note 2 7 6" xfId="40460"/>
    <cellStyle name="Note 2 7 6 2" xfId="40461"/>
    <cellStyle name="Note 2 7 7" xfId="40462"/>
    <cellStyle name="Note 2 7 8" xfId="40463"/>
    <cellStyle name="Note 2 7 9" xfId="40464"/>
    <cellStyle name="Note 2 8" xfId="40465"/>
    <cellStyle name="Note 2 8 10" xfId="40466"/>
    <cellStyle name="Note 2 8 2" xfId="40467"/>
    <cellStyle name="Note 2 8 2 2" xfId="40468"/>
    <cellStyle name="Note 2 8 2 2 2" xfId="40469"/>
    <cellStyle name="Note 2 8 2 2 2 2" xfId="40470"/>
    <cellStyle name="Note 2 8 2 2 2 3" xfId="40471"/>
    <cellStyle name="Note 2 8 2 2 3" xfId="40472"/>
    <cellStyle name="Note 2 8 2 2 4" xfId="40473"/>
    <cellStyle name="Note 2 8 2 2 5" xfId="40474"/>
    <cellStyle name="Note 2 8 2 2 6" xfId="40475"/>
    <cellStyle name="Note 2 8 2 3" xfId="40476"/>
    <cellStyle name="Note 2 8 2 3 2" xfId="40477"/>
    <cellStyle name="Note 2 8 2 3 2 2" xfId="40478"/>
    <cellStyle name="Note 2 8 2 3 3" xfId="40479"/>
    <cellStyle name="Note 2 8 2 3 4" xfId="40480"/>
    <cellStyle name="Note 2 8 2 3 5" xfId="40481"/>
    <cellStyle name="Note 2 8 2 4" xfId="40482"/>
    <cellStyle name="Note 2 8 2 4 2" xfId="40483"/>
    <cellStyle name="Note 2 8 2 4 3" xfId="40484"/>
    <cellStyle name="Note 2 8 2 4 4" xfId="40485"/>
    <cellStyle name="Note 2 8 2 5" xfId="40486"/>
    <cellStyle name="Note 2 8 2 5 2" xfId="40487"/>
    <cellStyle name="Note 2 8 2 6" xfId="40488"/>
    <cellStyle name="Note 2 8 2 7" xfId="40489"/>
    <cellStyle name="Note 2 8 2 8" xfId="40490"/>
    <cellStyle name="Note 2 8 2 9" xfId="40491"/>
    <cellStyle name="Note 2 8 3" xfId="40492"/>
    <cellStyle name="Note 2 8 3 2" xfId="40493"/>
    <cellStyle name="Note 2 8 3 2 2" xfId="40494"/>
    <cellStyle name="Note 2 8 3 2 3" xfId="40495"/>
    <cellStyle name="Note 2 8 3 3" xfId="40496"/>
    <cellStyle name="Note 2 8 3 4" xfId="40497"/>
    <cellStyle name="Note 2 8 3 5" xfId="40498"/>
    <cellStyle name="Note 2 8 3 6" xfId="40499"/>
    <cellStyle name="Note 2 8 4" xfId="40500"/>
    <cellStyle name="Note 2 8 4 2" xfId="40501"/>
    <cellStyle name="Note 2 8 4 2 2" xfId="40502"/>
    <cellStyle name="Note 2 8 4 3" xfId="40503"/>
    <cellStyle name="Note 2 8 4 4" xfId="40504"/>
    <cellStyle name="Note 2 8 4 5" xfId="40505"/>
    <cellStyle name="Note 2 8 5" xfId="40506"/>
    <cellStyle name="Note 2 8 5 2" xfId="40507"/>
    <cellStyle name="Note 2 8 5 2 2" xfId="40508"/>
    <cellStyle name="Note 2 8 5 3" xfId="40509"/>
    <cellStyle name="Note 2 8 5 4" xfId="40510"/>
    <cellStyle name="Note 2 8 5 5" xfId="40511"/>
    <cellStyle name="Note 2 8 6" xfId="40512"/>
    <cellStyle name="Note 2 8 6 2" xfId="40513"/>
    <cellStyle name="Note 2 8 7" xfId="40514"/>
    <cellStyle name="Note 2 8 8" xfId="40515"/>
    <cellStyle name="Note 2 8 9" xfId="40516"/>
    <cellStyle name="Note 2 9" xfId="40517"/>
    <cellStyle name="Note 2 9 10" xfId="40518"/>
    <cellStyle name="Note 2 9 2" xfId="40519"/>
    <cellStyle name="Note 2 9 2 2" xfId="40520"/>
    <cellStyle name="Note 2 9 2 2 2" xfId="40521"/>
    <cellStyle name="Note 2 9 2 2 2 2" xfId="40522"/>
    <cellStyle name="Note 2 9 2 2 2 3" xfId="40523"/>
    <cellStyle name="Note 2 9 2 2 3" xfId="40524"/>
    <cellStyle name="Note 2 9 2 2 4" xfId="40525"/>
    <cellStyle name="Note 2 9 2 2 5" xfId="40526"/>
    <cellStyle name="Note 2 9 2 2 6" xfId="40527"/>
    <cellStyle name="Note 2 9 2 3" xfId="40528"/>
    <cellStyle name="Note 2 9 2 3 2" xfId="40529"/>
    <cellStyle name="Note 2 9 2 3 2 2" xfId="40530"/>
    <cellStyle name="Note 2 9 2 3 3" xfId="40531"/>
    <cellStyle name="Note 2 9 2 3 4" xfId="40532"/>
    <cellStyle name="Note 2 9 2 3 5" xfId="40533"/>
    <cellStyle name="Note 2 9 2 4" xfId="40534"/>
    <cellStyle name="Note 2 9 2 4 2" xfId="40535"/>
    <cellStyle name="Note 2 9 2 4 3" xfId="40536"/>
    <cellStyle name="Note 2 9 2 4 4" xfId="40537"/>
    <cellStyle name="Note 2 9 2 5" xfId="40538"/>
    <cellStyle name="Note 2 9 2 5 2" xfId="40539"/>
    <cellStyle name="Note 2 9 2 6" xfId="40540"/>
    <cellStyle name="Note 2 9 2 7" xfId="40541"/>
    <cellStyle name="Note 2 9 2 8" xfId="40542"/>
    <cellStyle name="Note 2 9 2 9" xfId="40543"/>
    <cellStyle name="Note 2 9 3" xfId="40544"/>
    <cellStyle name="Note 2 9 3 2" xfId="40545"/>
    <cellStyle name="Note 2 9 3 2 2" xfId="40546"/>
    <cellStyle name="Note 2 9 3 2 3" xfId="40547"/>
    <cellStyle name="Note 2 9 3 3" xfId="40548"/>
    <cellStyle name="Note 2 9 3 4" xfId="40549"/>
    <cellStyle name="Note 2 9 3 5" xfId="40550"/>
    <cellStyle name="Note 2 9 3 6" xfId="40551"/>
    <cellStyle name="Note 2 9 4" xfId="40552"/>
    <cellStyle name="Note 2 9 4 2" xfId="40553"/>
    <cellStyle name="Note 2 9 4 2 2" xfId="40554"/>
    <cellStyle name="Note 2 9 4 3" xfId="40555"/>
    <cellStyle name="Note 2 9 4 4" xfId="40556"/>
    <cellStyle name="Note 2 9 4 5" xfId="40557"/>
    <cellStyle name="Note 2 9 5" xfId="40558"/>
    <cellStyle name="Note 2 9 5 2" xfId="40559"/>
    <cellStyle name="Note 2 9 5 3" xfId="40560"/>
    <cellStyle name="Note 2 9 5 4" xfId="40561"/>
    <cellStyle name="Note 2 9 6" xfId="40562"/>
    <cellStyle name="Note 2 9 6 2" xfId="40563"/>
    <cellStyle name="Note 2 9 7" xfId="40564"/>
    <cellStyle name="Note 2 9 8" xfId="40565"/>
    <cellStyle name="Note 2 9 9" xfId="40566"/>
    <cellStyle name="Note 20" xfId="40567"/>
    <cellStyle name="Note 20 10" xfId="40568"/>
    <cellStyle name="Note 20 2" xfId="40569"/>
    <cellStyle name="Note 20 2 2" xfId="40570"/>
    <cellStyle name="Note 20 2 2 2" xfId="40571"/>
    <cellStyle name="Note 20 2 2 2 2" xfId="40572"/>
    <cellStyle name="Note 20 2 2 2 3" xfId="40573"/>
    <cellStyle name="Note 20 2 2 3" xfId="40574"/>
    <cellStyle name="Note 20 2 2 4" xfId="40575"/>
    <cellStyle name="Note 20 2 2 5" xfId="40576"/>
    <cellStyle name="Note 20 2 2 6" xfId="40577"/>
    <cellStyle name="Note 20 2 3" xfId="40578"/>
    <cellStyle name="Note 20 2 3 2" xfId="40579"/>
    <cellStyle name="Note 20 2 3 2 2" xfId="40580"/>
    <cellStyle name="Note 20 2 3 3" xfId="40581"/>
    <cellStyle name="Note 20 2 3 4" xfId="40582"/>
    <cellStyle name="Note 20 2 3 5" xfId="40583"/>
    <cellStyle name="Note 20 2 4" xfId="40584"/>
    <cellStyle name="Note 20 2 4 2" xfId="40585"/>
    <cellStyle name="Note 20 2 4 3" xfId="40586"/>
    <cellStyle name="Note 20 2 4 4" xfId="40587"/>
    <cellStyle name="Note 20 2 5" xfId="40588"/>
    <cellStyle name="Note 20 2 5 2" xfId="40589"/>
    <cellStyle name="Note 20 2 6" xfId="40590"/>
    <cellStyle name="Note 20 2 7" xfId="40591"/>
    <cellStyle name="Note 20 2 8" xfId="40592"/>
    <cellStyle name="Note 20 2 9" xfId="40593"/>
    <cellStyle name="Note 20 3" xfId="40594"/>
    <cellStyle name="Note 20 3 2" xfId="40595"/>
    <cellStyle name="Note 20 3 2 2" xfId="40596"/>
    <cellStyle name="Note 20 3 2 3" xfId="40597"/>
    <cellStyle name="Note 20 3 3" xfId="40598"/>
    <cellStyle name="Note 20 3 4" xfId="40599"/>
    <cellStyle name="Note 20 3 5" xfId="40600"/>
    <cellStyle name="Note 20 3 6" xfId="40601"/>
    <cellStyle name="Note 20 4" xfId="40602"/>
    <cellStyle name="Note 20 4 2" xfId="40603"/>
    <cellStyle name="Note 20 4 2 2" xfId="40604"/>
    <cellStyle name="Note 20 4 3" xfId="40605"/>
    <cellStyle name="Note 20 4 4" xfId="40606"/>
    <cellStyle name="Note 20 4 5" xfId="40607"/>
    <cellStyle name="Note 20 5" xfId="40608"/>
    <cellStyle name="Note 20 5 2" xfId="40609"/>
    <cellStyle name="Note 20 5 2 2" xfId="40610"/>
    <cellStyle name="Note 20 5 3" xfId="40611"/>
    <cellStyle name="Note 20 5 4" xfId="40612"/>
    <cellStyle name="Note 20 5 5" xfId="40613"/>
    <cellStyle name="Note 20 6" xfId="40614"/>
    <cellStyle name="Note 20 6 2" xfId="40615"/>
    <cellStyle name="Note 20 7" xfId="40616"/>
    <cellStyle name="Note 20 8" xfId="40617"/>
    <cellStyle name="Note 20 9" xfId="40618"/>
    <cellStyle name="Note 21" xfId="40619"/>
    <cellStyle name="Note 22" xfId="40620"/>
    <cellStyle name="Note 23" xfId="40621"/>
    <cellStyle name="Note 24" xfId="40622"/>
    <cellStyle name="Note 24 10" xfId="40623"/>
    <cellStyle name="Note 24 2" xfId="40624"/>
    <cellStyle name="Note 24 2 2" xfId="40625"/>
    <cellStyle name="Note 24 2 2 2" xfId="40626"/>
    <cellStyle name="Note 24 2 2 2 2" xfId="40627"/>
    <cellStyle name="Note 24 2 2 2 3" xfId="40628"/>
    <cellStyle name="Note 24 2 2 3" xfId="40629"/>
    <cellStyle name="Note 24 2 2 4" xfId="40630"/>
    <cellStyle name="Note 24 2 2 5" xfId="40631"/>
    <cellStyle name="Note 24 2 2 6" xfId="40632"/>
    <cellStyle name="Note 24 2 3" xfId="40633"/>
    <cellStyle name="Note 24 2 3 2" xfId="40634"/>
    <cellStyle name="Note 24 2 3 2 2" xfId="40635"/>
    <cellStyle name="Note 24 2 3 3" xfId="40636"/>
    <cellStyle name="Note 24 2 3 4" xfId="40637"/>
    <cellStyle name="Note 24 2 3 5" xfId="40638"/>
    <cellStyle name="Note 24 2 4" xfId="40639"/>
    <cellStyle name="Note 24 2 4 2" xfId="40640"/>
    <cellStyle name="Note 24 2 4 3" xfId="40641"/>
    <cellStyle name="Note 24 2 4 4" xfId="40642"/>
    <cellStyle name="Note 24 2 5" xfId="40643"/>
    <cellStyle name="Note 24 2 5 2" xfId="40644"/>
    <cellStyle name="Note 24 2 6" xfId="40645"/>
    <cellStyle name="Note 24 2 7" xfId="40646"/>
    <cellStyle name="Note 24 2 8" xfId="40647"/>
    <cellStyle name="Note 24 2 9" xfId="40648"/>
    <cellStyle name="Note 24 3" xfId="40649"/>
    <cellStyle name="Note 24 3 2" xfId="40650"/>
    <cellStyle name="Note 24 3 2 2" xfId="40651"/>
    <cellStyle name="Note 24 3 2 3" xfId="40652"/>
    <cellStyle name="Note 24 3 3" xfId="40653"/>
    <cellStyle name="Note 24 3 4" xfId="40654"/>
    <cellStyle name="Note 24 3 5" xfId="40655"/>
    <cellStyle name="Note 24 3 6" xfId="40656"/>
    <cellStyle name="Note 24 4" xfId="40657"/>
    <cellStyle name="Note 24 4 2" xfId="40658"/>
    <cellStyle name="Note 24 4 2 2" xfId="40659"/>
    <cellStyle name="Note 24 4 3" xfId="40660"/>
    <cellStyle name="Note 24 4 4" xfId="40661"/>
    <cellStyle name="Note 24 4 5" xfId="40662"/>
    <cellStyle name="Note 24 5" xfId="40663"/>
    <cellStyle name="Note 24 5 2" xfId="40664"/>
    <cellStyle name="Note 24 5 3" xfId="40665"/>
    <cellStyle name="Note 24 5 4" xfId="40666"/>
    <cellStyle name="Note 24 6" xfId="40667"/>
    <cellStyle name="Note 24 6 2" xfId="40668"/>
    <cellStyle name="Note 24 7" xfId="40669"/>
    <cellStyle name="Note 24 8" xfId="40670"/>
    <cellStyle name="Note 24 9" xfId="40671"/>
    <cellStyle name="Note 25" xfId="40672"/>
    <cellStyle name="Note 25 2" xfId="40673"/>
    <cellStyle name="Note 25 2 2" xfId="40674"/>
    <cellStyle name="Note 25 2 2 2" xfId="40675"/>
    <cellStyle name="Note 25 2 2 3" xfId="40676"/>
    <cellStyle name="Note 25 2 3" xfId="40677"/>
    <cellStyle name="Note 25 2 4" xfId="40678"/>
    <cellStyle name="Note 25 2 5" xfId="40679"/>
    <cellStyle name="Note 25 2 6" xfId="40680"/>
    <cellStyle name="Note 25 3" xfId="40681"/>
    <cellStyle name="Note 25 3 2" xfId="40682"/>
    <cellStyle name="Note 25 3 2 2" xfId="40683"/>
    <cellStyle name="Note 25 3 3" xfId="40684"/>
    <cellStyle name="Note 25 3 4" xfId="40685"/>
    <cellStyle name="Note 25 3 5" xfId="40686"/>
    <cellStyle name="Note 25 4" xfId="40687"/>
    <cellStyle name="Note 25 4 2" xfId="40688"/>
    <cellStyle name="Note 25 4 3" xfId="40689"/>
    <cellStyle name="Note 25 4 4" xfId="40690"/>
    <cellStyle name="Note 25 5" xfId="40691"/>
    <cellStyle name="Note 25 5 2" xfId="40692"/>
    <cellStyle name="Note 25 6" xfId="40693"/>
    <cellStyle name="Note 25 7" xfId="40694"/>
    <cellStyle name="Note 25 8" xfId="40695"/>
    <cellStyle name="Note 25 9" xfId="40696"/>
    <cellStyle name="Note 26" xfId="40697"/>
    <cellStyle name="Note 26 2" xfId="40698"/>
    <cellStyle name="Note 26 2 2" xfId="40699"/>
    <cellStyle name="Note 26 2 2 2" xfId="40700"/>
    <cellStyle name="Note 26 2 3" xfId="40701"/>
    <cellStyle name="Note 26 2 4" xfId="40702"/>
    <cellStyle name="Note 26 2 5" xfId="40703"/>
    <cellStyle name="Note 26 3" xfId="40704"/>
    <cellStyle name="Note 26 3 2" xfId="40705"/>
    <cellStyle name="Note 26 3 3" xfId="40706"/>
    <cellStyle name="Note 26 3 4" xfId="40707"/>
    <cellStyle name="Note 26 4" xfId="40708"/>
    <cellStyle name="Note 26 4 2" xfId="40709"/>
    <cellStyle name="Note 26 5" xfId="40710"/>
    <cellStyle name="Note 26 6" xfId="40711"/>
    <cellStyle name="Note 26 7" xfId="40712"/>
    <cellStyle name="Note 26 8" xfId="40713"/>
    <cellStyle name="Note 27" xfId="40714"/>
    <cellStyle name="Note 27 2" xfId="40715"/>
    <cellStyle name="Note 27 2 2" xfId="40716"/>
    <cellStyle name="Note 27 2 2 2" xfId="40717"/>
    <cellStyle name="Note 27 2 3" xfId="40718"/>
    <cellStyle name="Note 27 2 4" xfId="40719"/>
    <cellStyle name="Note 27 2 5" xfId="40720"/>
    <cellStyle name="Note 27 3" xfId="40721"/>
    <cellStyle name="Note 27 3 2" xfId="40722"/>
    <cellStyle name="Note 27 3 3" xfId="40723"/>
    <cellStyle name="Note 27 3 4" xfId="40724"/>
    <cellStyle name="Note 27 4" xfId="40725"/>
    <cellStyle name="Note 27 4 2" xfId="40726"/>
    <cellStyle name="Note 27 5" xfId="40727"/>
    <cellStyle name="Note 27 6" xfId="40728"/>
    <cellStyle name="Note 27 7" xfId="40729"/>
    <cellStyle name="Note 27 8" xfId="40730"/>
    <cellStyle name="Note 28" xfId="40731"/>
    <cellStyle name="Note 28 2" xfId="40732"/>
    <cellStyle name="Note 28 2 2" xfId="40733"/>
    <cellStyle name="Note 28 2 3" xfId="40734"/>
    <cellStyle name="Note 28 2 4" xfId="40735"/>
    <cellStyle name="Note 28 3" xfId="40736"/>
    <cellStyle name="Note 28 3 2" xfId="40737"/>
    <cellStyle name="Note 28 4" xfId="40738"/>
    <cellStyle name="Note 28 5" xfId="40739"/>
    <cellStyle name="Note 28 6" xfId="40740"/>
    <cellStyle name="Note 29" xfId="40741"/>
    <cellStyle name="Note 29 2" xfId="40742"/>
    <cellStyle name="Note 29 2 2" xfId="40743"/>
    <cellStyle name="Note 29 2 3" xfId="40744"/>
    <cellStyle name="Note 29 2 4" xfId="40745"/>
    <cellStyle name="Note 29 3" xfId="40746"/>
    <cellStyle name="Note 29 3 2" xfId="40747"/>
    <cellStyle name="Note 29 4" xfId="40748"/>
    <cellStyle name="Note 29 5" xfId="40749"/>
    <cellStyle name="Note 29 6" xfId="40750"/>
    <cellStyle name="Note 3" xfId="40751"/>
    <cellStyle name="Note 3 10" xfId="40752"/>
    <cellStyle name="Note 3 10 2" xfId="40753"/>
    <cellStyle name="Note 3 10 2 2" xfId="40754"/>
    <cellStyle name="Note 3 10 2 2 2" xfId="40755"/>
    <cellStyle name="Note 3 10 2 2 3" xfId="40756"/>
    <cellStyle name="Note 3 10 2 3" xfId="40757"/>
    <cellStyle name="Note 3 10 2 4" xfId="40758"/>
    <cellStyle name="Note 3 10 2 5" xfId="40759"/>
    <cellStyle name="Note 3 10 2 6" xfId="40760"/>
    <cellStyle name="Note 3 10 3" xfId="40761"/>
    <cellStyle name="Note 3 10 3 2" xfId="40762"/>
    <cellStyle name="Note 3 10 3 2 2" xfId="40763"/>
    <cellStyle name="Note 3 10 3 3" xfId="40764"/>
    <cellStyle name="Note 3 10 3 4" xfId="40765"/>
    <cellStyle name="Note 3 10 3 5" xfId="40766"/>
    <cellStyle name="Note 3 10 4" xfId="40767"/>
    <cellStyle name="Note 3 10 4 2" xfId="40768"/>
    <cellStyle name="Note 3 10 4 3" xfId="40769"/>
    <cellStyle name="Note 3 10 4 4" xfId="40770"/>
    <cellStyle name="Note 3 10 5" xfId="40771"/>
    <cellStyle name="Note 3 10 5 2" xfId="40772"/>
    <cellStyle name="Note 3 10 6" xfId="40773"/>
    <cellStyle name="Note 3 10 7" xfId="40774"/>
    <cellStyle name="Note 3 10 8" xfId="40775"/>
    <cellStyle name="Note 3 10 9" xfId="40776"/>
    <cellStyle name="Note 3 11" xfId="40777"/>
    <cellStyle name="Note 3 11 2" xfId="40778"/>
    <cellStyle name="Note 3 11 2 2" xfId="40779"/>
    <cellStyle name="Note 3 11 2 3" xfId="40780"/>
    <cellStyle name="Note 3 11 3" xfId="40781"/>
    <cellStyle name="Note 3 11 4" xfId="40782"/>
    <cellStyle name="Note 3 11 5" xfId="40783"/>
    <cellStyle name="Note 3 11 6" xfId="40784"/>
    <cellStyle name="Note 3 12" xfId="40785"/>
    <cellStyle name="Note 3 12 2" xfId="40786"/>
    <cellStyle name="Note 3 12 2 2" xfId="40787"/>
    <cellStyle name="Note 3 12 3" xfId="40788"/>
    <cellStyle name="Note 3 12 4" xfId="40789"/>
    <cellStyle name="Note 3 12 5" xfId="40790"/>
    <cellStyle name="Note 3 13" xfId="40791"/>
    <cellStyle name="Note 3 13 2" xfId="40792"/>
    <cellStyle name="Note 3 13 2 2" xfId="40793"/>
    <cellStyle name="Note 3 13 3" xfId="40794"/>
    <cellStyle name="Note 3 13 4" xfId="40795"/>
    <cellStyle name="Note 3 13 5" xfId="40796"/>
    <cellStyle name="Note 3 14" xfId="40797"/>
    <cellStyle name="Note 3 14 2" xfId="40798"/>
    <cellStyle name="Note 3 15" xfId="40799"/>
    <cellStyle name="Note 3 16" xfId="40800"/>
    <cellStyle name="Note 3 17" xfId="40801"/>
    <cellStyle name="Note 3 18" xfId="40802"/>
    <cellStyle name="Note 3 2" xfId="40803"/>
    <cellStyle name="Note 3 2 10" xfId="40804"/>
    <cellStyle name="Note 3 2 2" xfId="40805"/>
    <cellStyle name="Note 3 2 2 2" xfId="40806"/>
    <cellStyle name="Note 3 2 2 2 2" xfId="40807"/>
    <cellStyle name="Note 3 2 2 2 2 2" xfId="40808"/>
    <cellStyle name="Note 3 2 2 2 2 3" xfId="40809"/>
    <cellStyle name="Note 3 2 2 2 3" xfId="40810"/>
    <cellStyle name="Note 3 2 2 2 4" xfId="40811"/>
    <cellStyle name="Note 3 2 2 2 5" xfId="40812"/>
    <cellStyle name="Note 3 2 2 2 6" xfId="40813"/>
    <cellStyle name="Note 3 2 2 3" xfId="40814"/>
    <cellStyle name="Note 3 2 2 3 2" xfId="40815"/>
    <cellStyle name="Note 3 2 2 3 2 2" xfId="40816"/>
    <cellStyle name="Note 3 2 2 3 3" xfId="40817"/>
    <cellStyle name="Note 3 2 2 3 4" xfId="40818"/>
    <cellStyle name="Note 3 2 2 3 5" xfId="40819"/>
    <cellStyle name="Note 3 2 2 4" xfId="40820"/>
    <cellStyle name="Note 3 2 2 4 2" xfId="40821"/>
    <cellStyle name="Note 3 2 2 4 3" xfId="40822"/>
    <cellStyle name="Note 3 2 2 4 4" xfId="40823"/>
    <cellStyle name="Note 3 2 2 5" xfId="40824"/>
    <cellStyle name="Note 3 2 2 5 2" xfId="40825"/>
    <cellStyle name="Note 3 2 2 6" xfId="40826"/>
    <cellStyle name="Note 3 2 2 7" xfId="40827"/>
    <cellStyle name="Note 3 2 2 8" xfId="40828"/>
    <cellStyle name="Note 3 2 2 9" xfId="40829"/>
    <cellStyle name="Note 3 2 3" xfId="40830"/>
    <cellStyle name="Note 3 2 3 2" xfId="40831"/>
    <cellStyle name="Note 3 2 3 2 2" xfId="40832"/>
    <cellStyle name="Note 3 2 3 2 3" xfId="40833"/>
    <cellStyle name="Note 3 2 3 3" xfId="40834"/>
    <cellStyle name="Note 3 2 3 4" xfId="40835"/>
    <cellStyle name="Note 3 2 3 5" xfId="40836"/>
    <cellStyle name="Note 3 2 3 6" xfId="40837"/>
    <cellStyle name="Note 3 2 4" xfId="40838"/>
    <cellStyle name="Note 3 2 4 2" xfId="40839"/>
    <cellStyle name="Note 3 2 4 2 2" xfId="40840"/>
    <cellStyle name="Note 3 2 4 3" xfId="40841"/>
    <cellStyle name="Note 3 2 4 4" xfId="40842"/>
    <cellStyle name="Note 3 2 4 5" xfId="40843"/>
    <cellStyle name="Note 3 2 5" xfId="40844"/>
    <cellStyle name="Note 3 2 5 2" xfId="40845"/>
    <cellStyle name="Note 3 2 5 2 2" xfId="40846"/>
    <cellStyle name="Note 3 2 5 3" xfId="40847"/>
    <cellStyle name="Note 3 2 5 4" xfId="40848"/>
    <cellStyle name="Note 3 2 5 5" xfId="40849"/>
    <cellStyle name="Note 3 2 6" xfId="40850"/>
    <cellStyle name="Note 3 2 6 2" xfId="40851"/>
    <cellStyle name="Note 3 2 7" xfId="40852"/>
    <cellStyle name="Note 3 2 8" xfId="40853"/>
    <cellStyle name="Note 3 2 9" xfId="40854"/>
    <cellStyle name="Note 3 3" xfId="40855"/>
    <cellStyle name="Note 3 3 10" xfId="40856"/>
    <cellStyle name="Note 3 3 2" xfId="40857"/>
    <cellStyle name="Note 3 3 2 2" xfId="40858"/>
    <cellStyle name="Note 3 3 2 2 2" xfId="40859"/>
    <cellStyle name="Note 3 3 2 2 2 2" xfId="40860"/>
    <cellStyle name="Note 3 3 2 2 2 3" xfId="40861"/>
    <cellStyle name="Note 3 3 2 2 3" xfId="40862"/>
    <cellStyle name="Note 3 3 2 2 4" xfId="40863"/>
    <cellStyle name="Note 3 3 2 2 5" xfId="40864"/>
    <cellStyle name="Note 3 3 2 2 6" xfId="40865"/>
    <cellStyle name="Note 3 3 2 3" xfId="40866"/>
    <cellStyle name="Note 3 3 2 3 2" xfId="40867"/>
    <cellStyle name="Note 3 3 2 3 2 2" xfId="40868"/>
    <cellStyle name="Note 3 3 2 3 3" xfId="40869"/>
    <cellStyle name="Note 3 3 2 3 4" xfId="40870"/>
    <cellStyle name="Note 3 3 2 3 5" xfId="40871"/>
    <cellStyle name="Note 3 3 2 4" xfId="40872"/>
    <cellStyle name="Note 3 3 2 4 2" xfId="40873"/>
    <cellStyle name="Note 3 3 2 4 3" xfId="40874"/>
    <cellStyle name="Note 3 3 2 4 4" xfId="40875"/>
    <cellStyle name="Note 3 3 2 5" xfId="40876"/>
    <cellStyle name="Note 3 3 2 5 2" xfId="40877"/>
    <cellStyle name="Note 3 3 2 6" xfId="40878"/>
    <cellStyle name="Note 3 3 2 7" xfId="40879"/>
    <cellStyle name="Note 3 3 2 8" xfId="40880"/>
    <cellStyle name="Note 3 3 2 9" xfId="40881"/>
    <cellStyle name="Note 3 3 3" xfId="40882"/>
    <cellStyle name="Note 3 3 3 2" xfId="40883"/>
    <cellStyle name="Note 3 3 3 2 2" xfId="40884"/>
    <cellStyle name="Note 3 3 3 2 3" xfId="40885"/>
    <cellStyle name="Note 3 3 3 3" xfId="40886"/>
    <cellStyle name="Note 3 3 3 4" xfId="40887"/>
    <cellStyle name="Note 3 3 3 5" xfId="40888"/>
    <cellStyle name="Note 3 3 3 6" xfId="40889"/>
    <cellStyle name="Note 3 3 4" xfId="40890"/>
    <cellStyle name="Note 3 3 4 2" xfId="40891"/>
    <cellStyle name="Note 3 3 4 2 2" xfId="40892"/>
    <cellStyle name="Note 3 3 4 3" xfId="40893"/>
    <cellStyle name="Note 3 3 4 4" xfId="40894"/>
    <cellStyle name="Note 3 3 4 5" xfId="40895"/>
    <cellStyle name="Note 3 3 5" xfId="40896"/>
    <cellStyle name="Note 3 3 5 2" xfId="40897"/>
    <cellStyle name="Note 3 3 5 2 2" xfId="40898"/>
    <cellStyle name="Note 3 3 5 3" xfId="40899"/>
    <cellStyle name="Note 3 3 5 4" xfId="40900"/>
    <cellStyle name="Note 3 3 5 5" xfId="40901"/>
    <cellStyle name="Note 3 3 6" xfId="40902"/>
    <cellStyle name="Note 3 3 6 2" xfId="40903"/>
    <cellStyle name="Note 3 3 7" xfId="40904"/>
    <cellStyle name="Note 3 3 8" xfId="40905"/>
    <cellStyle name="Note 3 3 9" xfId="40906"/>
    <cellStyle name="Note 3 4" xfId="40907"/>
    <cellStyle name="Note 3 4 10" xfId="40908"/>
    <cellStyle name="Note 3 4 2" xfId="40909"/>
    <cellStyle name="Note 3 4 2 2" xfId="40910"/>
    <cellStyle name="Note 3 4 2 2 2" xfId="40911"/>
    <cellStyle name="Note 3 4 2 2 2 2" xfId="40912"/>
    <cellStyle name="Note 3 4 2 2 2 3" xfId="40913"/>
    <cellStyle name="Note 3 4 2 2 3" xfId="40914"/>
    <cellStyle name="Note 3 4 2 2 4" xfId="40915"/>
    <cellStyle name="Note 3 4 2 2 5" xfId="40916"/>
    <cellStyle name="Note 3 4 2 2 6" xfId="40917"/>
    <cellStyle name="Note 3 4 2 3" xfId="40918"/>
    <cellStyle name="Note 3 4 2 3 2" xfId="40919"/>
    <cellStyle name="Note 3 4 2 3 2 2" xfId="40920"/>
    <cellStyle name="Note 3 4 2 3 3" xfId="40921"/>
    <cellStyle name="Note 3 4 2 3 4" xfId="40922"/>
    <cellStyle name="Note 3 4 2 3 5" xfId="40923"/>
    <cellStyle name="Note 3 4 2 4" xfId="40924"/>
    <cellStyle name="Note 3 4 2 4 2" xfId="40925"/>
    <cellStyle name="Note 3 4 2 4 3" xfId="40926"/>
    <cellStyle name="Note 3 4 2 4 4" xfId="40927"/>
    <cellStyle name="Note 3 4 2 5" xfId="40928"/>
    <cellStyle name="Note 3 4 2 5 2" xfId="40929"/>
    <cellStyle name="Note 3 4 2 6" xfId="40930"/>
    <cellStyle name="Note 3 4 2 7" xfId="40931"/>
    <cellStyle name="Note 3 4 2 8" xfId="40932"/>
    <cellStyle name="Note 3 4 2 9" xfId="40933"/>
    <cellStyle name="Note 3 4 3" xfId="40934"/>
    <cellStyle name="Note 3 4 3 2" xfId="40935"/>
    <cellStyle name="Note 3 4 3 2 2" xfId="40936"/>
    <cellStyle name="Note 3 4 3 2 3" xfId="40937"/>
    <cellStyle name="Note 3 4 3 3" xfId="40938"/>
    <cellStyle name="Note 3 4 3 4" xfId="40939"/>
    <cellStyle name="Note 3 4 3 5" xfId="40940"/>
    <cellStyle name="Note 3 4 3 6" xfId="40941"/>
    <cellStyle name="Note 3 4 4" xfId="40942"/>
    <cellStyle name="Note 3 4 4 2" xfId="40943"/>
    <cellStyle name="Note 3 4 4 2 2" xfId="40944"/>
    <cellStyle name="Note 3 4 4 3" xfId="40945"/>
    <cellStyle name="Note 3 4 4 4" xfId="40946"/>
    <cellStyle name="Note 3 4 4 5" xfId="40947"/>
    <cellStyle name="Note 3 4 5" xfId="40948"/>
    <cellStyle name="Note 3 4 5 2" xfId="40949"/>
    <cellStyle name="Note 3 4 5 2 2" xfId="40950"/>
    <cellStyle name="Note 3 4 5 3" xfId="40951"/>
    <cellStyle name="Note 3 4 5 4" xfId="40952"/>
    <cellStyle name="Note 3 4 5 5" xfId="40953"/>
    <cellStyle name="Note 3 4 6" xfId="40954"/>
    <cellStyle name="Note 3 4 6 2" xfId="40955"/>
    <cellStyle name="Note 3 4 7" xfId="40956"/>
    <cellStyle name="Note 3 4 8" xfId="40957"/>
    <cellStyle name="Note 3 4 9" xfId="40958"/>
    <cellStyle name="Note 3 5" xfId="40959"/>
    <cellStyle name="Note 3 5 10" xfId="40960"/>
    <cellStyle name="Note 3 5 2" xfId="40961"/>
    <cellStyle name="Note 3 5 2 2" xfId="40962"/>
    <cellStyle name="Note 3 5 2 2 2" xfId="40963"/>
    <cellStyle name="Note 3 5 2 2 2 2" xfId="40964"/>
    <cellStyle name="Note 3 5 2 2 2 3" xfId="40965"/>
    <cellStyle name="Note 3 5 2 2 3" xfId="40966"/>
    <cellStyle name="Note 3 5 2 2 4" xfId="40967"/>
    <cellStyle name="Note 3 5 2 2 5" xfId="40968"/>
    <cellStyle name="Note 3 5 2 2 6" xfId="40969"/>
    <cellStyle name="Note 3 5 2 3" xfId="40970"/>
    <cellStyle name="Note 3 5 2 3 2" xfId="40971"/>
    <cellStyle name="Note 3 5 2 3 2 2" xfId="40972"/>
    <cellStyle name="Note 3 5 2 3 3" xfId="40973"/>
    <cellStyle name="Note 3 5 2 3 4" xfId="40974"/>
    <cellStyle name="Note 3 5 2 3 5" xfId="40975"/>
    <cellStyle name="Note 3 5 2 4" xfId="40976"/>
    <cellStyle name="Note 3 5 2 4 2" xfId="40977"/>
    <cellStyle name="Note 3 5 2 4 3" xfId="40978"/>
    <cellStyle name="Note 3 5 2 4 4" xfId="40979"/>
    <cellStyle name="Note 3 5 2 5" xfId="40980"/>
    <cellStyle name="Note 3 5 2 5 2" xfId="40981"/>
    <cellStyle name="Note 3 5 2 6" xfId="40982"/>
    <cellStyle name="Note 3 5 2 7" xfId="40983"/>
    <cellStyle name="Note 3 5 2 8" xfId="40984"/>
    <cellStyle name="Note 3 5 2 9" xfId="40985"/>
    <cellStyle name="Note 3 5 3" xfId="40986"/>
    <cellStyle name="Note 3 5 3 2" xfId="40987"/>
    <cellStyle name="Note 3 5 3 2 2" xfId="40988"/>
    <cellStyle name="Note 3 5 3 2 3" xfId="40989"/>
    <cellStyle name="Note 3 5 3 3" xfId="40990"/>
    <cellStyle name="Note 3 5 3 4" xfId="40991"/>
    <cellStyle name="Note 3 5 3 5" xfId="40992"/>
    <cellStyle name="Note 3 5 3 6" xfId="40993"/>
    <cellStyle name="Note 3 5 4" xfId="40994"/>
    <cellStyle name="Note 3 5 4 2" xfId="40995"/>
    <cellStyle name="Note 3 5 4 2 2" xfId="40996"/>
    <cellStyle name="Note 3 5 4 3" xfId="40997"/>
    <cellStyle name="Note 3 5 4 4" xfId="40998"/>
    <cellStyle name="Note 3 5 4 5" xfId="40999"/>
    <cellStyle name="Note 3 5 5" xfId="41000"/>
    <cellStyle name="Note 3 5 5 2" xfId="41001"/>
    <cellStyle name="Note 3 5 5 2 2" xfId="41002"/>
    <cellStyle name="Note 3 5 5 3" xfId="41003"/>
    <cellStyle name="Note 3 5 5 4" xfId="41004"/>
    <cellStyle name="Note 3 5 5 5" xfId="41005"/>
    <cellStyle name="Note 3 5 6" xfId="41006"/>
    <cellStyle name="Note 3 5 6 2" xfId="41007"/>
    <cellStyle name="Note 3 5 7" xfId="41008"/>
    <cellStyle name="Note 3 5 8" xfId="41009"/>
    <cellStyle name="Note 3 5 9" xfId="41010"/>
    <cellStyle name="Note 3 6" xfId="41011"/>
    <cellStyle name="Note 3 6 10" xfId="41012"/>
    <cellStyle name="Note 3 6 2" xfId="41013"/>
    <cellStyle name="Note 3 6 2 2" xfId="41014"/>
    <cellStyle name="Note 3 6 2 2 2" xfId="41015"/>
    <cellStyle name="Note 3 6 2 2 2 2" xfId="41016"/>
    <cellStyle name="Note 3 6 2 2 2 3" xfId="41017"/>
    <cellStyle name="Note 3 6 2 2 3" xfId="41018"/>
    <cellStyle name="Note 3 6 2 2 4" xfId="41019"/>
    <cellStyle name="Note 3 6 2 2 5" xfId="41020"/>
    <cellStyle name="Note 3 6 2 2 6" xfId="41021"/>
    <cellStyle name="Note 3 6 2 3" xfId="41022"/>
    <cellStyle name="Note 3 6 2 3 2" xfId="41023"/>
    <cellStyle name="Note 3 6 2 3 2 2" xfId="41024"/>
    <cellStyle name="Note 3 6 2 3 3" xfId="41025"/>
    <cellStyle name="Note 3 6 2 3 4" xfId="41026"/>
    <cellStyle name="Note 3 6 2 3 5" xfId="41027"/>
    <cellStyle name="Note 3 6 2 4" xfId="41028"/>
    <cellStyle name="Note 3 6 2 4 2" xfId="41029"/>
    <cellStyle name="Note 3 6 2 4 3" xfId="41030"/>
    <cellStyle name="Note 3 6 2 4 4" xfId="41031"/>
    <cellStyle name="Note 3 6 2 5" xfId="41032"/>
    <cellStyle name="Note 3 6 2 5 2" xfId="41033"/>
    <cellStyle name="Note 3 6 2 6" xfId="41034"/>
    <cellStyle name="Note 3 6 2 7" xfId="41035"/>
    <cellStyle name="Note 3 6 2 8" xfId="41036"/>
    <cellStyle name="Note 3 6 2 9" xfId="41037"/>
    <cellStyle name="Note 3 6 3" xfId="41038"/>
    <cellStyle name="Note 3 6 3 2" xfId="41039"/>
    <cellStyle name="Note 3 6 3 2 2" xfId="41040"/>
    <cellStyle name="Note 3 6 3 2 3" xfId="41041"/>
    <cellStyle name="Note 3 6 3 3" xfId="41042"/>
    <cellStyle name="Note 3 6 3 4" xfId="41043"/>
    <cellStyle name="Note 3 6 3 5" xfId="41044"/>
    <cellStyle name="Note 3 6 3 6" xfId="41045"/>
    <cellStyle name="Note 3 6 4" xfId="41046"/>
    <cellStyle name="Note 3 6 4 2" xfId="41047"/>
    <cellStyle name="Note 3 6 4 2 2" xfId="41048"/>
    <cellStyle name="Note 3 6 4 3" xfId="41049"/>
    <cellStyle name="Note 3 6 4 4" xfId="41050"/>
    <cellStyle name="Note 3 6 4 5" xfId="41051"/>
    <cellStyle name="Note 3 6 5" xfId="41052"/>
    <cellStyle name="Note 3 6 5 2" xfId="41053"/>
    <cellStyle name="Note 3 6 5 2 2" xfId="41054"/>
    <cellStyle name="Note 3 6 5 3" xfId="41055"/>
    <cellStyle name="Note 3 6 5 4" xfId="41056"/>
    <cellStyle name="Note 3 6 5 5" xfId="41057"/>
    <cellStyle name="Note 3 6 6" xfId="41058"/>
    <cellStyle name="Note 3 6 6 2" xfId="41059"/>
    <cellStyle name="Note 3 6 7" xfId="41060"/>
    <cellStyle name="Note 3 6 8" xfId="41061"/>
    <cellStyle name="Note 3 6 9" xfId="41062"/>
    <cellStyle name="Note 3 7" xfId="41063"/>
    <cellStyle name="Note 3 7 10" xfId="41064"/>
    <cellStyle name="Note 3 7 2" xfId="41065"/>
    <cellStyle name="Note 3 7 2 2" xfId="41066"/>
    <cellStyle name="Note 3 7 2 2 2" xfId="41067"/>
    <cellStyle name="Note 3 7 2 2 2 2" xfId="41068"/>
    <cellStyle name="Note 3 7 2 2 2 3" xfId="41069"/>
    <cellStyle name="Note 3 7 2 2 3" xfId="41070"/>
    <cellStyle name="Note 3 7 2 2 4" xfId="41071"/>
    <cellStyle name="Note 3 7 2 2 5" xfId="41072"/>
    <cellStyle name="Note 3 7 2 2 6" xfId="41073"/>
    <cellStyle name="Note 3 7 2 3" xfId="41074"/>
    <cellStyle name="Note 3 7 2 3 2" xfId="41075"/>
    <cellStyle name="Note 3 7 2 3 2 2" xfId="41076"/>
    <cellStyle name="Note 3 7 2 3 3" xfId="41077"/>
    <cellStyle name="Note 3 7 2 3 4" xfId="41078"/>
    <cellStyle name="Note 3 7 2 3 5" xfId="41079"/>
    <cellStyle name="Note 3 7 2 4" xfId="41080"/>
    <cellStyle name="Note 3 7 2 4 2" xfId="41081"/>
    <cellStyle name="Note 3 7 2 4 3" xfId="41082"/>
    <cellStyle name="Note 3 7 2 4 4" xfId="41083"/>
    <cellStyle name="Note 3 7 2 5" xfId="41084"/>
    <cellStyle name="Note 3 7 2 5 2" xfId="41085"/>
    <cellStyle name="Note 3 7 2 6" xfId="41086"/>
    <cellStyle name="Note 3 7 2 7" xfId="41087"/>
    <cellStyle name="Note 3 7 2 8" xfId="41088"/>
    <cellStyle name="Note 3 7 2 9" xfId="41089"/>
    <cellStyle name="Note 3 7 3" xfId="41090"/>
    <cellStyle name="Note 3 7 3 2" xfId="41091"/>
    <cellStyle name="Note 3 7 3 2 2" xfId="41092"/>
    <cellStyle name="Note 3 7 3 2 3" xfId="41093"/>
    <cellStyle name="Note 3 7 3 3" xfId="41094"/>
    <cellStyle name="Note 3 7 3 4" xfId="41095"/>
    <cellStyle name="Note 3 7 3 5" xfId="41096"/>
    <cellStyle name="Note 3 7 3 6" xfId="41097"/>
    <cellStyle name="Note 3 7 4" xfId="41098"/>
    <cellStyle name="Note 3 7 4 2" xfId="41099"/>
    <cellStyle name="Note 3 7 4 2 2" xfId="41100"/>
    <cellStyle name="Note 3 7 4 3" xfId="41101"/>
    <cellStyle name="Note 3 7 4 4" xfId="41102"/>
    <cellStyle name="Note 3 7 4 5" xfId="41103"/>
    <cellStyle name="Note 3 7 5" xfId="41104"/>
    <cellStyle name="Note 3 7 5 2" xfId="41105"/>
    <cellStyle name="Note 3 7 5 2 2" xfId="41106"/>
    <cellStyle name="Note 3 7 5 3" xfId="41107"/>
    <cellStyle name="Note 3 7 5 4" xfId="41108"/>
    <cellStyle name="Note 3 7 5 5" xfId="41109"/>
    <cellStyle name="Note 3 7 6" xfId="41110"/>
    <cellStyle name="Note 3 7 6 2" xfId="41111"/>
    <cellStyle name="Note 3 7 7" xfId="41112"/>
    <cellStyle name="Note 3 7 8" xfId="41113"/>
    <cellStyle name="Note 3 7 9" xfId="41114"/>
    <cellStyle name="Note 3 8" xfId="41115"/>
    <cellStyle name="Note 3 8 10" xfId="41116"/>
    <cellStyle name="Note 3 8 2" xfId="41117"/>
    <cellStyle name="Note 3 8 2 2" xfId="41118"/>
    <cellStyle name="Note 3 8 2 2 2" xfId="41119"/>
    <cellStyle name="Note 3 8 2 2 2 2" xfId="41120"/>
    <cellStyle name="Note 3 8 2 2 2 3" xfId="41121"/>
    <cellStyle name="Note 3 8 2 2 3" xfId="41122"/>
    <cellStyle name="Note 3 8 2 2 4" xfId="41123"/>
    <cellStyle name="Note 3 8 2 2 5" xfId="41124"/>
    <cellStyle name="Note 3 8 2 2 6" xfId="41125"/>
    <cellStyle name="Note 3 8 2 3" xfId="41126"/>
    <cellStyle name="Note 3 8 2 3 2" xfId="41127"/>
    <cellStyle name="Note 3 8 2 3 2 2" xfId="41128"/>
    <cellStyle name="Note 3 8 2 3 3" xfId="41129"/>
    <cellStyle name="Note 3 8 2 3 4" xfId="41130"/>
    <cellStyle name="Note 3 8 2 3 5" xfId="41131"/>
    <cellStyle name="Note 3 8 2 4" xfId="41132"/>
    <cellStyle name="Note 3 8 2 4 2" xfId="41133"/>
    <cellStyle name="Note 3 8 2 4 3" xfId="41134"/>
    <cellStyle name="Note 3 8 2 4 4" xfId="41135"/>
    <cellStyle name="Note 3 8 2 5" xfId="41136"/>
    <cellStyle name="Note 3 8 2 5 2" xfId="41137"/>
    <cellStyle name="Note 3 8 2 6" xfId="41138"/>
    <cellStyle name="Note 3 8 2 7" xfId="41139"/>
    <cellStyle name="Note 3 8 2 8" xfId="41140"/>
    <cellStyle name="Note 3 8 2 9" xfId="41141"/>
    <cellStyle name="Note 3 8 3" xfId="41142"/>
    <cellStyle name="Note 3 8 3 2" xfId="41143"/>
    <cellStyle name="Note 3 8 3 2 2" xfId="41144"/>
    <cellStyle name="Note 3 8 3 2 3" xfId="41145"/>
    <cellStyle name="Note 3 8 3 3" xfId="41146"/>
    <cellStyle name="Note 3 8 3 4" xfId="41147"/>
    <cellStyle name="Note 3 8 3 5" xfId="41148"/>
    <cellStyle name="Note 3 8 3 6" xfId="41149"/>
    <cellStyle name="Note 3 8 4" xfId="41150"/>
    <cellStyle name="Note 3 8 4 2" xfId="41151"/>
    <cellStyle name="Note 3 8 4 2 2" xfId="41152"/>
    <cellStyle name="Note 3 8 4 3" xfId="41153"/>
    <cellStyle name="Note 3 8 4 4" xfId="41154"/>
    <cellStyle name="Note 3 8 4 5" xfId="41155"/>
    <cellStyle name="Note 3 8 5" xfId="41156"/>
    <cellStyle name="Note 3 8 5 2" xfId="41157"/>
    <cellStyle name="Note 3 8 5 2 2" xfId="41158"/>
    <cellStyle name="Note 3 8 5 3" xfId="41159"/>
    <cellStyle name="Note 3 8 5 4" xfId="41160"/>
    <cellStyle name="Note 3 8 5 5" xfId="41161"/>
    <cellStyle name="Note 3 8 6" xfId="41162"/>
    <cellStyle name="Note 3 8 6 2" xfId="41163"/>
    <cellStyle name="Note 3 8 7" xfId="41164"/>
    <cellStyle name="Note 3 8 8" xfId="41165"/>
    <cellStyle name="Note 3 8 9" xfId="41166"/>
    <cellStyle name="Note 3 9" xfId="41167"/>
    <cellStyle name="Note 3 9 10" xfId="41168"/>
    <cellStyle name="Note 3 9 2" xfId="41169"/>
    <cellStyle name="Note 3 9 2 2" xfId="41170"/>
    <cellStyle name="Note 3 9 2 2 2" xfId="41171"/>
    <cellStyle name="Note 3 9 2 2 2 2" xfId="41172"/>
    <cellStyle name="Note 3 9 2 2 2 3" xfId="41173"/>
    <cellStyle name="Note 3 9 2 2 3" xfId="41174"/>
    <cellStyle name="Note 3 9 2 2 4" xfId="41175"/>
    <cellStyle name="Note 3 9 2 2 5" xfId="41176"/>
    <cellStyle name="Note 3 9 2 2 6" xfId="41177"/>
    <cellStyle name="Note 3 9 2 3" xfId="41178"/>
    <cellStyle name="Note 3 9 2 3 2" xfId="41179"/>
    <cellStyle name="Note 3 9 2 3 2 2" xfId="41180"/>
    <cellStyle name="Note 3 9 2 3 3" xfId="41181"/>
    <cellStyle name="Note 3 9 2 3 4" xfId="41182"/>
    <cellStyle name="Note 3 9 2 3 5" xfId="41183"/>
    <cellStyle name="Note 3 9 2 4" xfId="41184"/>
    <cellStyle name="Note 3 9 2 4 2" xfId="41185"/>
    <cellStyle name="Note 3 9 2 4 3" xfId="41186"/>
    <cellStyle name="Note 3 9 2 4 4" xfId="41187"/>
    <cellStyle name="Note 3 9 2 5" xfId="41188"/>
    <cellStyle name="Note 3 9 2 5 2" xfId="41189"/>
    <cellStyle name="Note 3 9 2 6" xfId="41190"/>
    <cellStyle name="Note 3 9 2 7" xfId="41191"/>
    <cellStyle name="Note 3 9 2 8" xfId="41192"/>
    <cellStyle name="Note 3 9 2 9" xfId="41193"/>
    <cellStyle name="Note 3 9 3" xfId="41194"/>
    <cellStyle name="Note 3 9 3 2" xfId="41195"/>
    <cellStyle name="Note 3 9 3 2 2" xfId="41196"/>
    <cellStyle name="Note 3 9 3 2 3" xfId="41197"/>
    <cellStyle name="Note 3 9 3 3" xfId="41198"/>
    <cellStyle name="Note 3 9 3 4" xfId="41199"/>
    <cellStyle name="Note 3 9 3 5" xfId="41200"/>
    <cellStyle name="Note 3 9 3 6" xfId="41201"/>
    <cellStyle name="Note 3 9 4" xfId="41202"/>
    <cellStyle name="Note 3 9 4 2" xfId="41203"/>
    <cellStyle name="Note 3 9 4 2 2" xfId="41204"/>
    <cellStyle name="Note 3 9 4 3" xfId="41205"/>
    <cellStyle name="Note 3 9 4 4" xfId="41206"/>
    <cellStyle name="Note 3 9 4 5" xfId="41207"/>
    <cellStyle name="Note 3 9 5" xfId="41208"/>
    <cellStyle name="Note 3 9 5 2" xfId="41209"/>
    <cellStyle name="Note 3 9 5 3" xfId="41210"/>
    <cellStyle name="Note 3 9 5 4" xfId="41211"/>
    <cellStyle name="Note 3 9 6" xfId="41212"/>
    <cellStyle name="Note 3 9 6 2" xfId="41213"/>
    <cellStyle name="Note 3 9 7" xfId="41214"/>
    <cellStyle name="Note 3 9 8" xfId="41215"/>
    <cellStyle name="Note 3 9 9" xfId="41216"/>
    <cellStyle name="Note 4" xfId="41217"/>
    <cellStyle name="Note 4 10" xfId="41218"/>
    <cellStyle name="Note 4 10 2" xfId="41219"/>
    <cellStyle name="Note 4 10 2 2" xfId="41220"/>
    <cellStyle name="Note 4 10 2 2 2" xfId="41221"/>
    <cellStyle name="Note 4 10 2 2 3" xfId="41222"/>
    <cellStyle name="Note 4 10 2 3" xfId="41223"/>
    <cellStyle name="Note 4 10 2 4" xfId="41224"/>
    <cellStyle name="Note 4 10 2 5" xfId="41225"/>
    <cellStyle name="Note 4 10 2 6" xfId="41226"/>
    <cellStyle name="Note 4 10 3" xfId="41227"/>
    <cellStyle name="Note 4 10 3 2" xfId="41228"/>
    <cellStyle name="Note 4 10 3 2 2" xfId="41229"/>
    <cellStyle name="Note 4 10 3 3" xfId="41230"/>
    <cellStyle name="Note 4 10 3 4" xfId="41231"/>
    <cellStyle name="Note 4 10 3 5" xfId="41232"/>
    <cellStyle name="Note 4 10 4" xfId="41233"/>
    <cellStyle name="Note 4 10 4 2" xfId="41234"/>
    <cellStyle name="Note 4 10 4 3" xfId="41235"/>
    <cellStyle name="Note 4 10 4 4" xfId="41236"/>
    <cellStyle name="Note 4 10 5" xfId="41237"/>
    <cellStyle name="Note 4 10 5 2" xfId="41238"/>
    <cellStyle name="Note 4 10 6" xfId="41239"/>
    <cellStyle name="Note 4 10 7" xfId="41240"/>
    <cellStyle name="Note 4 10 8" xfId="41241"/>
    <cellStyle name="Note 4 10 9" xfId="41242"/>
    <cellStyle name="Note 4 11" xfId="41243"/>
    <cellStyle name="Note 4 11 2" xfId="41244"/>
    <cellStyle name="Note 4 11 2 2" xfId="41245"/>
    <cellStyle name="Note 4 11 2 3" xfId="41246"/>
    <cellStyle name="Note 4 11 3" xfId="41247"/>
    <cellStyle name="Note 4 11 4" xfId="41248"/>
    <cellStyle name="Note 4 11 5" xfId="41249"/>
    <cellStyle name="Note 4 11 6" xfId="41250"/>
    <cellStyle name="Note 4 12" xfId="41251"/>
    <cellStyle name="Note 4 12 2" xfId="41252"/>
    <cellStyle name="Note 4 12 2 2" xfId="41253"/>
    <cellStyle name="Note 4 12 3" xfId="41254"/>
    <cellStyle name="Note 4 12 4" xfId="41255"/>
    <cellStyle name="Note 4 12 5" xfId="41256"/>
    <cellStyle name="Note 4 13" xfId="41257"/>
    <cellStyle name="Note 4 13 2" xfId="41258"/>
    <cellStyle name="Note 4 13 2 2" xfId="41259"/>
    <cellStyle name="Note 4 13 3" xfId="41260"/>
    <cellStyle name="Note 4 13 4" xfId="41261"/>
    <cellStyle name="Note 4 13 5" xfId="41262"/>
    <cellStyle name="Note 4 14" xfId="41263"/>
    <cellStyle name="Note 4 14 2" xfId="41264"/>
    <cellStyle name="Note 4 15" xfId="41265"/>
    <cellStyle name="Note 4 16" xfId="41266"/>
    <cellStyle name="Note 4 17" xfId="41267"/>
    <cellStyle name="Note 4 18" xfId="41268"/>
    <cellStyle name="Note 4 2" xfId="41269"/>
    <cellStyle name="Note 4 2 10" xfId="41270"/>
    <cellStyle name="Note 4 2 2" xfId="41271"/>
    <cellStyle name="Note 4 2 2 2" xfId="41272"/>
    <cellStyle name="Note 4 2 2 2 2" xfId="41273"/>
    <cellStyle name="Note 4 2 2 2 2 2" xfId="41274"/>
    <cellStyle name="Note 4 2 2 2 2 3" xfId="41275"/>
    <cellStyle name="Note 4 2 2 2 3" xfId="41276"/>
    <cellStyle name="Note 4 2 2 2 4" xfId="41277"/>
    <cellStyle name="Note 4 2 2 2 5" xfId="41278"/>
    <cellStyle name="Note 4 2 2 2 6" xfId="41279"/>
    <cellStyle name="Note 4 2 2 3" xfId="41280"/>
    <cellStyle name="Note 4 2 2 3 2" xfId="41281"/>
    <cellStyle name="Note 4 2 2 3 2 2" xfId="41282"/>
    <cellStyle name="Note 4 2 2 3 3" xfId="41283"/>
    <cellStyle name="Note 4 2 2 3 4" xfId="41284"/>
    <cellStyle name="Note 4 2 2 3 5" xfId="41285"/>
    <cellStyle name="Note 4 2 2 4" xfId="41286"/>
    <cellStyle name="Note 4 2 2 4 2" xfId="41287"/>
    <cellStyle name="Note 4 2 2 4 3" xfId="41288"/>
    <cellStyle name="Note 4 2 2 4 4" xfId="41289"/>
    <cellStyle name="Note 4 2 2 5" xfId="41290"/>
    <cellStyle name="Note 4 2 2 5 2" xfId="41291"/>
    <cellStyle name="Note 4 2 2 6" xfId="41292"/>
    <cellStyle name="Note 4 2 2 7" xfId="41293"/>
    <cellStyle name="Note 4 2 2 8" xfId="41294"/>
    <cellStyle name="Note 4 2 2 9" xfId="41295"/>
    <cellStyle name="Note 4 2 3" xfId="41296"/>
    <cellStyle name="Note 4 2 3 2" xfId="41297"/>
    <cellStyle name="Note 4 2 3 2 2" xfId="41298"/>
    <cellStyle name="Note 4 2 3 2 3" xfId="41299"/>
    <cellStyle name="Note 4 2 3 3" xfId="41300"/>
    <cellStyle name="Note 4 2 3 4" xfId="41301"/>
    <cellStyle name="Note 4 2 3 5" xfId="41302"/>
    <cellStyle name="Note 4 2 3 6" xfId="41303"/>
    <cellStyle name="Note 4 2 4" xfId="41304"/>
    <cellStyle name="Note 4 2 4 2" xfId="41305"/>
    <cellStyle name="Note 4 2 4 2 2" xfId="41306"/>
    <cellStyle name="Note 4 2 4 3" xfId="41307"/>
    <cellStyle name="Note 4 2 4 4" xfId="41308"/>
    <cellStyle name="Note 4 2 4 5" xfId="41309"/>
    <cellStyle name="Note 4 2 5" xfId="41310"/>
    <cellStyle name="Note 4 2 5 2" xfId="41311"/>
    <cellStyle name="Note 4 2 5 2 2" xfId="41312"/>
    <cellStyle name="Note 4 2 5 3" xfId="41313"/>
    <cellStyle name="Note 4 2 5 4" xfId="41314"/>
    <cellStyle name="Note 4 2 5 5" xfId="41315"/>
    <cellStyle name="Note 4 2 6" xfId="41316"/>
    <cellStyle name="Note 4 2 6 2" xfId="41317"/>
    <cellStyle name="Note 4 2 7" xfId="41318"/>
    <cellStyle name="Note 4 2 8" xfId="41319"/>
    <cellStyle name="Note 4 2 9" xfId="41320"/>
    <cellStyle name="Note 4 3" xfId="41321"/>
    <cellStyle name="Note 4 3 10" xfId="41322"/>
    <cellStyle name="Note 4 3 2" xfId="41323"/>
    <cellStyle name="Note 4 3 2 2" xfId="41324"/>
    <cellStyle name="Note 4 3 2 2 2" xfId="41325"/>
    <cellStyle name="Note 4 3 2 2 2 2" xfId="41326"/>
    <cellStyle name="Note 4 3 2 2 2 3" xfId="41327"/>
    <cellStyle name="Note 4 3 2 2 3" xfId="41328"/>
    <cellStyle name="Note 4 3 2 2 4" xfId="41329"/>
    <cellStyle name="Note 4 3 2 2 5" xfId="41330"/>
    <cellStyle name="Note 4 3 2 2 6" xfId="41331"/>
    <cellStyle name="Note 4 3 2 3" xfId="41332"/>
    <cellStyle name="Note 4 3 2 3 2" xfId="41333"/>
    <cellStyle name="Note 4 3 2 3 2 2" xfId="41334"/>
    <cellStyle name="Note 4 3 2 3 3" xfId="41335"/>
    <cellStyle name="Note 4 3 2 3 4" xfId="41336"/>
    <cellStyle name="Note 4 3 2 3 5" xfId="41337"/>
    <cellStyle name="Note 4 3 2 4" xfId="41338"/>
    <cellStyle name="Note 4 3 2 4 2" xfId="41339"/>
    <cellStyle name="Note 4 3 2 4 3" xfId="41340"/>
    <cellStyle name="Note 4 3 2 4 4" xfId="41341"/>
    <cellStyle name="Note 4 3 2 5" xfId="41342"/>
    <cellStyle name="Note 4 3 2 5 2" xfId="41343"/>
    <cellStyle name="Note 4 3 2 6" xfId="41344"/>
    <cellStyle name="Note 4 3 2 7" xfId="41345"/>
    <cellStyle name="Note 4 3 2 8" xfId="41346"/>
    <cellStyle name="Note 4 3 2 9" xfId="41347"/>
    <cellStyle name="Note 4 3 3" xfId="41348"/>
    <cellStyle name="Note 4 3 3 2" xfId="41349"/>
    <cellStyle name="Note 4 3 3 2 2" xfId="41350"/>
    <cellStyle name="Note 4 3 3 2 3" xfId="41351"/>
    <cellStyle name="Note 4 3 3 3" xfId="41352"/>
    <cellStyle name="Note 4 3 3 4" xfId="41353"/>
    <cellStyle name="Note 4 3 3 5" xfId="41354"/>
    <cellStyle name="Note 4 3 3 6" xfId="41355"/>
    <cellStyle name="Note 4 3 4" xfId="41356"/>
    <cellStyle name="Note 4 3 4 2" xfId="41357"/>
    <cellStyle name="Note 4 3 4 2 2" xfId="41358"/>
    <cellStyle name="Note 4 3 4 3" xfId="41359"/>
    <cellStyle name="Note 4 3 4 4" xfId="41360"/>
    <cellStyle name="Note 4 3 4 5" xfId="41361"/>
    <cellStyle name="Note 4 3 5" xfId="41362"/>
    <cellStyle name="Note 4 3 5 2" xfId="41363"/>
    <cellStyle name="Note 4 3 5 2 2" xfId="41364"/>
    <cellStyle name="Note 4 3 5 3" xfId="41365"/>
    <cellStyle name="Note 4 3 5 4" xfId="41366"/>
    <cellStyle name="Note 4 3 5 5" xfId="41367"/>
    <cellStyle name="Note 4 3 6" xfId="41368"/>
    <cellStyle name="Note 4 3 6 2" xfId="41369"/>
    <cellStyle name="Note 4 3 7" xfId="41370"/>
    <cellStyle name="Note 4 3 8" xfId="41371"/>
    <cellStyle name="Note 4 3 9" xfId="41372"/>
    <cellStyle name="Note 4 4" xfId="41373"/>
    <cellStyle name="Note 4 4 10" xfId="41374"/>
    <cellStyle name="Note 4 4 2" xfId="41375"/>
    <cellStyle name="Note 4 4 2 2" xfId="41376"/>
    <cellStyle name="Note 4 4 2 2 2" xfId="41377"/>
    <cellStyle name="Note 4 4 2 2 2 2" xfId="41378"/>
    <cellStyle name="Note 4 4 2 2 2 3" xfId="41379"/>
    <cellStyle name="Note 4 4 2 2 3" xfId="41380"/>
    <cellStyle name="Note 4 4 2 2 4" xfId="41381"/>
    <cellStyle name="Note 4 4 2 2 5" xfId="41382"/>
    <cellStyle name="Note 4 4 2 2 6" xfId="41383"/>
    <cellStyle name="Note 4 4 2 3" xfId="41384"/>
    <cellStyle name="Note 4 4 2 3 2" xfId="41385"/>
    <cellStyle name="Note 4 4 2 3 2 2" xfId="41386"/>
    <cellStyle name="Note 4 4 2 3 3" xfId="41387"/>
    <cellStyle name="Note 4 4 2 3 4" xfId="41388"/>
    <cellStyle name="Note 4 4 2 3 5" xfId="41389"/>
    <cellStyle name="Note 4 4 2 4" xfId="41390"/>
    <cellStyle name="Note 4 4 2 4 2" xfId="41391"/>
    <cellStyle name="Note 4 4 2 4 3" xfId="41392"/>
    <cellStyle name="Note 4 4 2 4 4" xfId="41393"/>
    <cellStyle name="Note 4 4 2 5" xfId="41394"/>
    <cellStyle name="Note 4 4 2 5 2" xfId="41395"/>
    <cellStyle name="Note 4 4 2 6" xfId="41396"/>
    <cellStyle name="Note 4 4 2 7" xfId="41397"/>
    <cellStyle name="Note 4 4 2 8" xfId="41398"/>
    <cellStyle name="Note 4 4 2 9" xfId="41399"/>
    <cellStyle name="Note 4 4 3" xfId="41400"/>
    <cellStyle name="Note 4 4 3 2" xfId="41401"/>
    <cellStyle name="Note 4 4 3 2 2" xfId="41402"/>
    <cellStyle name="Note 4 4 3 2 3" xfId="41403"/>
    <cellStyle name="Note 4 4 3 3" xfId="41404"/>
    <cellStyle name="Note 4 4 3 4" xfId="41405"/>
    <cellStyle name="Note 4 4 3 5" xfId="41406"/>
    <cellStyle name="Note 4 4 3 6" xfId="41407"/>
    <cellStyle name="Note 4 4 4" xfId="41408"/>
    <cellStyle name="Note 4 4 4 2" xfId="41409"/>
    <cellStyle name="Note 4 4 4 2 2" xfId="41410"/>
    <cellStyle name="Note 4 4 4 3" xfId="41411"/>
    <cellStyle name="Note 4 4 4 4" xfId="41412"/>
    <cellStyle name="Note 4 4 4 5" xfId="41413"/>
    <cellStyle name="Note 4 4 5" xfId="41414"/>
    <cellStyle name="Note 4 4 5 2" xfId="41415"/>
    <cellStyle name="Note 4 4 5 2 2" xfId="41416"/>
    <cellStyle name="Note 4 4 5 3" xfId="41417"/>
    <cellStyle name="Note 4 4 5 4" xfId="41418"/>
    <cellStyle name="Note 4 4 5 5" xfId="41419"/>
    <cellStyle name="Note 4 4 6" xfId="41420"/>
    <cellStyle name="Note 4 4 6 2" xfId="41421"/>
    <cellStyle name="Note 4 4 7" xfId="41422"/>
    <cellStyle name="Note 4 4 8" xfId="41423"/>
    <cellStyle name="Note 4 4 9" xfId="41424"/>
    <cellStyle name="Note 4 5" xfId="41425"/>
    <cellStyle name="Note 4 5 10" xfId="41426"/>
    <cellStyle name="Note 4 5 2" xfId="41427"/>
    <cellStyle name="Note 4 5 2 2" xfId="41428"/>
    <cellStyle name="Note 4 5 2 2 2" xfId="41429"/>
    <cellStyle name="Note 4 5 2 2 2 2" xfId="41430"/>
    <cellStyle name="Note 4 5 2 2 2 3" xfId="41431"/>
    <cellStyle name="Note 4 5 2 2 3" xfId="41432"/>
    <cellStyle name="Note 4 5 2 2 4" xfId="41433"/>
    <cellStyle name="Note 4 5 2 2 5" xfId="41434"/>
    <cellStyle name="Note 4 5 2 2 6" xfId="41435"/>
    <cellStyle name="Note 4 5 2 3" xfId="41436"/>
    <cellStyle name="Note 4 5 2 3 2" xfId="41437"/>
    <cellStyle name="Note 4 5 2 3 2 2" xfId="41438"/>
    <cellStyle name="Note 4 5 2 3 3" xfId="41439"/>
    <cellStyle name="Note 4 5 2 3 4" xfId="41440"/>
    <cellStyle name="Note 4 5 2 3 5" xfId="41441"/>
    <cellStyle name="Note 4 5 2 4" xfId="41442"/>
    <cellStyle name="Note 4 5 2 4 2" xfId="41443"/>
    <cellStyle name="Note 4 5 2 4 3" xfId="41444"/>
    <cellStyle name="Note 4 5 2 4 4" xfId="41445"/>
    <cellStyle name="Note 4 5 2 5" xfId="41446"/>
    <cellStyle name="Note 4 5 2 5 2" xfId="41447"/>
    <cellStyle name="Note 4 5 2 6" xfId="41448"/>
    <cellStyle name="Note 4 5 2 7" xfId="41449"/>
    <cellStyle name="Note 4 5 2 8" xfId="41450"/>
    <cellStyle name="Note 4 5 2 9" xfId="41451"/>
    <cellStyle name="Note 4 5 3" xfId="41452"/>
    <cellStyle name="Note 4 5 3 2" xfId="41453"/>
    <cellStyle name="Note 4 5 3 2 2" xfId="41454"/>
    <cellStyle name="Note 4 5 3 2 3" xfId="41455"/>
    <cellStyle name="Note 4 5 3 3" xfId="41456"/>
    <cellStyle name="Note 4 5 3 4" xfId="41457"/>
    <cellStyle name="Note 4 5 3 5" xfId="41458"/>
    <cellStyle name="Note 4 5 3 6" xfId="41459"/>
    <cellStyle name="Note 4 5 4" xfId="41460"/>
    <cellStyle name="Note 4 5 4 2" xfId="41461"/>
    <cellStyle name="Note 4 5 4 2 2" xfId="41462"/>
    <cellStyle name="Note 4 5 4 3" xfId="41463"/>
    <cellStyle name="Note 4 5 4 4" xfId="41464"/>
    <cellStyle name="Note 4 5 4 5" xfId="41465"/>
    <cellStyle name="Note 4 5 5" xfId="41466"/>
    <cellStyle name="Note 4 5 5 2" xfId="41467"/>
    <cellStyle name="Note 4 5 5 2 2" xfId="41468"/>
    <cellStyle name="Note 4 5 5 3" xfId="41469"/>
    <cellStyle name="Note 4 5 5 4" xfId="41470"/>
    <cellStyle name="Note 4 5 5 5" xfId="41471"/>
    <cellStyle name="Note 4 5 6" xfId="41472"/>
    <cellStyle name="Note 4 5 6 2" xfId="41473"/>
    <cellStyle name="Note 4 5 7" xfId="41474"/>
    <cellStyle name="Note 4 5 8" xfId="41475"/>
    <cellStyle name="Note 4 5 9" xfId="41476"/>
    <cellStyle name="Note 4 6" xfId="41477"/>
    <cellStyle name="Note 4 6 10" xfId="41478"/>
    <cellStyle name="Note 4 6 2" xfId="41479"/>
    <cellStyle name="Note 4 6 2 2" xfId="41480"/>
    <cellStyle name="Note 4 6 2 2 2" xfId="41481"/>
    <cellStyle name="Note 4 6 2 2 2 2" xfId="41482"/>
    <cellStyle name="Note 4 6 2 2 2 3" xfId="41483"/>
    <cellStyle name="Note 4 6 2 2 3" xfId="41484"/>
    <cellStyle name="Note 4 6 2 2 4" xfId="41485"/>
    <cellStyle name="Note 4 6 2 2 5" xfId="41486"/>
    <cellStyle name="Note 4 6 2 2 6" xfId="41487"/>
    <cellStyle name="Note 4 6 2 3" xfId="41488"/>
    <cellStyle name="Note 4 6 2 3 2" xfId="41489"/>
    <cellStyle name="Note 4 6 2 3 2 2" xfId="41490"/>
    <cellStyle name="Note 4 6 2 3 3" xfId="41491"/>
    <cellStyle name="Note 4 6 2 3 4" xfId="41492"/>
    <cellStyle name="Note 4 6 2 3 5" xfId="41493"/>
    <cellStyle name="Note 4 6 2 4" xfId="41494"/>
    <cellStyle name="Note 4 6 2 4 2" xfId="41495"/>
    <cellStyle name="Note 4 6 2 4 3" xfId="41496"/>
    <cellStyle name="Note 4 6 2 4 4" xfId="41497"/>
    <cellStyle name="Note 4 6 2 5" xfId="41498"/>
    <cellStyle name="Note 4 6 2 5 2" xfId="41499"/>
    <cellStyle name="Note 4 6 2 6" xfId="41500"/>
    <cellStyle name="Note 4 6 2 7" xfId="41501"/>
    <cellStyle name="Note 4 6 2 8" xfId="41502"/>
    <cellStyle name="Note 4 6 2 9" xfId="41503"/>
    <cellStyle name="Note 4 6 3" xfId="41504"/>
    <cellStyle name="Note 4 6 3 2" xfId="41505"/>
    <cellStyle name="Note 4 6 3 2 2" xfId="41506"/>
    <cellStyle name="Note 4 6 3 2 3" xfId="41507"/>
    <cellStyle name="Note 4 6 3 3" xfId="41508"/>
    <cellStyle name="Note 4 6 3 4" xfId="41509"/>
    <cellStyle name="Note 4 6 3 5" xfId="41510"/>
    <cellStyle name="Note 4 6 3 6" xfId="41511"/>
    <cellStyle name="Note 4 6 4" xfId="41512"/>
    <cellStyle name="Note 4 6 4 2" xfId="41513"/>
    <cellStyle name="Note 4 6 4 2 2" xfId="41514"/>
    <cellStyle name="Note 4 6 4 3" xfId="41515"/>
    <cellStyle name="Note 4 6 4 4" xfId="41516"/>
    <cellStyle name="Note 4 6 4 5" xfId="41517"/>
    <cellStyle name="Note 4 6 5" xfId="41518"/>
    <cellStyle name="Note 4 6 5 2" xfId="41519"/>
    <cellStyle name="Note 4 6 5 2 2" xfId="41520"/>
    <cellStyle name="Note 4 6 5 3" xfId="41521"/>
    <cellStyle name="Note 4 6 5 4" xfId="41522"/>
    <cellStyle name="Note 4 6 5 5" xfId="41523"/>
    <cellStyle name="Note 4 6 6" xfId="41524"/>
    <cellStyle name="Note 4 6 6 2" xfId="41525"/>
    <cellStyle name="Note 4 6 7" xfId="41526"/>
    <cellStyle name="Note 4 6 8" xfId="41527"/>
    <cellStyle name="Note 4 6 9" xfId="41528"/>
    <cellStyle name="Note 4 7" xfId="41529"/>
    <cellStyle name="Note 4 7 10" xfId="41530"/>
    <cellStyle name="Note 4 7 2" xfId="41531"/>
    <cellStyle name="Note 4 7 2 2" xfId="41532"/>
    <cellStyle name="Note 4 7 2 2 2" xfId="41533"/>
    <cellStyle name="Note 4 7 2 2 2 2" xfId="41534"/>
    <cellStyle name="Note 4 7 2 2 2 3" xfId="41535"/>
    <cellStyle name="Note 4 7 2 2 3" xfId="41536"/>
    <cellStyle name="Note 4 7 2 2 4" xfId="41537"/>
    <cellStyle name="Note 4 7 2 2 5" xfId="41538"/>
    <cellStyle name="Note 4 7 2 2 6" xfId="41539"/>
    <cellStyle name="Note 4 7 2 3" xfId="41540"/>
    <cellStyle name="Note 4 7 2 3 2" xfId="41541"/>
    <cellStyle name="Note 4 7 2 3 2 2" xfId="41542"/>
    <cellStyle name="Note 4 7 2 3 3" xfId="41543"/>
    <cellStyle name="Note 4 7 2 3 4" xfId="41544"/>
    <cellStyle name="Note 4 7 2 3 5" xfId="41545"/>
    <cellStyle name="Note 4 7 2 4" xfId="41546"/>
    <cellStyle name="Note 4 7 2 4 2" xfId="41547"/>
    <cellStyle name="Note 4 7 2 4 3" xfId="41548"/>
    <cellStyle name="Note 4 7 2 4 4" xfId="41549"/>
    <cellStyle name="Note 4 7 2 5" xfId="41550"/>
    <cellStyle name="Note 4 7 2 5 2" xfId="41551"/>
    <cellStyle name="Note 4 7 2 6" xfId="41552"/>
    <cellStyle name="Note 4 7 2 7" xfId="41553"/>
    <cellStyle name="Note 4 7 2 8" xfId="41554"/>
    <cellStyle name="Note 4 7 2 9" xfId="41555"/>
    <cellStyle name="Note 4 7 3" xfId="41556"/>
    <cellStyle name="Note 4 7 3 2" xfId="41557"/>
    <cellStyle name="Note 4 7 3 2 2" xfId="41558"/>
    <cellStyle name="Note 4 7 3 2 3" xfId="41559"/>
    <cellStyle name="Note 4 7 3 3" xfId="41560"/>
    <cellStyle name="Note 4 7 3 4" xfId="41561"/>
    <cellStyle name="Note 4 7 3 5" xfId="41562"/>
    <cellStyle name="Note 4 7 3 6" xfId="41563"/>
    <cellStyle name="Note 4 7 4" xfId="41564"/>
    <cellStyle name="Note 4 7 4 2" xfId="41565"/>
    <cellStyle name="Note 4 7 4 2 2" xfId="41566"/>
    <cellStyle name="Note 4 7 4 3" xfId="41567"/>
    <cellStyle name="Note 4 7 4 4" xfId="41568"/>
    <cellStyle name="Note 4 7 4 5" xfId="41569"/>
    <cellStyle name="Note 4 7 5" xfId="41570"/>
    <cellStyle name="Note 4 7 5 2" xfId="41571"/>
    <cellStyle name="Note 4 7 5 2 2" xfId="41572"/>
    <cellStyle name="Note 4 7 5 3" xfId="41573"/>
    <cellStyle name="Note 4 7 5 4" xfId="41574"/>
    <cellStyle name="Note 4 7 5 5" xfId="41575"/>
    <cellStyle name="Note 4 7 6" xfId="41576"/>
    <cellStyle name="Note 4 7 6 2" xfId="41577"/>
    <cellStyle name="Note 4 7 7" xfId="41578"/>
    <cellStyle name="Note 4 7 8" xfId="41579"/>
    <cellStyle name="Note 4 7 9" xfId="41580"/>
    <cellStyle name="Note 4 8" xfId="41581"/>
    <cellStyle name="Note 4 8 10" xfId="41582"/>
    <cellStyle name="Note 4 8 2" xfId="41583"/>
    <cellStyle name="Note 4 8 2 2" xfId="41584"/>
    <cellStyle name="Note 4 8 2 2 2" xfId="41585"/>
    <cellStyle name="Note 4 8 2 2 2 2" xfId="41586"/>
    <cellStyle name="Note 4 8 2 2 2 3" xfId="41587"/>
    <cellStyle name="Note 4 8 2 2 3" xfId="41588"/>
    <cellStyle name="Note 4 8 2 2 4" xfId="41589"/>
    <cellStyle name="Note 4 8 2 2 5" xfId="41590"/>
    <cellStyle name="Note 4 8 2 2 6" xfId="41591"/>
    <cellStyle name="Note 4 8 2 3" xfId="41592"/>
    <cellStyle name="Note 4 8 2 3 2" xfId="41593"/>
    <cellStyle name="Note 4 8 2 3 2 2" xfId="41594"/>
    <cellStyle name="Note 4 8 2 3 3" xfId="41595"/>
    <cellStyle name="Note 4 8 2 3 4" xfId="41596"/>
    <cellStyle name="Note 4 8 2 3 5" xfId="41597"/>
    <cellStyle name="Note 4 8 2 4" xfId="41598"/>
    <cellStyle name="Note 4 8 2 4 2" xfId="41599"/>
    <cellStyle name="Note 4 8 2 4 3" xfId="41600"/>
    <cellStyle name="Note 4 8 2 4 4" xfId="41601"/>
    <cellStyle name="Note 4 8 2 5" xfId="41602"/>
    <cellStyle name="Note 4 8 2 5 2" xfId="41603"/>
    <cellStyle name="Note 4 8 2 6" xfId="41604"/>
    <cellStyle name="Note 4 8 2 7" xfId="41605"/>
    <cellStyle name="Note 4 8 2 8" xfId="41606"/>
    <cellStyle name="Note 4 8 2 9" xfId="41607"/>
    <cellStyle name="Note 4 8 3" xfId="41608"/>
    <cellStyle name="Note 4 8 3 2" xfId="41609"/>
    <cellStyle name="Note 4 8 3 2 2" xfId="41610"/>
    <cellStyle name="Note 4 8 3 2 3" xfId="41611"/>
    <cellStyle name="Note 4 8 3 3" xfId="41612"/>
    <cellStyle name="Note 4 8 3 4" xfId="41613"/>
    <cellStyle name="Note 4 8 3 5" xfId="41614"/>
    <cellStyle name="Note 4 8 3 6" xfId="41615"/>
    <cellStyle name="Note 4 8 4" xfId="41616"/>
    <cellStyle name="Note 4 8 4 2" xfId="41617"/>
    <cellStyle name="Note 4 8 4 2 2" xfId="41618"/>
    <cellStyle name="Note 4 8 4 3" xfId="41619"/>
    <cellStyle name="Note 4 8 4 4" xfId="41620"/>
    <cellStyle name="Note 4 8 4 5" xfId="41621"/>
    <cellStyle name="Note 4 8 5" xfId="41622"/>
    <cellStyle name="Note 4 8 5 2" xfId="41623"/>
    <cellStyle name="Note 4 8 5 2 2" xfId="41624"/>
    <cellStyle name="Note 4 8 5 3" xfId="41625"/>
    <cellStyle name="Note 4 8 5 4" xfId="41626"/>
    <cellStyle name="Note 4 8 5 5" xfId="41627"/>
    <cellStyle name="Note 4 8 6" xfId="41628"/>
    <cellStyle name="Note 4 8 6 2" xfId="41629"/>
    <cellStyle name="Note 4 8 7" xfId="41630"/>
    <cellStyle name="Note 4 8 8" xfId="41631"/>
    <cellStyle name="Note 4 8 9" xfId="41632"/>
    <cellStyle name="Note 4 9" xfId="41633"/>
    <cellStyle name="Note 4 9 10" xfId="41634"/>
    <cellStyle name="Note 4 9 2" xfId="41635"/>
    <cellStyle name="Note 4 9 2 2" xfId="41636"/>
    <cellStyle name="Note 4 9 2 2 2" xfId="41637"/>
    <cellStyle name="Note 4 9 2 2 2 2" xfId="41638"/>
    <cellStyle name="Note 4 9 2 2 2 3" xfId="41639"/>
    <cellStyle name="Note 4 9 2 2 3" xfId="41640"/>
    <cellStyle name="Note 4 9 2 2 4" xfId="41641"/>
    <cellStyle name="Note 4 9 2 2 5" xfId="41642"/>
    <cellStyle name="Note 4 9 2 2 6" xfId="41643"/>
    <cellStyle name="Note 4 9 2 3" xfId="41644"/>
    <cellStyle name="Note 4 9 2 3 2" xfId="41645"/>
    <cellStyle name="Note 4 9 2 3 2 2" xfId="41646"/>
    <cellStyle name="Note 4 9 2 3 3" xfId="41647"/>
    <cellStyle name="Note 4 9 2 3 4" xfId="41648"/>
    <cellStyle name="Note 4 9 2 3 5" xfId="41649"/>
    <cellStyle name="Note 4 9 2 4" xfId="41650"/>
    <cellStyle name="Note 4 9 2 4 2" xfId="41651"/>
    <cellStyle name="Note 4 9 2 4 3" xfId="41652"/>
    <cellStyle name="Note 4 9 2 4 4" xfId="41653"/>
    <cellStyle name="Note 4 9 2 5" xfId="41654"/>
    <cellStyle name="Note 4 9 2 5 2" xfId="41655"/>
    <cellStyle name="Note 4 9 2 6" xfId="41656"/>
    <cellStyle name="Note 4 9 2 7" xfId="41657"/>
    <cellStyle name="Note 4 9 2 8" xfId="41658"/>
    <cellStyle name="Note 4 9 2 9" xfId="41659"/>
    <cellStyle name="Note 4 9 3" xfId="41660"/>
    <cellStyle name="Note 4 9 3 2" xfId="41661"/>
    <cellStyle name="Note 4 9 3 2 2" xfId="41662"/>
    <cellStyle name="Note 4 9 3 2 3" xfId="41663"/>
    <cellStyle name="Note 4 9 3 3" xfId="41664"/>
    <cellStyle name="Note 4 9 3 4" xfId="41665"/>
    <cellStyle name="Note 4 9 3 5" xfId="41666"/>
    <cellStyle name="Note 4 9 3 6" xfId="41667"/>
    <cellStyle name="Note 4 9 4" xfId="41668"/>
    <cellStyle name="Note 4 9 4 2" xfId="41669"/>
    <cellStyle name="Note 4 9 4 2 2" xfId="41670"/>
    <cellStyle name="Note 4 9 4 3" xfId="41671"/>
    <cellStyle name="Note 4 9 4 4" xfId="41672"/>
    <cellStyle name="Note 4 9 4 5" xfId="41673"/>
    <cellStyle name="Note 4 9 5" xfId="41674"/>
    <cellStyle name="Note 4 9 5 2" xfId="41675"/>
    <cellStyle name="Note 4 9 5 3" xfId="41676"/>
    <cellStyle name="Note 4 9 5 4" xfId="41677"/>
    <cellStyle name="Note 4 9 6" xfId="41678"/>
    <cellStyle name="Note 4 9 6 2" xfId="41679"/>
    <cellStyle name="Note 4 9 7" xfId="41680"/>
    <cellStyle name="Note 4 9 8" xfId="41681"/>
    <cellStyle name="Note 4 9 9" xfId="41682"/>
    <cellStyle name="Note 5" xfId="41683"/>
    <cellStyle name="Note 5 10" xfId="41684"/>
    <cellStyle name="Note 5 11" xfId="41685"/>
    <cellStyle name="Note 5 2" xfId="41686"/>
    <cellStyle name="Note 5 2 10" xfId="41687"/>
    <cellStyle name="Note 5 2 2" xfId="41688"/>
    <cellStyle name="Note 5 2 2 2" xfId="41689"/>
    <cellStyle name="Note 5 2 2 2 2" xfId="41690"/>
    <cellStyle name="Note 5 2 2 2 2 2" xfId="41691"/>
    <cellStyle name="Note 5 2 2 2 2 3" xfId="41692"/>
    <cellStyle name="Note 5 2 2 2 3" xfId="41693"/>
    <cellStyle name="Note 5 2 2 2 4" xfId="41694"/>
    <cellStyle name="Note 5 2 2 2 5" xfId="41695"/>
    <cellStyle name="Note 5 2 2 2 6" xfId="41696"/>
    <cellStyle name="Note 5 2 2 3" xfId="41697"/>
    <cellStyle name="Note 5 2 2 3 2" xfId="41698"/>
    <cellStyle name="Note 5 2 2 3 2 2" xfId="41699"/>
    <cellStyle name="Note 5 2 2 3 3" xfId="41700"/>
    <cellStyle name="Note 5 2 2 3 4" xfId="41701"/>
    <cellStyle name="Note 5 2 2 3 5" xfId="41702"/>
    <cellStyle name="Note 5 2 2 4" xfId="41703"/>
    <cellStyle name="Note 5 2 2 4 2" xfId="41704"/>
    <cellStyle name="Note 5 2 2 4 3" xfId="41705"/>
    <cellStyle name="Note 5 2 2 4 4" xfId="41706"/>
    <cellStyle name="Note 5 2 2 5" xfId="41707"/>
    <cellStyle name="Note 5 2 2 5 2" xfId="41708"/>
    <cellStyle name="Note 5 2 2 6" xfId="41709"/>
    <cellStyle name="Note 5 2 2 7" xfId="41710"/>
    <cellStyle name="Note 5 2 2 8" xfId="41711"/>
    <cellStyle name="Note 5 2 2 9" xfId="41712"/>
    <cellStyle name="Note 5 2 3" xfId="41713"/>
    <cellStyle name="Note 5 2 3 2" xfId="41714"/>
    <cellStyle name="Note 5 2 3 2 2" xfId="41715"/>
    <cellStyle name="Note 5 2 3 2 3" xfId="41716"/>
    <cellStyle name="Note 5 2 3 3" xfId="41717"/>
    <cellStyle name="Note 5 2 3 4" xfId="41718"/>
    <cellStyle name="Note 5 2 3 5" xfId="41719"/>
    <cellStyle name="Note 5 2 3 6" xfId="41720"/>
    <cellStyle name="Note 5 2 4" xfId="41721"/>
    <cellStyle name="Note 5 2 4 2" xfId="41722"/>
    <cellStyle name="Note 5 2 4 2 2" xfId="41723"/>
    <cellStyle name="Note 5 2 4 3" xfId="41724"/>
    <cellStyle name="Note 5 2 4 4" xfId="41725"/>
    <cellStyle name="Note 5 2 4 5" xfId="41726"/>
    <cellStyle name="Note 5 2 5" xfId="41727"/>
    <cellStyle name="Note 5 2 5 2" xfId="41728"/>
    <cellStyle name="Note 5 2 5 3" xfId="41729"/>
    <cellStyle name="Note 5 2 5 4" xfId="41730"/>
    <cellStyle name="Note 5 2 6" xfId="41731"/>
    <cellStyle name="Note 5 2 6 2" xfId="41732"/>
    <cellStyle name="Note 5 2 7" xfId="41733"/>
    <cellStyle name="Note 5 2 8" xfId="41734"/>
    <cellStyle name="Note 5 2 9" xfId="41735"/>
    <cellStyle name="Note 5 3" xfId="41736"/>
    <cellStyle name="Note 5 3 2" xfId="41737"/>
    <cellStyle name="Note 5 3 2 2" xfId="41738"/>
    <cellStyle name="Note 5 3 2 2 2" xfId="41739"/>
    <cellStyle name="Note 5 3 2 2 3" xfId="41740"/>
    <cellStyle name="Note 5 3 2 3" xfId="41741"/>
    <cellStyle name="Note 5 3 2 4" xfId="41742"/>
    <cellStyle name="Note 5 3 2 5" xfId="41743"/>
    <cellStyle name="Note 5 3 2 6" xfId="41744"/>
    <cellStyle name="Note 5 3 3" xfId="41745"/>
    <cellStyle name="Note 5 3 3 2" xfId="41746"/>
    <cellStyle name="Note 5 3 3 2 2" xfId="41747"/>
    <cellStyle name="Note 5 3 3 3" xfId="41748"/>
    <cellStyle name="Note 5 3 3 4" xfId="41749"/>
    <cellStyle name="Note 5 3 3 5" xfId="41750"/>
    <cellStyle name="Note 5 3 4" xfId="41751"/>
    <cellStyle name="Note 5 3 4 2" xfId="41752"/>
    <cellStyle name="Note 5 3 4 3" xfId="41753"/>
    <cellStyle name="Note 5 3 4 4" xfId="41754"/>
    <cellStyle name="Note 5 3 5" xfId="41755"/>
    <cellStyle name="Note 5 3 5 2" xfId="41756"/>
    <cellStyle name="Note 5 3 6" xfId="41757"/>
    <cellStyle name="Note 5 3 7" xfId="41758"/>
    <cellStyle name="Note 5 3 8" xfId="41759"/>
    <cellStyle name="Note 5 3 9" xfId="41760"/>
    <cellStyle name="Note 5 4" xfId="41761"/>
    <cellStyle name="Note 5 4 2" xfId="41762"/>
    <cellStyle name="Note 5 4 2 2" xfId="41763"/>
    <cellStyle name="Note 5 4 2 3" xfId="41764"/>
    <cellStyle name="Note 5 4 3" xfId="41765"/>
    <cellStyle name="Note 5 4 4" xfId="41766"/>
    <cellStyle name="Note 5 4 5" xfId="41767"/>
    <cellStyle name="Note 5 4 6" xfId="41768"/>
    <cellStyle name="Note 5 5" xfId="41769"/>
    <cellStyle name="Note 5 5 2" xfId="41770"/>
    <cellStyle name="Note 5 5 2 2" xfId="41771"/>
    <cellStyle name="Note 5 5 3" xfId="41772"/>
    <cellStyle name="Note 5 5 4" xfId="41773"/>
    <cellStyle name="Note 5 5 5" xfId="41774"/>
    <cellStyle name="Note 5 6" xfId="41775"/>
    <cellStyle name="Note 5 6 2" xfId="41776"/>
    <cellStyle name="Note 5 6 2 2" xfId="41777"/>
    <cellStyle name="Note 5 6 3" xfId="41778"/>
    <cellStyle name="Note 5 6 4" xfId="41779"/>
    <cellStyle name="Note 5 6 5" xfId="41780"/>
    <cellStyle name="Note 5 7" xfId="41781"/>
    <cellStyle name="Note 5 7 2" xfId="41782"/>
    <cellStyle name="Note 5 8" xfId="41783"/>
    <cellStyle name="Note 5 9" xfId="41784"/>
    <cellStyle name="Note 6" xfId="41785"/>
    <cellStyle name="Note 6 10" xfId="41786"/>
    <cellStyle name="Note 6 11" xfId="41787"/>
    <cellStyle name="Note 6 2" xfId="41788"/>
    <cellStyle name="Note 6 2 10" xfId="41789"/>
    <cellStyle name="Note 6 2 2" xfId="41790"/>
    <cellStyle name="Note 6 2 2 2" xfId="41791"/>
    <cellStyle name="Note 6 2 2 2 2" xfId="41792"/>
    <cellStyle name="Note 6 2 2 2 2 2" xfId="41793"/>
    <cellStyle name="Note 6 2 2 2 2 3" xfId="41794"/>
    <cellStyle name="Note 6 2 2 2 3" xfId="41795"/>
    <cellStyle name="Note 6 2 2 2 4" xfId="41796"/>
    <cellStyle name="Note 6 2 2 2 5" xfId="41797"/>
    <cellStyle name="Note 6 2 2 2 6" xfId="41798"/>
    <cellStyle name="Note 6 2 2 3" xfId="41799"/>
    <cellStyle name="Note 6 2 2 3 2" xfId="41800"/>
    <cellStyle name="Note 6 2 2 3 2 2" xfId="41801"/>
    <cellStyle name="Note 6 2 2 3 3" xfId="41802"/>
    <cellStyle name="Note 6 2 2 3 4" xfId="41803"/>
    <cellStyle name="Note 6 2 2 3 5" xfId="41804"/>
    <cellStyle name="Note 6 2 2 4" xfId="41805"/>
    <cellStyle name="Note 6 2 2 4 2" xfId="41806"/>
    <cellStyle name="Note 6 2 2 4 3" xfId="41807"/>
    <cellStyle name="Note 6 2 2 4 4" xfId="41808"/>
    <cellStyle name="Note 6 2 2 5" xfId="41809"/>
    <cellStyle name="Note 6 2 2 5 2" xfId="41810"/>
    <cellStyle name="Note 6 2 2 6" xfId="41811"/>
    <cellStyle name="Note 6 2 2 7" xfId="41812"/>
    <cellStyle name="Note 6 2 2 8" xfId="41813"/>
    <cellStyle name="Note 6 2 2 9" xfId="41814"/>
    <cellStyle name="Note 6 2 3" xfId="41815"/>
    <cellStyle name="Note 6 2 3 2" xfId="41816"/>
    <cellStyle name="Note 6 2 3 2 2" xfId="41817"/>
    <cellStyle name="Note 6 2 3 2 3" xfId="41818"/>
    <cellStyle name="Note 6 2 3 3" xfId="41819"/>
    <cellStyle name="Note 6 2 3 4" xfId="41820"/>
    <cellStyle name="Note 6 2 3 5" xfId="41821"/>
    <cellStyle name="Note 6 2 3 6" xfId="41822"/>
    <cellStyle name="Note 6 2 4" xfId="41823"/>
    <cellStyle name="Note 6 2 4 2" xfId="41824"/>
    <cellStyle name="Note 6 2 4 2 2" xfId="41825"/>
    <cellStyle name="Note 6 2 4 3" xfId="41826"/>
    <cellStyle name="Note 6 2 4 4" xfId="41827"/>
    <cellStyle name="Note 6 2 4 5" xfId="41828"/>
    <cellStyle name="Note 6 2 5" xfId="41829"/>
    <cellStyle name="Note 6 2 5 2" xfId="41830"/>
    <cellStyle name="Note 6 2 5 3" xfId="41831"/>
    <cellStyle name="Note 6 2 5 4" xfId="41832"/>
    <cellStyle name="Note 6 2 6" xfId="41833"/>
    <cellStyle name="Note 6 2 6 2" xfId="41834"/>
    <cellStyle name="Note 6 2 7" xfId="41835"/>
    <cellStyle name="Note 6 2 8" xfId="41836"/>
    <cellStyle name="Note 6 2 9" xfId="41837"/>
    <cellStyle name="Note 6 3" xfId="41838"/>
    <cellStyle name="Note 6 3 2" xfId="41839"/>
    <cellStyle name="Note 6 3 2 2" xfId="41840"/>
    <cellStyle name="Note 6 3 2 2 2" xfId="41841"/>
    <cellStyle name="Note 6 3 2 2 3" xfId="41842"/>
    <cellStyle name="Note 6 3 2 3" xfId="41843"/>
    <cellStyle name="Note 6 3 2 4" xfId="41844"/>
    <cellStyle name="Note 6 3 2 5" xfId="41845"/>
    <cellStyle name="Note 6 3 2 6" xfId="41846"/>
    <cellStyle name="Note 6 3 3" xfId="41847"/>
    <cellStyle name="Note 6 3 3 2" xfId="41848"/>
    <cellStyle name="Note 6 3 3 2 2" xfId="41849"/>
    <cellStyle name="Note 6 3 3 3" xfId="41850"/>
    <cellStyle name="Note 6 3 3 4" xfId="41851"/>
    <cellStyle name="Note 6 3 3 5" xfId="41852"/>
    <cellStyle name="Note 6 3 4" xfId="41853"/>
    <cellStyle name="Note 6 3 4 2" xfId="41854"/>
    <cellStyle name="Note 6 3 4 3" xfId="41855"/>
    <cellStyle name="Note 6 3 4 4" xfId="41856"/>
    <cellStyle name="Note 6 3 5" xfId="41857"/>
    <cellStyle name="Note 6 3 5 2" xfId="41858"/>
    <cellStyle name="Note 6 3 6" xfId="41859"/>
    <cellStyle name="Note 6 3 7" xfId="41860"/>
    <cellStyle name="Note 6 3 8" xfId="41861"/>
    <cellStyle name="Note 6 3 9" xfId="41862"/>
    <cellStyle name="Note 6 4" xfId="41863"/>
    <cellStyle name="Note 6 4 2" xfId="41864"/>
    <cellStyle name="Note 6 4 2 2" xfId="41865"/>
    <cellStyle name="Note 6 4 2 3" xfId="41866"/>
    <cellStyle name="Note 6 4 3" xfId="41867"/>
    <cellStyle name="Note 6 4 4" xfId="41868"/>
    <cellStyle name="Note 6 4 5" xfId="41869"/>
    <cellStyle name="Note 6 4 6" xfId="41870"/>
    <cellStyle name="Note 6 5" xfId="41871"/>
    <cellStyle name="Note 6 5 2" xfId="41872"/>
    <cellStyle name="Note 6 5 2 2" xfId="41873"/>
    <cellStyle name="Note 6 5 3" xfId="41874"/>
    <cellStyle name="Note 6 5 4" xfId="41875"/>
    <cellStyle name="Note 6 5 5" xfId="41876"/>
    <cellStyle name="Note 6 6" xfId="41877"/>
    <cellStyle name="Note 6 6 2" xfId="41878"/>
    <cellStyle name="Note 6 6 2 2" xfId="41879"/>
    <cellStyle name="Note 6 6 3" xfId="41880"/>
    <cellStyle name="Note 6 6 4" xfId="41881"/>
    <cellStyle name="Note 6 6 5" xfId="41882"/>
    <cellStyle name="Note 6 7" xfId="41883"/>
    <cellStyle name="Note 6 7 2" xfId="41884"/>
    <cellStyle name="Note 6 8" xfId="41885"/>
    <cellStyle name="Note 6 9" xfId="41886"/>
    <cellStyle name="Note 7" xfId="41887"/>
    <cellStyle name="Note 7 10" xfId="41888"/>
    <cellStyle name="Note 7 11" xfId="41889"/>
    <cellStyle name="Note 7 2" xfId="41890"/>
    <cellStyle name="Note 7 3" xfId="41891"/>
    <cellStyle name="Note 7 3 2" xfId="41892"/>
    <cellStyle name="Note 7 3 2 2" xfId="41893"/>
    <cellStyle name="Note 7 3 2 2 2" xfId="41894"/>
    <cellStyle name="Note 7 3 2 2 3" xfId="41895"/>
    <cellStyle name="Note 7 3 2 3" xfId="41896"/>
    <cellStyle name="Note 7 3 2 4" xfId="41897"/>
    <cellStyle name="Note 7 3 2 5" xfId="41898"/>
    <cellStyle name="Note 7 3 2 6" xfId="41899"/>
    <cellStyle name="Note 7 3 3" xfId="41900"/>
    <cellStyle name="Note 7 3 3 2" xfId="41901"/>
    <cellStyle name="Note 7 3 3 2 2" xfId="41902"/>
    <cellStyle name="Note 7 3 3 3" xfId="41903"/>
    <cellStyle name="Note 7 3 3 4" xfId="41904"/>
    <cellStyle name="Note 7 3 3 5" xfId="41905"/>
    <cellStyle name="Note 7 3 4" xfId="41906"/>
    <cellStyle name="Note 7 3 4 2" xfId="41907"/>
    <cellStyle name="Note 7 3 4 3" xfId="41908"/>
    <cellStyle name="Note 7 3 4 4" xfId="41909"/>
    <cellStyle name="Note 7 3 5" xfId="41910"/>
    <cellStyle name="Note 7 3 5 2" xfId="41911"/>
    <cellStyle name="Note 7 3 6" xfId="41912"/>
    <cellStyle name="Note 7 3 7" xfId="41913"/>
    <cellStyle name="Note 7 3 8" xfId="41914"/>
    <cellStyle name="Note 7 3 9" xfId="41915"/>
    <cellStyle name="Note 7 4" xfId="41916"/>
    <cellStyle name="Note 7 4 2" xfId="41917"/>
    <cellStyle name="Note 7 4 2 2" xfId="41918"/>
    <cellStyle name="Note 7 4 2 3" xfId="41919"/>
    <cellStyle name="Note 7 4 3" xfId="41920"/>
    <cellStyle name="Note 7 4 4" xfId="41921"/>
    <cellStyle name="Note 7 4 5" xfId="41922"/>
    <cellStyle name="Note 7 4 6" xfId="41923"/>
    <cellStyle name="Note 7 5" xfId="41924"/>
    <cellStyle name="Note 7 5 2" xfId="41925"/>
    <cellStyle name="Note 7 5 2 2" xfId="41926"/>
    <cellStyle name="Note 7 5 3" xfId="41927"/>
    <cellStyle name="Note 7 5 4" xfId="41928"/>
    <cellStyle name="Note 7 5 5" xfId="41929"/>
    <cellStyle name="Note 7 6" xfId="41930"/>
    <cellStyle name="Note 7 6 2" xfId="41931"/>
    <cellStyle name="Note 7 6 3" xfId="41932"/>
    <cellStyle name="Note 7 6 4" xfId="41933"/>
    <cellStyle name="Note 7 7" xfId="41934"/>
    <cellStyle name="Note 7 7 2" xfId="41935"/>
    <cellStyle name="Note 7 8" xfId="41936"/>
    <cellStyle name="Note 7 9" xfId="41937"/>
    <cellStyle name="Note 8" xfId="41938"/>
    <cellStyle name="Note 9" xfId="41939"/>
    <cellStyle name="Percent" xfId="3" builtinId="5"/>
    <cellStyle name="Percent [2]" xfId="41940"/>
    <cellStyle name="Percent 10" xfId="41941"/>
    <cellStyle name="Percent 11" xfId="41942"/>
    <cellStyle name="Percent 11 2" xfId="41943"/>
    <cellStyle name="Percent 12" xfId="41944"/>
    <cellStyle name="Percent 13" xfId="41945"/>
    <cellStyle name="Percent 14" xfId="41946"/>
    <cellStyle name="Percent 15" xfId="41947"/>
    <cellStyle name="Percent 16" xfId="41948"/>
    <cellStyle name="Percent 17" xfId="41949"/>
    <cellStyle name="Percent 18" xfId="41950"/>
    <cellStyle name="Percent 19" xfId="41951"/>
    <cellStyle name="Percent 2" xfId="41952"/>
    <cellStyle name="Percent 2 10" xfId="41953"/>
    <cellStyle name="Percent 2 10 2" xfId="41954"/>
    <cellStyle name="Percent 2 10 3" xfId="41955"/>
    <cellStyle name="Percent 2 10 4" xfId="41956"/>
    <cellStyle name="Percent 2 10 5" xfId="41957"/>
    <cellStyle name="Percent 2 10 6" xfId="41958"/>
    <cellStyle name="Percent 2 11" xfId="41959"/>
    <cellStyle name="Percent 2 11 2" xfId="41960"/>
    <cellStyle name="Percent 2 11 3" xfId="41961"/>
    <cellStyle name="Percent 2 11 4" xfId="41962"/>
    <cellStyle name="Percent 2 11 5" xfId="41963"/>
    <cellStyle name="Percent 2 11 6" xfId="41964"/>
    <cellStyle name="Percent 2 12" xfId="41965"/>
    <cellStyle name="Percent 2 12 2" xfId="41966"/>
    <cellStyle name="Percent 2 12 3" xfId="41967"/>
    <cellStyle name="Percent 2 12 4" xfId="41968"/>
    <cellStyle name="Percent 2 12 5" xfId="41969"/>
    <cellStyle name="Percent 2 12 6" xfId="41970"/>
    <cellStyle name="Percent 2 13" xfId="41971"/>
    <cellStyle name="Percent 2 13 2" xfId="41972"/>
    <cellStyle name="Percent 2 13 3" xfId="41973"/>
    <cellStyle name="Percent 2 13 4" xfId="41974"/>
    <cellStyle name="Percent 2 13 5" xfId="41975"/>
    <cellStyle name="Percent 2 13 6" xfId="41976"/>
    <cellStyle name="Percent 2 14" xfId="41977"/>
    <cellStyle name="Percent 2 14 2" xfId="41978"/>
    <cellStyle name="Percent 2 14 3" xfId="41979"/>
    <cellStyle name="Percent 2 14 4" xfId="41980"/>
    <cellStyle name="Percent 2 14 5" xfId="41981"/>
    <cellStyle name="Percent 2 14 6" xfId="41982"/>
    <cellStyle name="Percent 2 15" xfId="41983"/>
    <cellStyle name="Percent 2 15 2" xfId="41984"/>
    <cellStyle name="Percent 2 15 3" xfId="41985"/>
    <cellStyle name="Percent 2 15 4" xfId="41986"/>
    <cellStyle name="Percent 2 15 5" xfId="41987"/>
    <cellStyle name="Percent 2 15 6" xfId="41988"/>
    <cellStyle name="Percent 2 16" xfId="41989"/>
    <cellStyle name="Percent 2 16 2" xfId="41990"/>
    <cellStyle name="Percent 2 16 3" xfId="41991"/>
    <cellStyle name="Percent 2 16 4" xfId="41992"/>
    <cellStyle name="Percent 2 16 5" xfId="41993"/>
    <cellStyle name="Percent 2 16 6" xfId="41994"/>
    <cellStyle name="Percent 2 17" xfId="41995"/>
    <cellStyle name="Percent 2 17 2" xfId="41996"/>
    <cellStyle name="Percent 2 17 3" xfId="41997"/>
    <cellStyle name="Percent 2 17 4" xfId="41998"/>
    <cellStyle name="Percent 2 17 5" xfId="41999"/>
    <cellStyle name="Percent 2 17 6" xfId="42000"/>
    <cellStyle name="Percent 2 18" xfId="42001"/>
    <cellStyle name="Percent 2 18 2" xfId="42002"/>
    <cellStyle name="Percent 2 18 3" xfId="42003"/>
    <cellStyle name="Percent 2 18 4" xfId="42004"/>
    <cellStyle name="Percent 2 18 5" xfId="42005"/>
    <cellStyle name="Percent 2 18 6" xfId="42006"/>
    <cellStyle name="Percent 2 19" xfId="42007"/>
    <cellStyle name="Percent 2 19 2" xfId="42008"/>
    <cellStyle name="Percent 2 19 3" xfId="42009"/>
    <cellStyle name="Percent 2 19 4" xfId="42010"/>
    <cellStyle name="Percent 2 19 5" xfId="42011"/>
    <cellStyle name="Percent 2 19 6" xfId="42012"/>
    <cellStyle name="Percent 2 2" xfId="42013"/>
    <cellStyle name="Percent 2 2 10" xfId="42014"/>
    <cellStyle name="Percent 2 2 11" xfId="42015"/>
    <cellStyle name="Percent 2 2 12" xfId="42016"/>
    <cellStyle name="Percent 2 2 13" xfId="42017"/>
    <cellStyle name="Percent 2 2 14" xfId="42018"/>
    <cellStyle name="Percent 2 2 15" xfId="42019"/>
    <cellStyle name="Percent 2 2 16" xfId="42020"/>
    <cellStyle name="Percent 2 2 17" xfId="42021"/>
    <cellStyle name="Percent 2 2 18" xfId="42022"/>
    <cellStyle name="Percent 2 2 19" xfId="42023"/>
    <cellStyle name="Percent 2 2 2" xfId="42024"/>
    <cellStyle name="Percent 2 2 20" xfId="42025"/>
    <cellStyle name="Percent 2 2 21" xfId="42026"/>
    <cellStyle name="Percent 2 2 22" xfId="42027"/>
    <cellStyle name="Percent 2 2 23" xfId="42028"/>
    <cellStyle name="Percent 2 2 24" xfId="42029"/>
    <cellStyle name="Percent 2 2 25" xfId="42030"/>
    <cellStyle name="Percent 2 2 26" xfId="42031"/>
    <cellStyle name="Percent 2 2 27" xfId="42032"/>
    <cellStyle name="Percent 2 2 28" xfId="42033"/>
    <cellStyle name="Percent 2 2 29" xfId="42034"/>
    <cellStyle name="Percent 2 2 3" xfId="42035"/>
    <cellStyle name="Percent 2 2 3 2" xfId="42036"/>
    <cellStyle name="Percent 2 2 30" xfId="42037"/>
    <cellStyle name="Percent 2 2 31" xfId="42038"/>
    <cellStyle name="Percent 2 2 32" xfId="42039"/>
    <cellStyle name="Percent 2 2 33" xfId="42040"/>
    <cellStyle name="Percent 2 2 34" xfId="42041"/>
    <cellStyle name="Percent 2 2 35" xfId="42042"/>
    <cellStyle name="Percent 2 2 36" xfId="42043"/>
    <cellStyle name="Percent 2 2 4" xfId="42044"/>
    <cellStyle name="Percent 2 2 4 2" xfId="42045"/>
    <cellStyle name="Percent 2 2 5" xfId="42046"/>
    <cellStyle name="Percent 2 2 5 2" xfId="42047"/>
    <cellStyle name="Percent 2 2 6" xfId="42048"/>
    <cellStyle name="Percent 2 2 6 2" xfId="42049"/>
    <cellStyle name="Percent 2 2 7" xfId="42050"/>
    <cellStyle name="Percent 2 2 7 2" xfId="42051"/>
    <cellStyle name="Percent 2 2 8" xfId="42052"/>
    <cellStyle name="Percent 2 2 8 2" xfId="42053"/>
    <cellStyle name="Percent 2 2 9" xfId="42054"/>
    <cellStyle name="Percent 2 20" xfId="42055"/>
    <cellStyle name="Percent 2 21" xfId="42056"/>
    <cellStyle name="Percent 2 22" xfId="42057"/>
    <cellStyle name="Percent 2 23" xfId="42058"/>
    <cellStyle name="Percent 2 24" xfId="42059"/>
    <cellStyle name="Percent 2 25" xfId="42060"/>
    <cellStyle name="Percent 2 3" xfId="42061"/>
    <cellStyle name="Percent 2 3 2" xfId="42062"/>
    <cellStyle name="Percent 2 3 3" xfId="42063"/>
    <cellStyle name="Percent 2 3 4" xfId="42064"/>
    <cellStyle name="Percent 2 3 5" xfId="42065"/>
    <cellStyle name="Percent 2 3 6" xfId="42066"/>
    <cellStyle name="Percent 2 4" xfId="42067"/>
    <cellStyle name="Percent 2 4 2" xfId="42068"/>
    <cellStyle name="Percent 2 4 3" xfId="42069"/>
    <cellStyle name="Percent 2 4 4" xfId="42070"/>
    <cellStyle name="Percent 2 4 5" xfId="42071"/>
    <cellStyle name="Percent 2 4 6" xfId="42072"/>
    <cellStyle name="Percent 2 4 7" xfId="42073"/>
    <cellStyle name="Percent 2 5" xfId="42074"/>
    <cellStyle name="Percent 2 5 2" xfId="42075"/>
    <cellStyle name="Percent 2 5 3" xfId="42076"/>
    <cellStyle name="Percent 2 5 4" xfId="42077"/>
    <cellStyle name="Percent 2 5 5" xfId="42078"/>
    <cellStyle name="Percent 2 5 6" xfId="42079"/>
    <cellStyle name="Percent 2 5 7" xfId="42080"/>
    <cellStyle name="Percent 2 6" xfId="42081"/>
    <cellStyle name="Percent 2 6 2" xfId="42082"/>
    <cellStyle name="Percent 2 6 3" xfId="42083"/>
    <cellStyle name="Percent 2 6 4" xfId="42084"/>
    <cellStyle name="Percent 2 6 5" xfId="42085"/>
    <cellStyle name="Percent 2 6 6" xfId="42086"/>
    <cellStyle name="Percent 2 6 7" xfId="42087"/>
    <cellStyle name="Percent 2 7" xfId="42088"/>
    <cellStyle name="Percent 2 7 2" xfId="42089"/>
    <cellStyle name="Percent 2 7 3" xfId="42090"/>
    <cellStyle name="Percent 2 7 4" xfId="42091"/>
    <cellStyle name="Percent 2 7 5" xfId="42092"/>
    <cellStyle name="Percent 2 7 6" xfId="42093"/>
    <cellStyle name="Percent 2 7 7" xfId="42094"/>
    <cellStyle name="Percent 2 8" xfId="42095"/>
    <cellStyle name="Percent 2 8 2" xfId="42096"/>
    <cellStyle name="Percent 2 8 3" xfId="42097"/>
    <cellStyle name="Percent 2 8 4" xfId="42098"/>
    <cellStyle name="Percent 2 8 5" xfId="42099"/>
    <cellStyle name="Percent 2 8 6" xfId="42100"/>
    <cellStyle name="Percent 2 8 7" xfId="42101"/>
    <cellStyle name="Percent 2 9" xfId="42102"/>
    <cellStyle name="Percent 2 9 2" xfId="42103"/>
    <cellStyle name="Percent 2 9 3" xfId="42104"/>
    <cellStyle name="Percent 2 9 4" xfId="42105"/>
    <cellStyle name="Percent 2 9 5" xfId="42106"/>
    <cellStyle name="Percent 2 9 6" xfId="42107"/>
    <cellStyle name="Percent 20" xfId="42108"/>
    <cellStyle name="Percent 21" xfId="42109"/>
    <cellStyle name="Percent 22" xfId="42110"/>
    <cellStyle name="Percent 23" xfId="42111"/>
    <cellStyle name="Percent 24" xfId="42112"/>
    <cellStyle name="Percent 25" xfId="42113"/>
    <cellStyle name="Percent 26" xfId="42114"/>
    <cellStyle name="Percent 27" xfId="42115"/>
    <cellStyle name="Percent 28" xfId="42116"/>
    <cellStyle name="Percent 29" xfId="42117"/>
    <cellStyle name="Percent 3" xfId="42118"/>
    <cellStyle name="Percent 3 2" xfId="42119"/>
    <cellStyle name="Percent 3 2 2" xfId="42120"/>
    <cellStyle name="Percent 3 3" xfId="42121"/>
    <cellStyle name="Percent 30" xfId="42122"/>
    <cellStyle name="Percent 31" xfId="42123"/>
    <cellStyle name="Percent 32" xfId="42124"/>
    <cellStyle name="Percent 33" xfId="42125"/>
    <cellStyle name="Percent 34" xfId="42126"/>
    <cellStyle name="Percent 35" xfId="42127"/>
    <cellStyle name="Percent 36" xfId="42128"/>
    <cellStyle name="Percent 37" xfId="42129"/>
    <cellStyle name="Percent 38" xfId="42130"/>
    <cellStyle name="Percent 39" xfId="42131"/>
    <cellStyle name="Percent 4" xfId="42132"/>
    <cellStyle name="Percent 4 10" xfId="42133"/>
    <cellStyle name="Percent 4 2" xfId="42134"/>
    <cellStyle name="Percent 4 2 2" xfId="42135"/>
    <cellStyle name="Percent 4 2 2 2" xfId="42136"/>
    <cellStyle name="Percent 4 2 2 2 2" xfId="42137"/>
    <cellStyle name="Percent 4 2 2 2 3" xfId="42138"/>
    <cellStyle name="Percent 4 2 2 3" xfId="42139"/>
    <cellStyle name="Percent 4 2 2 4" xfId="42140"/>
    <cellStyle name="Percent 4 2 2 5" xfId="42141"/>
    <cellStyle name="Percent 4 2 2 6" xfId="42142"/>
    <cellStyle name="Percent 4 2 3" xfId="42143"/>
    <cellStyle name="Percent 4 2 3 2" xfId="42144"/>
    <cellStyle name="Percent 4 2 3 2 2" xfId="42145"/>
    <cellStyle name="Percent 4 2 3 3" xfId="42146"/>
    <cellStyle name="Percent 4 2 3 4" xfId="42147"/>
    <cellStyle name="Percent 4 2 3 5" xfId="42148"/>
    <cellStyle name="Percent 4 2 4" xfId="42149"/>
    <cellStyle name="Percent 4 2 4 2" xfId="42150"/>
    <cellStyle name="Percent 4 2 4 3" xfId="42151"/>
    <cellStyle name="Percent 4 2 4 4" xfId="42152"/>
    <cellStyle name="Percent 4 2 5" xfId="42153"/>
    <cellStyle name="Percent 4 2 5 2" xfId="42154"/>
    <cellStyle name="Percent 4 2 6" xfId="42155"/>
    <cellStyle name="Percent 4 2 7" xfId="42156"/>
    <cellStyle name="Percent 4 2 8" xfId="42157"/>
    <cellStyle name="Percent 4 2 9" xfId="42158"/>
    <cellStyle name="Percent 4 3" xfId="42159"/>
    <cellStyle name="Percent 4 3 2" xfId="42160"/>
    <cellStyle name="Percent 4 3 2 2" xfId="42161"/>
    <cellStyle name="Percent 4 3 2 3" xfId="42162"/>
    <cellStyle name="Percent 4 3 3" xfId="42163"/>
    <cellStyle name="Percent 4 3 4" xfId="42164"/>
    <cellStyle name="Percent 4 3 5" xfId="42165"/>
    <cellStyle name="Percent 4 3 6" xfId="42166"/>
    <cellStyle name="Percent 4 4" xfId="42167"/>
    <cellStyle name="Percent 4 4 2" xfId="42168"/>
    <cellStyle name="Percent 4 4 2 2" xfId="42169"/>
    <cellStyle name="Percent 4 4 3" xfId="42170"/>
    <cellStyle name="Percent 4 4 4" xfId="42171"/>
    <cellStyle name="Percent 4 4 5" xfId="42172"/>
    <cellStyle name="Percent 4 4 6" xfId="42173"/>
    <cellStyle name="Percent 4 5" xfId="42174"/>
    <cellStyle name="Percent 4 5 2" xfId="42175"/>
    <cellStyle name="Percent 4 5 3" xfId="42176"/>
    <cellStyle name="Percent 4 5 4" xfId="42177"/>
    <cellStyle name="Percent 4 5 5" xfId="42178"/>
    <cellStyle name="Percent 4 6" xfId="42179"/>
    <cellStyle name="Percent 4 6 2" xfId="42180"/>
    <cellStyle name="Percent 4 7" xfId="42181"/>
    <cellStyle name="Percent 4 7 2" xfId="42182"/>
    <cellStyle name="Percent 4 8" xfId="42183"/>
    <cellStyle name="Percent 4 9" xfId="42184"/>
    <cellStyle name="Percent 40" xfId="42185"/>
    <cellStyle name="Percent 41" xfId="42186"/>
    <cellStyle name="Percent 42" xfId="42187"/>
    <cellStyle name="Percent 43" xfId="42188"/>
    <cellStyle name="Percent 44" xfId="42189"/>
    <cellStyle name="Percent 45" xfId="42190"/>
    <cellStyle name="Percent 46" xfId="42191"/>
    <cellStyle name="Percent 47" xfId="42192"/>
    <cellStyle name="Percent 48" xfId="42193"/>
    <cellStyle name="Percent 49" xfId="42194"/>
    <cellStyle name="Percent 5" xfId="42195"/>
    <cellStyle name="Percent 5 2" xfId="42196"/>
    <cellStyle name="Percent 5 2 2" xfId="42197"/>
    <cellStyle name="Percent 5 2 2 2" xfId="42198"/>
    <cellStyle name="Percent 5 2 2 3" xfId="42199"/>
    <cellStyle name="Percent 5 2 3" xfId="42200"/>
    <cellStyle name="Percent 5 2 4" xfId="42201"/>
    <cellStyle name="Percent 5 2 5" xfId="42202"/>
    <cellStyle name="Percent 5 2 6" xfId="42203"/>
    <cellStyle name="Percent 5 3" xfId="42204"/>
    <cellStyle name="Percent 5 3 2" xfId="42205"/>
    <cellStyle name="Percent 5 3 2 2" xfId="42206"/>
    <cellStyle name="Percent 5 3 3" xfId="42207"/>
    <cellStyle name="Percent 5 3 4" xfId="42208"/>
    <cellStyle name="Percent 5 3 5" xfId="42209"/>
    <cellStyle name="Percent 5 4" xfId="42210"/>
    <cellStyle name="Percent 5 4 2" xfId="42211"/>
    <cellStyle name="Percent 5 4 3" xfId="42212"/>
    <cellStyle name="Percent 5 4 4" xfId="42213"/>
    <cellStyle name="Percent 5 5" xfId="42214"/>
    <cellStyle name="Percent 5 5 2" xfId="42215"/>
    <cellStyle name="Percent 5 6" xfId="42216"/>
    <cellStyle name="Percent 5 7" xfId="42217"/>
    <cellStyle name="Percent 5 8" xfId="42218"/>
    <cellStyle name="Percent 5 9" xfId="42219"/>
    <cellStyle name="Percent 50" xfId="42220"/>
    <cellStyle name="Percent 51" xfId="42221"/>
    <cellStyle name="Percent 52" xfId="42327"/>
    <cellStyle name="Percent 53" xfId="42328"/>
    <cellStyle name="Percent 6" xfId="42222"/>
    <cellStyle name="Percent 6 2" xfId="42223"/>
    <cellStyle name="Percent 6 2 2" xfId="42224"/>
    <cellStyle name="Percent 6 2 2 2" xfId="42225"/>
    <cellStyle name="Percent 6 2 3" xfId="42226"/>
    <cellStyle name="Percent 6 2 4" xfId="42227"/>
    <cellStyle name="Percent 6 2 5" xfId="42228"/>
    <cellStyle name="Percent 6 3" xfId="42229"/>
    <cellStyle name="Percent 6 3 2" xfId="42230"/>
    <cellStyle name="Percent 6 3 3" xfId="42231"/>
    <cellStyle name="Percent 6 3 4" xfId="42232"/>
    <cellStyle name="Percent 6 4" xfId="42233"/>
    <cellStyle name="Percent 6 4 2" xfId="42234"/>
    <cellStyle name="Percent 6 5" xfId="42235"/>
    <cellStyle name="Percent 6 6" xfId="42236"/>
    <cellStyle name="Percent 6 7" xfId="42237"/>
    <cellStyle name="Percent 6 8" xfId="42238"/>
    <cellStyle name="Percent 7" xfId="42239"/>
    <cellStyle name="Percent 7 2" xfId="42240"/>
    <cellStyle name="Percent 7 2 2" xfId="42241"/>
    <cellStyle name="Percent 7 2 2 2" xfId="42242"/>
    <cellStyle name="Percent 7 2 3" xfId="42243"/>
    <cellStyle name="Percent 7 2 4" xfId="42244"/>
    <cellStyle name="Percent 7 2 5" xfId="42245"/>
    <cellStyle name="Percent 7 3" xfId="42246"/>
    <cellStyle name="Percent 7 3 2" xfId="42247"/>
    <cellStyle name="Percent 7 3 3" xfId="42248"/>
    <cellStyle name="Percent 7 3 4" xfId="42249"/>
    <cellStyle name="Percent 7 4" xfId="42250"/>
    <cellStyle name="Percent 7 4 2" xfId="42251"/>
    <cellStyle name="Percent 7 5" xfId="42252"/>
    <cellStyle name="Percent 7 6" xfId="42253"/>
    <cellStyle name="Percent 7 7" xfId="42254"/>
    <cellStyle name="Percent 7 8" xfId="42255"/>
    <cellStyle name="Percent 8" xfId="42256"/>
    <cellStyle name="Percent 8 2" xfId="42257"/>
    <cellStyle name="Percent 8 2 2" xfId="42258"/>
    <cellStyle name="Percent 8 2 3" xfId="42259"/>
    <cellStyle name="Percent 8 2 4" xfId="42260"/>
    <cellStyle name="Percent 8 3" xfId="42261"/>
    <cellStyle name="Percent 8 3 2" xfId="42262"/>
    <cellStyle name="Percent 8 4" xfId="42263"/>
    <cellStyle name="Percent 8 5" xfId="42264"/>
    <cellStyle name="Percent 8 6" xfId="42265"/>
    <cellStyle name="Percent 8 7" xfId="42266"/>
    <cellStyle name="Percent 9" xfId="42267"/>
    <cellStyle name="Percent 9 2" xfId="42268"/>
    <cellStyle name="Percent 9 2 2" xfId="42269"/>
    <cellStyle name="Percent 9 2 3" xfId="42270"/>
    <cellStyle name="Percent 9 2 4" xfId="42271"/>
    <cellStyle name="Percent 9 3" xfId="42272"/>
    <cellStyle name="Percent 9 3 2" xfId="42273"/>
    <cellStyle name="Percent 9 4" xfId="42274"/>
    <cellStyle name="Percent 9 5" xfId="42275"/>
    <cellStyle name="Percent 9 6" xfId="42276"/>
    <cellStyle name="PSChar" xfId="42277"/>
    <cellStyle name="PSDate" xfId="42278"/>
    <cellStyle name="PSDec" xfId="42279"/>
    <cellStyle name="PSdesc" xfId="42280"/>
    <cellStyle name="PSHeading" xfId="42281"/>
    <cellStyle name="PSInt" xfId="42282"/>
    <cellStyle name="PSSpacer" xfId="42283"/>
    <cellStyle name="PStest" xfId="42284"/>
    <cellStyle name="R00A" xfId="42285"/>
    <cellStyle name="R00B" xfId="42286"/>
    <cellStyle name="R00L" xfId="42287"/>
    <cellStyle name="R01A" xfId="42288"/>
    <cellStyle name="R01B" xfId="42289"/>
    <cellStyle name="R01H" xfId="42290"/>
    <cellStyle name="R01L" xfId="42291"/>
    <cellStyle name="R02A" xfId="42292"/>
    <cellStyle name="R02B" xfId="42293"/>
    <cellStyle name="R02H" xfId="42294"/>
    <cellStyle name="R02L" xfId="42295"/>
    <cellStyle name="R03A" xfId="42296"/>
    <cellStyle name="R03B" xfId="42297"/>
    <cellStyle name="R03H" xfId="42298"/>
    <cellStyle name="R03L" xfId="42299"/>
    <cellStyle name="R04A" xfId="42300"/>
    <cellStyle name="R04B" xfId="42301"/>
    <cellStyle name="R04H" xfId="42302"/>
    <cellStyle name="R04L" xfId="42303"/>
    <cellStyle name="R05A" xfId="42304"/>
    <cellStyle name="R05B" xfId="42305"/>
    <cellStyle name="R05H" xfId="42306"/>
    <cellStyle name="R05L" xfId="42307"/>
    <cellStyle name="R06A" xfId="42308"/>
    <cellStyle name="R06B" xfId="42309"/>
    <cellStyle name="R06H" xfId="42310"/>
    <cellStyle name="R06L" xfId="42311"/>
    <cellStyle name="R07A" xfId="42312"/>
    <cellStyle name="R07B" xfId="42313"/>
    <cellStyle name="R07H" xfId="42314"/>
    <cellStyle name="R07L" xfId="42315"/>
    <cellStyle name="Staff_Days" xfId="42316"/>
    <cellStyle name="STYL1 - Style1" xfId="42317"/>
    <cellStyle name="Total 2" xfId="42318"/>
  </cellStyles>
  <dxfs count="49">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alignment horizontal="center" vertical="bottom" textRotation="0" indent="0" justifyLastLine="0" shrinkToFit="0" readingOrder="1"/>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style="medium">
          <color indexed="64"/>
        </right>
        <top/>
        <bottom/>
      </border>
    </dxf>
    <dxf>
      <alignment horizontal="general"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top/>
        <bottom/>
      </border>
    </dxf>
    <dxf>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top/>
        <bottom/>
      </border>
    </dxf>
    <dxf>
      <alignment vertical="top" textRotation="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top/>
        <bottom/>
      </border>
    </dxf>
    <dxf>
      <alignment vertical="top" textRotation="0" indent="0" justifyLastLine="0" shrinkToFit="0" readingOrder="0"/>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border diagonalUp="0" diagonalDown="0" outline="0">
        <left/>
        <right/>
        <top/>
        <bottom/>
      </border>
    </dxf>
    <dxf>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medium">
          <color indexed="64"/>
        </left>
        <right/>
        <top/>
        <bottom/>
      </border>
    </dxf>
    <dxf>
      <fill>
        <patternFill patternType="none">
          <fgColor rgb="FF000000"/>
          <bgColor rgb="FFFFFFFF"/>
        </patternFill>
      </fill>
      <alignment horizontal="center" vertical="top" textRotation="0" wrapText="0" indent="0" justifyLastLine="0" shrinkToFit="0" readingOrder="1"/>
      <border diagonalUp="0" diagonalDown="0">
        <left style="medium">
          <color indexed="64"/>
        </left>
        <right/>
        <top/>
        <bottom/>
        <vertical/>
        <horizontal/>
      </border>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alignment horizontal="left" vertical="top" textRotation="0" wrapText="0" indent="0" justifyLastLine="0" shrinkToFit="0" readingOrder="0"/>
    </dxf>
    <dxf>
      <font>
        <b/>
        <i val="0"/>
        <strike val="0"/>
        <condense val="0"/>
        <extend val="0"/>
        <outline val="0"/>
        <shadow val="0"/>
        <u val="none"/>
        <vertAlign val="baseline"/>
        <sz val="11"/>
        <color rgb="FF000000"/>
        <name val="Calibri"/>
        <scheme val="none"/>
      </font>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TableStyleLight1 3" pivot="0" count="7">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81014</xdr:colOff>
      <xdr:row>1</xdr:row>
      <xdr:rowOff>265545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69787" cy="8543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baker/Desktop/Reg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Summary 2020 est"/>
      <sheetName val="WAUGP-ATRR 2020 est"/>
      <sheetName val="WAUGP-AS1 2020 est"/>
      <sheetName val="Facilities 2020 est"/>
      <sheetName val="FACILITIES - Included Per AI"/>
      <sheetName val="FACILITIES - Excluded Per AI"/>
      <sheetName val="Facilities Changes 2020"/>
      <sheetName val="WAUW-AS3 2020 est"/>
      <sheetName val="Cost Data 2020 est"/>
      <sheetName val="WAUW-AS5&amp;6 2020 est"/>
      <sheetName val="SSCD Facilities 2020 est"/>
      <sheetName val="Base Plan Upgrades Zonal"/>
      <sheetName val="Base Plan Upgrades Regional"/>
      <sheetName val="Annual Allocator 2020 est"/>
      <sheetName val="Base Plan Upgrades 2020 est"/>
    </sheetNames>
    <sheetDataSet>
      <sheetData sheetId="0"/>
      <sheetData sheetId="1"/>
      <sheetData sheetId="2"/>
      <sheetData sheetId="3"/>
      <sheetData sheetId="4">
        <row r="215">
          <cell r="F215">
            <v>7671000</v>
          </cell>
        </row>
      </sheetData>
      <sheetData sheetId="5"/>
      <sheetData sheetId="6"/>
      <sheetData sheetId="7"/>
      <sheetData sheetId="8"/>
      <sheetData sheetId="9">
        <row r="25">
          <cell r="K25">
            <v>509668.47616130515</v>
          </cell>
        </row>
        <row r="49">
          <cell r="K49">
            <v>157688.57813986941</v>
          </cell>
        </row>
      </sheetData>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3" name="Table142424" displayName="Table142424" ref="A5:N789" totalsRowCount="1" headerRowDxfId="34">
  <tableColumns count="14">
    <tableColumn id="1" name="FID" dataDxfId="33" totalsRowDxfId="32"/>
    <tableColumn id="14" name="Line No." dataDxfId="31" totalsRowDxfId="30"/>
    <tableColumn id="2" name="Facility" dataDxfId="29" totalsRowDxfId="28"/>
    <tableColumn id="3" name="Specific Plant Included" dataDxfId="27" totalsRowDxfId="26"/>
    <tableColumn id="4" name="East or West" dataDxfId="25" totalsRowDxfId="24"/>
    <tableColumn id="5" name="Costs" dataDxfId="23" totalsRowDxfId="22" dataCellStyle="Currency"/>
    <tableColumn id="6" name="1" dataDxfId="21" totalsRowDxfId="20"/>
    <tableColumn id="7" name="1(b)" dataDxfId="19" totalsRowDxfId="18"/>
    <tableColumn id="8" name="2" dataDxfId="17" totalsRowDxfId="16"/>
    <tableColumn id="9" name="3" dataDxfId="15" totalsRowDxfId="14"/>
    <tableColumn id="10" name="4" dataDxfId="13" totalsRowDxfId="12"/>
    <tableColumn id="11" name="5" dataDxfId="11" totalsRowDxfId="10"/>
    <tableColumn id="12" name="6" dataDxfId="9" totalsRowDxfId="8" dataCellStyle="Currency"/>
    <tableColumn id="13"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id="4" name="Table13535" displayName="Table13535" ref="B4:E180" totalsRowShown="0" headerRowDxfId="5" dataDxfId="4">
  <tableColumns count="4">
    <tableColumn id="1" name="Column1" dataDxfId="3"/>
    <tableColumn id="2" name="Facility" dataDxfId="2"/>
    <tableColumn id="3" name="Specific Plant NOT Included" dataDxfId="1"/>
    <tableColumn id="13"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abSelected="1" view="pageBreakPreview" zoomScale="110" zoomScaleNormal="100" zoomScaleSheetLayoutView="110" workbookViewId="0">
      <selection activeCell="A6" sqref="A6:D6"/>
    </sheetView>
  </sheetViews>
  <sheetFormatPr defaultRowHeight="14.5"/>
  <cols>
    <col min="1" max="1" width="55.26953125" customWidth="1"/>
    <col min="2" max="3" width="18.7265625" customWidth="1"/>
    <col min="4" max="4" width="30.7265625" customWidth="1"/>
    <col min="5" max="5" width="36" customWidth="1"/>
    <col min="6" max="6" width="15.26953125" bestFit="1" customWidth="1"/>
    <col min="7" max="7" width="14.54296875" bestFit="1" customWidth="1"/>
    <col min="8" max="8" width="24.1796875" bestFit="1" customWidth="1"/>
    <col min="10" max="10" width="13.26953125" bestFit="1" customWidth="1"/>
  </cols>
  <sheetData>
    <row r="1" spans="1:4" ht="46">
      <c r="A1" s="833"/>
      <c r="B1" s="833"/>
      <c r="C1" s="833"/>
      <c r="D1" s="833"/>
    </row>
    <row r="2" spans="1:4" ht="46">
      <c r="A2" s="833"/>
      <c r="B2" s="833"/>
      <c r="C2" s="833"/>
      <c r="D2" s="833"/>
    </row>
    <row r="3" spans="1:4" ht="46">
      <c r="A3" s="833" t="s">
        <v>2553</v>
      </c>
      <c r="B3" s="833"/>
      <c r="C3" s="833"/>
      <c r="D3" s="833"/>
    </row>
    <row r="4" spans="1:4" ht="36">
      <c r="A4" s="834" t="s">
        <v>2554</v>
      </c>
      <c r="B4" s="834"/>
      <c r="C4" s="834"/>
      <c r="D4" s="834"/>
    </row>
    <row r="5" spans="1:4" ht="46">
      <c r="A5" s="833" t="s">
        <v>1494</v>
      </c>
      <c r="B5" s="833"/>
      <c r="C5" s="833"/>
      <c r="D5" s="833"/>
    </row>
    <row r="6" spans="1:4" ht="46">
      <c r="A6" s="833" t="s">
        <v>1496</v>
      </c>
      <c r="B6" s="833"/>
      <c r="C6" s="833"/>
      <c r="D6" s="833"/>
    </row>
    <row r="7" spans="1:4" ht="46">
      <c r="A7" s="754"/>
      <c r="B7" s="754"/>
      <c r="C7" s="753"/>
      <c r="D7" s="753"/>
    </row>
    <row r="8" spans="1:4" ht="46">
      <c r="A8" s="833" t="s">
        <v>2584</v>
      </c>
      <c r="B8" s="833"/>
      <c r="C8" s="833"/>
      <c r="D8" s="833"/>
    </row>
    <row r="9" spans="1:4" ht="46">
      <c r="A9" s="754"/>
      <c r="B9" s="754"/>
      <c r="C9" s="753"/>
      <c r="D9" s="753"/>
    </row>
    <row r="10" spans="1:4" ht="46">
      <c r="A10" s="833" t="s">
        <v>2588</v>
      </c>
      <c r="B10" s="833"/>
      <c r="C10" s="833"/>
      <c r="D10" s="833"/>
    </row>
    <row r="11" spans="1:4">
      <c r="A11" s="835" t="s">
        <v>2551</v>
      </c>
      <c r="B11" s="835"/>
      <c r="C11" s="835"/>
      <c r="D11" s="835"/>
    </row>
    <row r="12" spans="1:4">
      <c r="A12" s="830"/>
      <c r="B12" s="830"/>
      <c r="C12" s="830"/>
      <c r="D12" s="830"/>
    </row>
    <row r="13" spans="1:4">
      <c r="A13" s="830"/>
      <c r="B13" s="830"/>
      <c r="C13" s="830"/>
      <c r="D13" s="830"/>
    </row>
    <row r="14" spans="1:4">
      <c r="A14" s="835" t="s">
        <v>2552</v>
      </c>
      <c r="B14" s="835"/>
      <c r="C14" s="835"/>
      <c r="D14" s="835"/>
    </row>
    <row r="15" spans="1:4">
      <c r="A15" s="835" t="s">
        <v>1495</v>
      </c>
      <c r="B15" s="835"/>
      <c r="C15" s="835"/>
      <c r="D15" s="835"/>
    </row>
    <row r="16" spans="1:4">
      <c r="A16" s="830"/>
      <c r="B16" s="830"/>
      <c r="C16" s="830"/>
      <c r="D16" s="830"/>
    </row>
    <row r="17" spans="1:4">
      <c r="A17" s="873" t="s">
        <v>2593</v>
      </c>
      <c r="B17" s="873" t="s">
        <v>2594</v>
      </c>
      <c r="C17" s="830"/>
      <c r="D17" s="830"/>
    </row>
    <row r="18" spans="1:4">
      <c r="A18" s="753" t="s">
        <v>2592</v>
      </c>
      <c r="B18" s="832" t="s">
        <v>2595</v>
      </c>
      <c r="C18" s="832"/>
      <c r="D18" s="832"/>
    </row>
    <row r="19" spans="1:4">
      <c r="A19" s="753" t="s">
        <v>2569</v>
      </c>
      <c r="B19" s="832" t="s">
        <v>2596</v>
      </c>
      <c r="C19" s="832"/>
      <c r="D19" s="832"/>
    </row>
    <row r="20" spans="1:4">
      <c r="A20" s="753" t="s">
        <v>2570</v>
      </c>
      <c r="B20" s="832" t="s">
        <v>2597</v>
      </c>
      <c r="C20" s="832"/>
      <c r="D20" s="832"/>
    </row>
    <row r="21" spans="1:4">
      <c r="A21" s="753" t="s">
        <v>2571</v>
      </c>
      <c r="B21" s="832" t="s">
        <v>2598</v>
      </c>
      <c r="C21" s="832"/>
      <c r="D21" s="832"/>
    </row>
    <row r="22" spans="1:4">
      <c r="A22" s="753" t="s">
        <v>2572</v>
      </c>
      <c r="B22" s="832" t="s">
        <v>2600</v>
      </c>
      <c r="C22" s="832"/>
      <c r="D22" s="832"/>
    </row>
    <row r="23" spans="1:4">
      <c r="A23" s="753" t="s">
        <v>2573</v>
      </c>
      <c r="B23" s="829" t="s">
        <v>2601</v>
      </c>
      <c r="C23" s="755"/>
      <c r="D23" s="755"/>
    </row>
    <row r="24" spans="1:4">
      <c r="A24" s="753" t="s">
        <v>2574</v>
      </c>
      <c r="B24" s="832" t="s">
        <v>2602</v>
      </c>
      <c r="C24" s="832"/>
      <c r="D24" s="832"/>
    </row>
    <row r="25" spans="1:4">
      <c r="A25" s="753" t="s">
        <v>2575</v>
      </c>
      <c r="B25" s="829" t="s">
        <v>2603</v>
      </c>
      <c r="C25" s="755"/>
      <c r="D25" s="755"/>
    </row>
    <row r="26" spans="1:4">
      <c r="A26" s="753" t="s">
        <v>2576</v>
      </c>
      <c r="B26" s="832" t="s">
        <v>2599</v>
      </c>
      <c r="C26" s="832"/>
      <c r="D26" s="832"/>
    </row>
    <row r="27" spans="1:4">
      <c r="A27" s="753" t="s">
        <v>2577</v>
      </c>
      <c r="B27" s="832" t="s">
        <v>2604</v>
      </c>
      <c r="C27" s="832"/>
      <c r="D27" s="832"/>
    </row>
    <row r="28" spans="1:4">
      <c r="A28" s="753" t="s">
        <v>2578</v>
      </c>
      <c r="B28" s="756" t="s">
        <v>2605</v>
      </c>
      <c r="C28" s="753"/>
      <c r="D28" s="753"/>
    </row>
    <row r="29" spans="1:4">
      <c r="A29" s="753" t="s">
        <v>2579</v>
      </c>
      <c r="B29" s="756" t="s">
        <v>2606</v>
      </c>
      <c r="C29" s="753"/>
      <c r="D29" s="753"/>
    </row>
    <row r="30" spans="1:4">
      <c r="A30" s="753" t="s">
        <v>2580</v>
      </c>
      <c r="B30" s="756" t="s">
        <v>2607</v>
      </c>
      <c r="C30" s="753"/>
      <c r="D30" s="753"/>
    </row>
    <row r="31" spans="1:4">
      <c r="A31" s="753" t="s">
        <v>2581</v>
      </c>
      <c r="B31" s="832" t="s">
        <v>2608</v>
      </c>
      <c r="C31" s="832"/>
      <c r="D31" s="832"/>
    </row>
    <row r="32" spans="1:4">
      <c r="A32" s="753" t="s">
        <v>2582</v>
      </c>
      <c r="B32" s="832" t="s">
        <v>2609</v>
      </c>
      <c r="C32" s="832"/>
      <c r="D32" s="832"/>
    </row>
    <row r="33" spans="1:4">
      <c r="A33" s="753" t="s">
        <v>2583</v>
      </c>
      <c r="B33" s="756" t="s">
        <v>2610</v>
      </c>
      <c r="C33" s="753"/>
      <c r="D33" s="753"/>
    </row>
  </sheetData>
  <mergeCells count="21">
    <mergeCell ref="A3:D3"/>
    <mergeCell ref="A4:D4"/>
    <mergeCell ref="B22:D22"/>
    <mergeCell ref="A1:D1"/>
    <mergeCell ref="A5:D5"/>
    <mergeCell ref="A6:D6"/>
    <mergeCell ref="A8:D8"/>
    <mergeCell ref="A10:D10"/>
    <mergeCell ref="A11:D11"/>
    <mergeCell ref="A15:D15"/>
    <mergeCell ref="B18:D18"/>
    <mergeCell ref="B19:D19"/>
    <mergeCell ref="B20:D20"/>
    <mergeCell ref="B21:D21"/>
    <mergeCell ref="A14:D14"/>
    <mergeCell ref="A2:D2"/>
    <mergeCell ref="B31:D31"/>
    <mergeCell ref="B32:D32"/>
    <mergeCell ref="B24:D24"/>
    <mergeCell ref="B26:D26"/>
    <mergeCell ref="B27:D27"/>
  </mergeCells>
  <hyperlinks>
    <hyperlink ref="B18:D18" location="'Summary-TrueUp'!A1" display="Worksheet &quot;Summary-TrueUp&quot; -- Calculation of True-ups"/>
    <hyperlink ref="B19:D19" location="'WS1-RateBase'!A1" display="Worksheet 1 -- Calculation of Rate Base"/>
    <hyperlink ref="B20:D20" location="'WS2-AllocFactor'!A1" display="Worksheet 2 -- Allocation Factors"/>
    <hyperlink ref="B21:D21" location="'WS3-RevCredits'!A1" display="Worksheet 3 -- Revenue Credit detail"/>
    <hyperlink ref="B22:D22" location="'WS4-CostData'!A1" display="Worksheet 4 - Cost Support Data"/>
    <hyperlink ref="B23" location="'WS5-BPUz'!A1" display="Worksheet 5 - SPP Base Plan Upgrades (BPU) - Zonal"/>
    <hyperlink ref="B24:D24" location="'WS6-BPUr'!A1" display="Worksheet 6 - SPP Base Plan Upgrades (BPU) - Regional"/>
    <hyperlink ref="B25" location="'WS7-BPUFac'!A1" display="Worksheet 7 - SPP Base Plan Upgrades (BPU) - Facilities"/>
    <hyperlink ref="B26:D26" location="'WS8-TranFac'!A1" display="Worksheet 8 - Transmission Facilities"/>
    <hyperlink ref="B27:D27" location="'WS9-AI-Incl'!A1" display="Worksheet 9 - WAPA-UGP Facilities Included per SPP Tariff Attachment AI"/>
    <hyperlink ref="B28" location="'WS10-AI-Excl'!A1" display="Worksheet 10 - WAPA-UGP Facilities Excluded per SPP Tariff Attachment AI"/>
    <hyperlink ref="B29" location="'WS11-FacChanges'!A1" display="Worksheet 11 - Facility Changes Detail"/>
    <hyperlink ref="B30" location="'WS12-SSCD'!A1" display="Worksheet 12 - Scheduling, System Control and Dispatch Service (SSCD) ARR"/>
    <hyperlink ref="B31:D31" location="'WS13-SSCDFac'!A1" display="Worksheet 13 - Scheduling, System Conrol and Dispatch Service (SSCD) Facilities"/>
    <hyperlink ref="B32:D32" location="'WS14-Reg'!A1" display="Worksheet 14 - Regulaton and Frequency Response ARR"/>
    <hyperlink ref="B33" location="'WS15-Res'!A1" display="Worksheet 15 - Reserves ARR"/>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view="pageBreakPreview" zoomScale="110" zoomScaleNormal="100" zoomScaleSheetLayoutView="110" workbookViewId="0">
      <selection activeCell="A53" sqref="A53"/>
    </sheetView>
  </sheetViews>
  <sheetFormatPr defaultRowHeight="14.5"/>
  <cols>
    <col min="1" max="1" width="55.26953125" customWidth="1"/>
    <col min="2" max="2" width="11.81640625" customWidth="1"/>
    <col min="3" max="4" width="18.7265625" customWidth="1"/>
    <col min="5" max="5" width="18.7265625" style="809" customWidth="1"/>
    <col min="6" max="6" width="23.54296875" customWidth="1"/>
    <col min="7" max="7" width="36" customWidth="1"/>
    <col min="8" max="8" width="15.26953125" bestFit="1" customWidth="1"/>
    <col min="9" max="9" width="14.54296875" bestFit="1" customWidth="1"/>
    <col min="10" max="10" width="24.1796875" bestFit="1" customWidth="1"/>
    <col min="12" max="12" width="13.26953125" bestFit="1" customWidth="1"/>
  </cols>
  <sheetData>
    <row r="1" spans="1:13">
      <c r="A1" s="779" t="str">
        <f>'Cover Sheets'!A10:D10</f>
        <v>WAPA-UGP 2018 Rate True-up Calculation</v>
      </c>
      <c r="B1" s="779"/>
      <c r="C1" s="779"/>
      <c r="D1" s="779"/>
      <c r="E1" s="808"/>
      <c r="F1" s="779"/>
    </row>
    <row r="2" spans="1:13">
      <c r="A2" s="779" t="s">
        <v>2592</v>
      </c>
      <c r="B2" s="779"/>
      <c r="C2" s="779"/>
      <c r="D2" s="779"/>
      <c r="E2" s="808"/>
      <c r="F2" s="779"/>
    </row>
    <row r="3" spans="1:13">
      <c r="A3" s="779" t="s">
        <v>2555</v>
      </c>
      <c r="B3" s="779"/>
      <c r="C3" s="779"/>
      <c r="D3" s="779"/>
      <c r="E3" s="808"/>
      <c r="F3" s="779"/>
    </row>
    <row r="4" spans="1:13" ht="18" customHeight="1">
      <c r="A4" s="836" t="s">
        <v>1215</v>
      </c>
      <c r="B4" s="835"/>
      <c r="C4" s="835"/>
      <c r="D4" s="835"/>
      <c r="E4" s="835"/>
      <c r="F4" s="837"/>
    </row>
    <row r="5" spans="1:13" ht="13.15" customHeight="1" thickBot="1">
      <c r="A5" s="838" t="s">
        <v>1497</v>
      </c>
      <c r="B5" s="839"/>
      <c r="C5" s="839"/>
      <c r="D5" s="839"/>
      <c r="E5" s="839"/>
      <c r="F5" s="840"/>
    </row>
    <row r="6" spans="1:13" s="504" customFormat="1" ht="52.15" customHeight="1">
      <c r="A6" s="757"/>
      <c r="B6" s="355"/>
      <c r="C6" s="758" t="s">
        <v>3</v>
      </c>
      <c r="D6" s="758" t="s">
        <v>3</v>
      </c>
      <c r="E6" s="803"/>
      <c r="F6" s="759" t="s">
        <v>2426</v>
      </c>
      <c r="G6" s="508"/>
      <c r="H6" s="509"/>
      <c r="I6" s="509"/>
      <c r="J6" s="508"/>
      <c r="K6" s="508"/>
    </row>
    <row r="7" spans="1:13" s="504" customFormat="1" ht="26">
      <c r="A7" s="760" t="s">
        <v>1498</v>
      </c>
      <c r="B7" s="793" t="s">
        <v>2542</v>
      </c>
      <c r="C7" s="761" t="s">
        <v>2424</v>
      </c>
      <c r="D7" s="761" t="s">
        <v>2425</v>
      </c>
      <c r="E7" s="804" t="s">
        <v>1096</v>
      </c>
      <c r="F7" s="762" t="s">
        <v>1493</v>
      </c>
      <c r="G7" s="508"/>
      <c r="H7" s="505"/>
      <c r="I7" s="505"/>
      <c r="J7" s="508"/>
      <c r="K7" s="508"/>
    </row>
    <row r="8" spans="1:13">
      <c r="A8" s="763" t="s">
        <v>2543</v>
      </c>
      <c r="B8" s="794" t="s">
        <v>2544</v>
      </c>
      <c r="C8" s="764">
        <f>150606142</f>
        <v>150606142</v>
      </c>
      <c r="D8" s="764">
        <f>'WS1-RateBase'!H7</f>
        <v>154435547.01260826</v>
      </c>
      <c r="E8" s="805"/>
      <c r="F8" s="765">
        <f>D8-C8</f>
        <v>3829405.0126082599</v>
      </c>
      <c r="G8" s="501"/>
      <c r="H8" s="510"/>
      <c r="I8" s="510"/>
      <c r="J8" s="510"/>
      <c r="K8" s="510"/>
      <c r="L8" s="352"/>
      <c r="M8" s="352"/>
    </row>
    <row r="9" spans="1:13">
      <c r="A9" s="515" t="s">
        <v>2527</v>
      </c>
      <c r="B9" s="552" t="s">
        <v>2611</v>
      </c>
      <c r="C9" s="766">
        <v>-5064000</v>
      </c>
      <c r="D9" s="801">
        <v>-7306409</v>
      </c>
      <c r="E9" s="813">
        <v>1</v>
      </c>
      <c r="F9" s="767">
        <f>D9-C9</f>
        <v>-2242409</v>
      </c>
      <c r="G9" s="501"/>
      <c r="H9" s="510"/>
      <c r="I9" s="510"/>
      <c r="J9" s="510"/>
      <c r="K9" s="510"/>
      <c r="L9" s="352"/>
      <c r="M9" s="352"/>
    </row>
    <row r="10" spans="1:13">
      <c r="A10" s="515" t="s">
        <v>2528</v>
      </c>
      <c r="B10" s="552" t="s">
        <v>2612</v>
      </c>
      <c r="C10" s="766">
        <v>-747000</v>
      </c>
      <c r="D10" s="766">
        <v>-2717422</v>
      </c>
      <c r="E10" s="805">
        <v>1</v>
      </c>
      <c r="F10" s="767">
        <f t="shared" ref="F10:F14" si="0">D10-C10</f>
        <v>-1970422</v>
      </c>
      <c r="G10" s="501"/>
      <c r="H10" s="510"/>
      <c r="I10" s="510"/>
      <c r="J10" s="510"/>
      <c r="K10" s="510"/>
      <c r="L10" s="352"/>
      <c r="M10" s="352"/>
    </row>
    <row r="11" spans="1:13">
      <c r="A11" s="515" t="s">
        <v>2529</v>
      </c>
      <c r="B11" s="552"/>
      <c r="C11" s="766">
        <v>0</v>
      </c>
      <c r="D11" s="766">
        <v>-1147145</v>
      </c>
      <c r="E11" s="805">
        <v>1</v>
      </c>
      <c r="F11" s="767">
        <f t="shared" si="0"/>
        <v>-1147145</v>
      </c>
      <c r="G11" s="501"/>
      <c r="H11" s="510"/>
      <c r="I11" s="510"/>
      <c r="J11" s="510"/>
      <c r="K11" s="510"/>
      <c r="L11" s="352"/>
      <c r="M11" s="352"/>
    </row>
    <row r="12" spans="1:13">
      <c r="A12" s="515" t="s">
        <v>2530</v>
      </c>
      <c r="B12" s="552" t="s">
        <v>2545</v>
      </c>
      <c r="C12" s="766">
        <v>-11607518</v>
      </c>
      <c r="D12" s="796">
        <f>-('WS12-SSCD'!C16)</f>
        <v>-11710576.760590237</v>
      </c>
      <c r="E12" s="805">
        <v>1</v>
      </c>
      <c r="F12" s="767">
        <f t="shared" si="0"/>
        <v>-103058.76059023663</v>
      </c>
      <c r="G12" s="501"/>
      <c r="H12" s="510"/>
      <c r="I12" s="510"/>
      <c r="J12" s="510"/>
      <c r="K12" s="510"/>
      <c r="L12" s="352"/>
      <c r="M12" s="352"/>
    </row>
    <row r="13" spans="1:13">
      <c r="A13" s="515" t="s">
        <v>2531</v>
      </c>
      <c r="B13" s="552"/>
      <c r="C13" s="766">
        <v>-103100</v>
      </c>
      <c r="D13" s="766">
        <v>-79567</v>
      </c>
      <c r="E13" s="805">
        <v>1</v>
      </c>
      <c r="F13" s="767">
        <f t="shared" si="0"/>
        <v>23533</v>
      </c>
      <c r="G13" s="501"/>
      <c r="H13" s="510"/>
      <c r="I13" s="510"/>
      <c r="J13" s="510"/>
      <c r="K13" s="510"/>
      <c r="L13" s="352"/>
      <c r="M13" s="352"/>
    </row>
    <row r="14" spans="1:13">
      <c r="A14" s="515" t="s">
        <v>2532</v>
      </c>
      <c r="B14" s="552"/>
      <c r="C14" s="766">
        <v>0</v>
      </c>
      <c r="D14" s="766">
        <v>0</v>
      </c>
      <c r="E14" s="805">
        <v>1</v>
      </c>
      <c r="F14" s="767">
        <f t="shared" si="0"/>
        <v>0</v>
      </c>
      <c r="G14" s="501"/>
      <c r="H14" s="510"/>
      <c r="I14" s="510"/>
      <c r="J14" s="510"/>
      <c r="K14" s="510"/>
      <c r="L14" s="352"/>
      <c r="M14" s="352"/>
    </row>
    <row r="15" spans="1:13" ht="15" thickBot="1">
      <c r="A15" s="768" t="s">
        <v>2298</v>
      </c>
      <c r="B15" s="539"/>
      <c r="C15" s="769">
        <f>SUM(C9:C14)</f>
        <v>-17521618</v>
      </c>
      <c r="D15" s="769">
        <f>SUM(D9:D14)</f>
        <v>-22961119.760590237</v>
      </c>
      <c r="E15" s="810"/>
      <c r="F15" s="770">
        <f>SUM(F9:F14)</f>
        <v>-5439501.7605902366</v>
      </c>
      <c r="G15" s="501"/>
      <c r="H15" s="510"/>
      <c r="I15" s="510"/>
      <c r="J15" s="510"/>
      <c r="K15" s="510"/>
      <c r="L15" s="352"/>
      <c r="M15" s="352"/>
    </row>
    <row r="16" spans="1:13" ht="15" thickTop="1">
      <c r="A16" s="357" t="s">
        <v>2299</v>
      </c>
      <c r="B16" s="356"/>
      <c r="C16" s="766">
        <f>195354</f>
        <v>195354</v>
      </c>
      <c r="D16" s="766">
        <f>C16</f>
        <v>195354</v>
      </c>
      <c r="E16" s="811"/>
      <c r="F16" s="767">
        <f>C16-D16</f>
        <v>0</v>
      </c>
      <c r="G16" s="501"/>
      <c r="H16" s="510"/>
      <c r="I16" s="510"/>
      <c r="J16" s="510"/>
      <c r="K16" s="510"/>
      <c r="L16" s="352"/>
      <c r="M16" s="352"/>
    </row>
    <row r="17" spans="1:13" ht="15" thickBot="1">
      <c r="A17" s="749" t="s">
        <v>2427</v>
      </c>
      <c r="B17" s="663" t="s">
        <v>2544</v>
      </c>
      <c r="C17" s="771">
        <f>C8+C15+C16</f>
        <v>133279878</v>
      </c>
      <c r="D17" s="771">
        <f>D8+D15+D16</f>
        <v>131669781.25201802</v>
      </c>
      <c r="E17" s="812"/>
      <c r="F17" s="772">
        <f>D17-C17</f>
        <v>-1610096.7479819804</v>
      </c>
      <c r="G17" s="501"/>
      <c r="H17" s="510"/>
      <c r="I17" s="510"/>
      <c r="J17" s="510"/>
      <c r="K17" s="510"/>
      <c r="L17" s="352"/>
      <c r="M17" s="352"/>
    </row>
    <row r="18" spans="1:13" ht="15" thickTop="1">
      <c r="A18" s="773" t="s">
        <v>2428</v>
      </c>
      <c r="B18" s="788"/>
      <c r="C18" s="766">
        <f>-133279878</f>
        <v>-133279878</v>
      </c>
      <c r="D18" s="766">
        <f>-133422940</f>
        <v>-133422940</v>
      </c>
      <c r="E18" s="811"/>
      <c r="F18" s="767">
        <f>D18-C18</f>
        <v>-143062</v>
      </c>
      <c r="G18" s="521"/>
      <c r="H18" s="510"/>
      <c r="I18" s="510"/>
      <c r="J18" s="510"/>
      <c r="K18" s="510"/>
      <c r="L18" s="352"/>
      <c r="M18" s="352"/>
    </row>
    <row r="19" spans="1:13" ht="15" thickBot="1">
      <c r="A19" s="768" t="s">
        <v>2613</v>
      </c>
      <c r="B19" s="539"/>
      <c r="C19" s="769">
        <f>C8+C15+C16+C18</f>
        <v>0</v>
      </c>
      <c r="D19" s="769">
        <f>D8+D15+D16+D18</f>
        <v>-1753158.7479819804</v>
      </c>
      <c r="E19" s="810"/>
      <c r="F19" s="772">
        <f>F17+F18</f>
        <v>-1753158.7479819804</v>
      </c>
      <c r="G19" s="501"/>
      <c r="H19" s="510"/>
      <c r="I19" s="510"/>
      <c r="J19" s="510"/>
      <c r="K19" s="510"/>
      <c r="L19" s="352"/>
      <c r="M19" s="352"/>
    </row>
    <row r="20" spans="1:13" ht="15" thickTop="1">
      <c r="A20" s="774"/>
      <c r="B20" s="795"/>
      <c r="C20" s="505"/>
      <c r="D20" s="505"/>
      <c r="E20" s="806"/>
      <c r="F20" s="775"/>
    </row>
    <row r="21" spans="1:13">
      <c r="A21" s="357" t="s">
        <v>2534</v>
      </c>
      <c r="B21" s="356" t="s">
        <v>2546</v>
      </c>
      <c r="C21" s="505"/>
      <c r="D21" s="505"/>
      <c r="E21" s="806"/>
      <c r="F21" s="775"/>
    </row>
    <row r="22" spans="1:13">
      <c r="A22" s="357" t="s">
        <v>2535</v>
      </c>
      <c r="B22" s="356" t="s">
        <v>2546</v>
      </c>
      <c r="C22" s="505"/>
      <c r="D22" s="505"/>
      <c r="E22" s="806"/>
      <c r="F22" s="775"/>
    </row>
    <row r="23" spans="1:13">
      <c r="A23" s="357" t="s">
        <v>2536</v>
      </c>
      <c r="B23" s="356" t="s">
        <v>2546</v>
      </c>
      <c r="C23" s="505"/>
      <c r="D23" s="505"/>
      <c r="E23" s="806"/>
      <c r="F23" s="775"/>
    </row>
    <row r="24" spans="1:13">
      <c r="A24" s="357" t="s">
        <v>2537</v>
      </c>
      <c r="B24" s="356"/>
      <c r="C24" s="505"/>
      <c r="D24" s="505"/>
      <c r="E24" s="806"/>
      <c r="F24" s="775"/>
    </row>
    <row r="25" spans="1:13">
      <c r="A25" s="357" t="s">
        <v>2538</v>
      </c>
      <c r="B25" s="356" t="s">
        <v>2546</v>
      </c>
      <c r="C25" s="505"/>
      <c r="D25" s="505"/>
      <c r="E25" s="806"/>
      <c r="F25" s="775"/>
    </row>
    <row r="26" spans="1:13">
      <c r="A26" s="774"/>
      <c r="B26" s="795"/>
      <c r="C26" s="505"/>
      <c r="D26" s="505"/>
      <c r="E26" s="806"/>
      <c r="F26" s="775"/>
    </row>
    <row r="27" spans="1:13">
      <c r="A27" s="357" t="s">
        <v>2539</v>
      </c>
      <c r="B27" s="356" t="s">
        <v>2546</v>
      </c>
      <c r="C27" s="505"/>
      <c r="D27" s="505"/>
      <c r="E27" s="806"/>
      <c r="F27" s="775"/>
    </row>
    <row r="28" spans="1:13">
      <c r="A28" s="357" t="s">
        <v>2535</v>
      </c>
      <c r="B28" s="356" t="s">
        <v>2546</v>
      </c>
      <c r="C28" s="505"/>
      <c r="D28" s="505"/>
      <c r="E28" s="806"/>
      <c r="F28" s="775"/>
    </row>
    <row r="29" spans="1:13">
      <c r="A29" s="357" t="s">
        <v>2540</v>
      </c>
      <c r="B29" s="356"/>
      <c r="C29" s="505"/>
      <c r="D29" s="505"/>
      <c r="E29" s="806"/>
      <c r="F29" s="775"/>
    </row>
    <row r="30" spans="1:13">
      <c r="A30" s="357" t="s">
        <v>2537</v>
      </c>
      <c r="B30" s="356"/>
      <c r="C30" s="505"/>
      <c r="D30" s="505"/>
      <c r="E30" s="806"/>
      <c r="F30" s="775"/>
    </row>
    <row r="31" spans="1:13">
      <c r="A31" s="357" t="s">
        <v>2541</v>
      </c>
      <c r="B31" s="356" t="s">
        <v>2546</v>
      </c>
      <c r="C31" s="505"/>
      <c r="D31" s="505"/>
      <c r="E31" s="806"/>
      <c r="F31" s="775"/>
    </row>
    <row r="32" spans="1:13">
      <c r="A32" s="774"/>
      <c r="B32" s="795"/>
      <c r="C32" s="505"/>
      <c r="D32" s="505"/>
      <c r="E32" s="806"/>
      <c r="F32" s="775"/>
    </row>
    <row r="33" spans="1:6">
      <c r="A33" s="357" t="s">
        <v>2533</v>
      </c>
      <c r="B33" s="356"/>
      <c r="C33" s="505"/>
      <c r="D33" s="505"/>
      <c r="E33" s="806"/>
      <c r="F33" s="775"/>
    </row>
    <row r="34" spans="1:6">
      <c r="A34" s="774"/>
      <c r="B34" s="795"/>
      <c r="C34" s="505"/>
      <c r="D34" s="505"/>
      <c r="E34" s="806"/>
      <c r="F34" s="775"/>
    </row>
    <row r="35" spans="1:6">
      <c r="A35" s="774"/>
      <c r="B35" s="795"/>
      <c r="C35" s="505"/>
      <c r="D35" s="505"/>
      <c r="E35" s="806"/>
      <c r="F35" s="775"/>
    </row>
    <row r="36" spans="1:6">
      <c r="A36" s="774"/>
      <c r="B36" s="795"/>
      <c r="C36" s="505"/>
      <c r="D36" s="505"/>
      <c r="E36" s="806"/>
      <c r="F36" s="775"/>
    </row>
    <row r="37" spans="1:6">
      <c r="A37" s="774"/>
      <c r="B37" s="795"/>
      <c r="C37" s="505"/>
      <c r="D37" s="505"/>
      <c r="E37" s="806"/>
      <c r="F37" s="775"/>
    </row>
    <row r="38" spans="1:6">
      <c r="A38" s="774"/>
      <c r="B38" s="795"/>
      <c r="C38" s="505"/>
      <c r="D38" s="505"/>
      <c r="E38" s="806"/>
      <c r="F38" s="775"/>
    </row>
    <row r="39" spans="1:6">
      <c r="A39" s="774"/>
      <c r="B39" s="795"/>
      <c r="C39" s="505"/>
      <c r="D39" s="505"/>
      <c r="E39" s="806"/>
      <c r="F39" s="775"/>
    </row>
    <row r="40" spans="1:6">
      <c r="A40" s="774"/>
      <c r="B40" s="795"/>
      <c r="C40" s="505"/>
      <c r="D40" s="505"/>
      <c r="E40" s="806"/>
      <c r="F40" s="775"/>
    </row>
    <row r="41" spans="1:6">
      <c r="A41" s="774"/>
      <c r="B41" s="795"/>
      <c r="C41" s="505"/>
      <c r="D41" s="505"/>
      <c r="E41" s="806"/>
      <c r="F41" s="775"/>
    </row>
    <row r="42" spans="1:6">
      <c r="A42" s="774"/>
      <c r="B42" s="795"/>
      <c r="C42" s="505"/>
      <c r="D42" s="505"/>
      <c r="E42" s="806"/>
      <c r="F42" s="775"/>
    </row>
    <row r="43" spans="1:6">
      <c r="A43" s="774"/>
      <c r="B43" s="795"/>
      <c r="C43" s="505"/>
      <c r="D43" s="505"/>
      <c r="E43" s="806"/>
      <c r="F43" s="775"/>
    </row>
    <row r="44" spans="1:6" ht="31.5" customHeight="1">
      <c r="A44" s="841" t="s">
        <v>2429</v>
      </c>
      <c r="B44" s="842"/>
      <c r="C44" s="842"/>
      <c r="D44" s="797">
        <f>'WS12-SSCD'!C18</f>
        <v>10843410.689535052</v>
      </c>
      <c r="E44" s="814"/>
      <c r="F44" s="776"/>
    </row>
    <row r="45" spans="1:6">
      <c r="A45" s="841" t="s">
        <v>2430</v>
      </c>
      <c r="B45" s="842"/>
      <c r="C45" s="842"/>
      <c r="D45" s="798">
        <f>-9248597</f>
        <v>-9248597</v>
      </c>
      <c r="E45" s="814"/>
      <c r="F45" s="777"/>
    </row>
    <row r="46" spans="1:6" ht="27" customHeight="1" thickBot="1">
      <c r="A46" s="847" t="s">
        <v>2614</v>
      </c>
      <c r="B46" s="848"/>
      <c r="C46" s="848"/>
      <c r="D46" s="799">
        <f>D44+D45</f>
        <v>1594813.6895350516</v>
      </c>
      <c r="E46" s="815"/>
      <c r="F46" s="778"/>
    </row>
    <row r="47" spans="1:6" ht="42" customHeight="1" thickTop="1">
      <c r="A47" s="841" t="s">
        <v>2431</v>
      </c>
      <c r="B47" s="842"/>
      <c r="C47" s="842"/>
      <c r="D47" s="797">
        <f>'WS14-Reg'!C14</f>
        <v>297745.97816663596</v>
      </c>
      <c r="E47" s="811"/>
      <c r="F47" s="776"/>
    </row>
    <row r="48" spans="1:6">
      <c r="A48" s="849" t="s">
        <v>2432</v>
      </c>
      <c r="B48" s="850"/>
      <c r="C48" s="850"/>
      <c r="D48" s="798">
        <f>-188791</f>
        <v>-188791</v>
      </c>
      <c r="E48" s="814"/>
      <c r="F48" s="777"/>
    </row>
    <row r="49" spans="1:6" ht="25.5" customHeight="1" thickBot="1">
      <c r="A49" s="847" t="s">
        <v>2615</v>
      </c>
      <c r="B49" s="848"/>
      <c r="C49" s="848"/>
      <c r="D49" s="799">
        <f>D47+D48</f>
        <v>108954.97816663596</v>
      </c>
      <c r="E49" s="815"/>
      <c r="F49" s="778"/>
    </row>
    <row r="50" spans="1:6" ht="29.25" customHeight="1" thickTop="1">
      <c r="A50" s="841" t="s">
        <v>2433</v>
      </c>
      <c r="B50" s="842"/>
      <c r="C50" s="842"/>
      <c r="D50" s="797">
        <f>'WS15-Res'!C16</f>
        <v>267638.72205137747</v>
      </c>
      <c r="E50" s="811"/>
      <c r="F50" s="776"/>
    </row>
    <row r="51" spans="1:6" ht="26.25" customHeight="1">
      <c r="A51" s="843" t="s">
        <v>2432</v>
      </c>
      <c r="B51" s="844"/>
      <c r="C51" s="844"/>
      <c r="D51" s="802">
        <f>-174628</f>
        <v>-174628</v>
      </c>
      <c r="E51" s="805"/>
      <c r="F51" s="777"/>
    </row>
    <row r="52" spans="1:6" ht="27" customHeight="1">
      <c r="A52" s="845" t="s">
        <v>2616</v>
      </c>
      <c r="B52" s="846"/>
      <c r="C52" s="846"/>
      <c r="D52" s="800">
        <f>D50+D51</f>
        <v>93010.722051377466</v>
      </c>
      <c r="E52" s="807"/>
      <c r="F52" s="775"/>
    </row>
    <row r="53" spans="1:6">
      <c r="A53" s="357" t="s">
        <v>2434</v>
      </c>
      <c r="B53" s="356"/>
      <c r="C53" s="779"/>
      <c r="D53" s="552"/>
      <c r="E53" s="805"/>
      <c r="F53" s="780"/>
    </row>
    <row r="54" spans="1:6" ht="15" thickBot="1">
      <c r="A54" s="713"/>
      <c r="B54" s="781"/>
      <c r="C54" s="781"/>
      <c r="D54" s="781"/>
      <c r="E54" s="808"/>
      <c r="F54" s="782"/>
    </row>
  </sheetData>
  <mergeCells count="11">
    <mergeCell ref="A4:F4"/>
    <mergeCell ref="A5:F5"/>
    <mergeCell ref="A50:C50"/>
    <mergeCell ref="A51:C51"/>
    <mergeCell ref="A52:C52"/>
    <mergeCell ref="A46:C46"/>
    <mergeCell ref="A47:C47"/>
    <mergeCell ref="A49:C49"/>
    <mergeCell ref="A48:C48"/>
    <mergeCell ref="A45:C45"/>
    <mergeCell ref="A44:C44"/>
  </mergeCells>
  <printOptions horizontalCentered="1" verticalCentered="1"/>
  <pageMargins left="0.7" right="0.7" top="0.75" bottom="0.75" header="0.3" footer="0.3"/>
  <pageSetup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view="pageBreakPreview" zoomScale="115" zoomScaleNormal="75" zoomScaleSheetLayoutView="115" workbookViewId="0">
      <selection activeCell="A3" sqref="A3"/>
    </sheetView>
  </sheetViews>
  <sheetFormatPr defaultColWidth="9.1796875" defaultRowHeight="13"/>
  <cols>
    <col min="1" max="1" width="7.7265625" style="36" customWidth="1"/>
    <col min="2" max="2" width="53.453125" style="36" customWidth="1"/>
    <col min="3" max="3" width="25.453125" style="36" customWidth="1"/>
    <col min="4" max="4" width="20" style="36" customWidth="1"/>
    <col min="5" max="5" width="13.1796875" style="39" customWidth="1"/>
    <col min="6" max="6" width="14.1796875" style="38" customWidth="1"/>
    <col min="7" max="7" width="7.81640625" style="36" customWidth="1"/>
    <col min="8" max="8" width="18.26953125" style="36" customWidth="1"/>
    <col min="9" max="9" width="15.54296875" style="36" customWidth="1"/>
    <col min="10" max="10" width="34" style="37" customWidth="1"/>
    <col min="11" max="11" width="21.26953125" style="37" customWidth="1"/>
    <col min="12" max="12" width="20.81640625" style="37" customWidth="1"/>
    <col min="13" max="13" width="19.7265625" style="37" customWidth="1"/>
    <col min="14" max="14" width="22.453125" style="37" customWidth="1"/>
    <col min="15" max="15" width="15.54296875" style="37" customWidth="1"/>
    <col min="16" max="16384" width="9.1796875" style="36"/>
  </cols>
  <sheetData>
    <row r="1" spans="1:12">
      <c r="A1" s="347" t="str">
        <f>'Cover Sheets'!A10:D10</f>
        <v>WAPA-UGP 2018 Rate True-up Calculation</v>
      </c>
      <c r="B1" s="187"/>
      <c r="C1" s="346"/>
      <c r="D1" s="346"/>
      <c r="E1" s="340"/>
      <c r="F1" s="345"/>
      <c r="G1" s="345"/>
      <c r="H1" s="345"/>
      <c r="I1" s="345"/>
      <c r="J1" s="53"/>
    </row>
    <row r="2" spans="1:12">
      <c r="A2" s="281" t="s">
        <v>2556</v>
      </c>
      <c r="B2" s="203"/>
      <c r="C2" s="344"/>
      <c r="D2" s="343"/>
      <c r="E2" s="339"/>
      <c r="F2" s="342"/>
      <c r="G2" s="336"/>
      <c r="H2" s="342"/>
      <c r="I2" s="342"/>
      <c r="J2" s="53"/>
      <c r="L2" s="53"/>
    </row>
    <row r="3" spans="1:12">
      <c r="A3" s="161" t="s">
        <v>1214</v>
      </c>
      <c r="B3" s="203"/>
      <c r="C3" s="344"/>
      <c r="D3" s="343"/>
      <c r="E3" s="339"/>
      <c r="F3" s="342"/>
      <c r="G3" s="336"/>
      <c r="H3" s="342"/>
      <c r="I3" s="342"/>
      <c r="J3" s="53"/>
      <c r="L3" s="53"/>
    </row>
    <row r="4" spans="1:12">
      <c r="A4" s="518" t="s">
        <v>2435</v>
      </c>
      <c r="B4" s="344"/>
      <c r="C4" s="344"/>
      <c r="D4" s="343"/>
      <c r="E4" s="339"/>
      <c r="F4" s="342"/>
      <c r="G4" s="336"/>
      <c r="H4" s="341" t="s">
        <v>1213</v>
      </c>
      <c r="I4" s="342"/>
      <c r="J4" s="53"/>
      <c r="L4" s="53"/>
    </row>
    <row r="5" spans="1:12">
      <c r="A5" s="340" t="s">
        <v>1212</v>
      </c>
      <c r="B5" s="336"/>
      <c r="C5" s="341" t="s">
        <v>1211</v>
      </c>
      <c r="D5" s="341" t="s">
        <v>1210</v>
      </c>
      <c r="F5" s="341" t="s">
        <v>1209</v>
      </c>
      <c r="G5" s="336"/>
      <c r="H5" s="341" t="s">
        <v>1208</v>
      </c>
      <c r="I5" s="336"/>
      <c r="J5" s="53"/>
      <c r="L5" s="53"/>
    </row>
    <row r="6" spans="1:12" ht="13.5" thickBot="1">
      <c r="A6" s="196" t="s">
        <v>1207</v>
      </c>
      <c r="B6" s="340" t="s">
        <v>1206</v>
      </c>
      <c r="C6" s="340" t="s">
        <v>1205</v>
      </c>
      <c r="D6" s="340" t="s">
        <v>1204</v>
      </c>
      <c r="E6" s="339"/>
      <c r="F6" s="338" t="s">
        <v>1203</v>
      </c>
      <c r="G6" s="336"/>
      <c r="H6" s="337" t="s">
        <v>1202</v>
      </c>
      <c r="I6" s="336"/>
      <c r="J6" s="53"/>
      <c r="L6" s="53"/>
    </row>
    <row r="7" spans="1:12" ht="13.5" thickBot="1">
      <c r="A7" s="246">
        <v>1</v>
      </c>
      <c r="B7" s="335" t="s">
        <v>1201</v>
      </c>
      <c r="C7" s="334" t="str">
        <f>"(line "&amp;A91&amp;")"</f>
        <v>(line 70)</v>
      </c>
      <c r="D7" s="333"/>
      <c r="E7" s="332"/>
      <c r="F7" s="241"/>
      <c r="G7" s="242"/>
      <c r="H7" s="331">
        <f>+H91</f>
        <v>154435547.01260826</v>
      </c>
      <c r="I7" s="330"/>
      <c r="J7" s="53"/>
      <c r="L7" s="53"/>
    </row>
    <row r="8" spans="1:12" ht="13.5" thickTop="1">
      <c r="A8" s="172">
        <f>A7+1</f>
        <v>2</v>
      </c>
      <c r="B8" s="166" t="s">
        <v>1049</v>
      </c>
      <c r="C8" s="329" t="s">
        <v>1200</v>
      </c>
      <c r="D8" s="328"/>
      <c r="E8" s="299"/>
      <c r="F8" s="183"/>
      <c r="G8" s="162"/>
      <c r="H8" s="790">
        <f>(-'Summary-TrueUp'!D15)</f>
        <v>22961119.760590237</v>
      </c>
      <c r="I8" s="160"/>
      <c r="J8" s="53"/>
      <c r="L8" s="53"/>
    </row>
    <row r="9" spans="1:12">
      <c r="A9" s="172">
        <f>A8+1</f>
        <v>3</v>
      </c>
      <c r="B9" s="166" t="s">
        <v>1199</v>
      </c>
      <c r="C9" s="325"/>
      <c r="D9" s="162"/>
      <c r="E9" s="296"/>
      <c r="F9" s="183"/>
      <c r="G9" s="162"/>
      <c r="H9" s="326">
        <v>195354</v>
      </c>
      <c r="I9" s="160"/>
      <c r="J9" s="53"/>
      <c r="L9" s="53"/>
    </row>
    <row r="10" spans="1:12">
      <c r="A10" s="172">
        <f t="shared" ref="A10:A11" si="0">A9+1</f>
        <v>4</v>
      </c>
      <c r="B10" s="525" t="s">
        <v>2533</v>
      </c>
      <c r="C10" s="325"/>
      <c r="D10" s="162"/>
      <c r="E10" s="296"/>
      <c r="F10" s="183"/>
      <c r="G10" s="162"/>
      <c r="H10" s="326">
        <v>0</v>
      </c>
      <c r="I10" s="160"/>
      <c r="J10" s="53"/>
      <c r="L10" s="53"/>
    </row>
    <row r="11" spans="1:12" ht="13.5" thickBot="1">
      <c r="A11" s="172">
        <f t="shared" si="0"/>
        <v>5</v>
      </c>
      <c r="B11" s="184" t="s">
        <v>1198</v>
      </c>
      <c r="C11" s="291" t="str">
        <f>"(line "&amp;A7&amp;" - line "&amp;A8&amp;" - line "&amp;A9&amp;" - line "&amp;A10&amp;")"</f>
        <v>(line 1 - line 2 - line 3 - line 4)</v>
      </c>
      <c r="D11" s="324" t="s">
        <v>240</v>
      </c>
      <c r="E11" s="290"/>
      <c r="F11" s="177"/>
      <c r="G11" s="154"/>
      <c r="H11" s="323">
        <f>+H7-H8+H9</f>
        <v>131669781.25201802</v>
      </c>
      <c r="I11" s="287"/>
      <c r="J11" s="53"/>
      <c r="L11" s="53"/>
    </row>
    <row r="12" spans="1:12">
      <c r="A12" s="246"/>
      <c r="B12" s="245" t="s">
        <v>1197</v>
      </c>
      <c r="C12" s="322"/>
      <c r="D12" s="322"/>
      <c r="E12" s="321"/>
      <c r="F12" s="320"/>
      <c r="G12" s="319"/>
      <c r="H12" s="318" t="s">
        <v>1196</v>
      </c>
      <c r="I12" s="317"/>
      <c r="J12" s="53"/>
      <c r="L12" s="53"/>
    </row>
    <row r="13" spans="1:12">
      <c r="A13" s="172"/>
      <c r="B13" s="187" t="s">
        <v>1195</v>
      </c>
      <c r="C13" s="273" t="s">
        <v>1194</v>
      </c>
      <c r="D13" s="273"/>
      <c r="E13" s="299"/>
      <c r="F13" s="262"/>
      <c r="G13" s="298"/>
      <c r="H13" s="161"/>
      <c r="I13" s="173"/>
      <c r="J13" s="53"/>
      <c r="L13" s="53"/>
    </row>
    <row r="14" spans="1:12">
      <c r="A14" s="172">
        <f>A11+1</f>
        <v>6</v>
      </c>
      <c r="B14" s="187" t="s">
        <v>1095</v>
      </c>
      <c r="C14" s="301" t="s">
        <v>1193</v>
      </c>
      <c r="D14" s="316">
        <f>F197</f>
        <v>1122773597.0711999</v>
      </c>
      <c r="E14" s="299" t="s">
        <v>487</v>
      </c>
      <c r="F14" s="278" t="s">
        <v>240</v>
      </c>
      <c r="G14" s="298"/>
      <c r="H14" s="161" t="s">
        <v>240</v>
      </c>
      <c r="I14" s="173"/>
    </row>
    <row r="15" spans="1:12">
      <c r="A15" s="172">
        <f>A14+1</f>
        <v>7</v>
      </c>
      <c r="B15" s="187" t="s">
        <v>1094</v>
      </c>
      <c r="C15" s="301" t="s">
        <v>1193</v>
      </c>
      <c r="D15" s="316">
        <f>F198</f>
        <v>1428641954.3317072</v>
      </c>
      <c r="E15" s="299" t="s">
        <v>1097</v>
      </c>
      <c r="F15" s="278">
        <f>H104</f>
        <v>1</v>
      </c>
      <c r="G15" s="298"/>
      <c r="H15" s="163">
        <f>+F15*D15</f>
        <v>1428641954.3317072</v>
      </c>
      <c r="I15" s="173"/>
    </row>
    <row r="16" spans="1:12">
      <c r="A16" s="172">
        <f>A15+1</f>
        <v>8</v>
      </c>
      <c r="B16" s="187" t="s">
        <v>1093</v>
      </c>
      <c r="C16" s="301" t="s">
        <v>1193</v>
      </c>
      <c r="D16" s="316">
        <f>F199</f>
        <v>53561034.054592967</v>
      </c>
      <c r="E16" s="299" t="s">
        <v>487</v>
      </c>
      <c r="F16" s="278" t="s">
        <v>240</v>
      </c>
      <c r="G16" s="298"/>
      <c r="H16" s="163" t="s">
        <v>240</v>
      </c>
      <c r="I16" s="315"/>
    </row>
    <row r="17" spans="1:12" ht="26">
      <c r="A17" s="172">
        <f>A16+1</f>
        <v>9</v>
      </c>
      <c r="B17" s="217" t="s">
        <v>1192</v>
      </c>
      <c r="C17" s="308" t="s">
        <v>1191</v>
      </c>
      <c r="D17" s="506">
        <v>0</v>
      </c>
      <c r="E17" s="306" t="s">
        <v>1137</v>
      </c>
      <c r="F17" s="305">
        <f>H112</f>
        <v>1</v>
      </c>
      <c r="G17" s="304"/>
      <c r="H17" s="303">
        <f>+F17*D17</f>
        <v>0</v>
      </c>
      <c r="I17" s="173"/>
    </row>
    <row r="18" spans="1:12">
      <c r="A18" s="172">
        <f>A17+1</f>
        <v>10</v>
      </c>
      <c r="B18" s="187" t="s">
        <v>1151</v>
      </c>
      <c r="C18" s="273"/>
      <c r="D18" s="507">
        <v>0</v>
      </c>
      <c r="E18" s="299" t="s">
        <v>1072</v>
      </c>
      <c r="F18" s="278">
        <f>I125</f>
        <v>0</v>
      </c>
      <c r="G18" s="298"/>
      <c r="H18" s="163">
        <f>+F18*D18</f>
        <v>0</v>
      </c>
      <c r="I18" s="173"/>
    </row>
    <row r="19" spans="1:12">
      <c r="A19" s="172">
        <f>A18+1</f>
        <v>11</v>
      </c>
      <c r="B19" s="187" t="s">
        <v>1190</v>
      </c>
      <c r="C19" s="273" t="str">
        <f>"(sum lines "&amp;A14&amp;" to "&amp;A18&amp;")"</f>
        <v>(sum lines 6 to 10)</v>
      </c>
      <c r="D19" s="257">
        <f>SUM(D14:D18)</f>
        <v>2604976585.4575005</v>
      </c>
      <c r="E19" s="299" t="s">
        <v>1189</v>
      </c>
      <c r="F19" s="309">
        <f>IF(H19&gt;0,H19/D19,0)</f>
        <v>0.54842794453785892</v>
      </c>
      <c r="G19" s="298"/>
      <c r="H19" s="254">
        <f>SUM(H14:H18)</f>
        <v>1428641954.3317072</v>
      </c>
      <c r="I19" s="313"/>
    </row>
    <row r="20" spans="1:12">
      <c r="A20" s="172"/>
      <c r="B20" s="187" t="s">
        <v>1188</v>
      </c>
      <c r="C20" s="264"/>
      <c r="D20" s="273"/>
      <c r="E20" s="310"/>
      <c r="F20" s="262"/>
      <c r="G20" s="161"/>
      <c r="H20" s="262"/>
      <c r="I20" s="268"/>
    </row>
    <row r="21" spans="1:12">
      <c r="A21" s="172">
        <f>A19+1</f>
        <v>12</v>
      </c>
      <c r="B21" s="203" t="str">
        <f>+B14</f>
        <v xml:space="preserve">  Production</v>
      </c>
      <c r="C21" s="301" t="s">
        <v>1147</v>
      </c>
      <c r="D21" s="273">
        <f>F206</f>
        <v>585679193.1716882</v>
      </c>
      <c r="E21" s="299" t="str">
        <f>+E14</f>
        <v>NA</v>
      </c>
      <c r="F21" s="278" t="str">
        <f>+F14</f>
        <v xml:space="preserve"> </v>
      </c>
      <c r="G21" s="298"/>
      <c r="H21" s="163" t="s">
        <v>240</v>
      </c>
      <c r="I21" s="268"/>
    </row>
    <row r="22" spans="1:12">
      <c r="A22" s="172">
        <f>A21+1</f>
        <v>13</v>
      </c>
      <c r="B22" s="203" t="str">
        <f>+B15</f>
        <v xml:space="preserve">  Transmission</v>
      </c>
      <c r="C22" s="301" t="s">
        <v>1147</v>
      </c>
      <c r="D22" s="273">
        <f>F207</f>
        <v>693338313.67936575</v>
      </c>
      <c r="E22" s="299" t="str">
        <f>+E15</f>
        <v>TP</v>
      </c>
      <c r="F22" s="278">
        <f>H104</f>
        <v>1</v>
      </c>
      <c r="G22" s="298"/>
      <c r="H22" s="163">
        <f>+F22*D22</f>
        <v>693338313.67936575</v>
      </c>
      <c r="I22" s="268"/>
    </row>
    <row r="23" spans="1:12">
      <c r="A23" s="172">
        <f>A22+1</f>
        <v>14</v>
      </c>
      <c r="B23" s="203" t="str">
        <f>+B16</f>
        <v xml:space="preserve">  Distribution</v>
      </c>
      <c r="C23" s="301" t="s">
        <v>1147</v>
      </c>
      <c r="D23" s="273">
        <f>F208</f>
        <v>25894062.558891177</v>
      </c>
      <c r="E23" s="299" t="str">
        <f>+E16</f>
        <v>NA</v>
      </c>
      <c r="F23" s="278" t="str">
        <f>+F16</f>
        <v xml:space="preserve"> </v>
      </c>
      <c r="G23" s="298"/>
      <c r="H23" s="163" t="s">
        <v>240</v>
      </c>
      <c r="I23" s="268"/>
    </row>
    <row r="24" spans="1:12" ht="26">
      <c r="A24" s="172">
        <f>A23+1</f>
        <v>15</v>
      </c>
      <c r="B24" s="314" t="str">
        <f>+B17</f>
        <v xml:space="preserve">  General &amp; Intangible</v>
      </c>
      <c r="C24" s="308" t="s">
        <v>1187</v>
      </c>
      <c r="D24" s="307">
        <v>0</v>
      </c>
      <c r="E24" s="306" t="str">
        <f>+E17</f>
        <v>W/S</v>
      </c>
      <c r="F24" s="305">
        <f>+F17</f>
        <v>1</v>
      </c>
      <c r="G24" s="304"/>
      <c r="H24" s="303">
        <f>+F24*D24</f>
        <v>0</v>
      </c>
      <c r="I24" s="268"/>
    </row>
    <row r="25" spans="1:12">
      <c r="A25" s="172">
        <f>A24+1</f>
        <v>16</v>
      </c>
      <c r="B25" s="203" t="str">
        <f>+B18</f>
        <v xml:space="preserve">  Common</v>
      </c>
      <c r="C25" s="273"/>
      <c r="D25" s="311">
        <v>0</v>
      </c>
      <c r="E25" s="299" t="str">
        <f>+E18</f>
        <v>CE</v>
      </c>
      <c r="F25" s="278">
        <f>+F18</f>
        <v>0</v>
      </c>
      <c r="G25" s="298"/>
      <c r="H25" s="163">
        <f>+F25*D25</f>
        <v>0</v>
      </c>
      <c r="I25" s="173"/>
    </row>
    <row r="26" spans="1:12">
      <c r="A26" s="172">
        <f>A25+1</f>
        <v>17</v>
      </c>
      <c r="B26" s="187" t="s">
        <v>1186</v>
      </c>
      <c r="C26" s="264" t="str">
        <f>"(sum lines "&amp;A21&amp;" to "&amp;A25&amp;")"</f>
        <v>(sum lines 12 to 16)</v>
      </c>
      <c r="D26" s="257">
        <f>SUM(D21:D25)</f>
        <v>1304911569.409945</v>
      </c>
      <c r="E26" s="310"/>
      <c r="F26" s="262"/>
      <c r="G26" s="298"/>
      <c r="H26" s="254">
        <f>SUM(H21:H25)</f>
        <v>693338313.67936575</v>
      </c>
      <c r="I26" s="313"/>
    </row>
    <row r="27" spans="1:12">
      <c r="A27" s="172"/>
      <c r="B27" s="187" t="s">
        <v>1185</v>
      </c>
      <c r="C27" s="273"/>
      <c r="D27" s="273"/>
      <c r="E27" s="299"/>
      <c r="F27" s="262"/>
      <c r="G27" s="161"/>
      <c r="H27" s="262"/>
      <c r="I27" s="268"/>
    </row>
    <row r="28" spans="1:12">
      <c r="A28" s="172">
        <f>A26+1</f>
        <v>18</v>
      </c>
      <c r="B28" s="203" t="str">
        <f>+B21</f>
        <v xml:space="preserve">  Production</v>
      </c>
      <c r="C28" s="273" t="str">
        <f>"(line "&amp;A14&amp; " - line "&amp;A21&amp;")"</f>
        <v>(line 6 - line 12)</v>
      </c>
      <c r="D28" s="273">
        <f>D14-D21</f>
        <v>537094403.89951169</v>
      </c>
      <c r="E28" s="299"/>
      <c r="F28" s="309"/>
      <c r="G28" s="298"/>
      <c r="H28" s="163" t="s">
        <v>240</v>
      </c>
      <c r="I28" s="268"/>
    </row>
    <row r="29" spans="1:12">
      <c r="A29" s="172">
        <f>A28+1</f>
        <v>19</v>
      </c>
      <c r="B29" s="203" t="str">
        <f>+B22</f>
        <v xml:space="preserve">  Transmission</v>
      </c>
      <c r="C29" s="273" t="str">
        <f>"(line "&amp;A15&amp;" - line "&amp;A22&amp;")"</f>
        <v>(line 7 - line 13)</v>
      </c>
      <c r="D29" s="273">
        <f>D15-D22</f>
        <v>735303640.65234149</v>
      </c>
      <c r="E29" s="299"/>
      <c r="F29" s="278"/>
      <c r="G29" s="298"/>
      <c r="H29" s="163">
        <f>H15-H22</f>
        <v>735303640.65234149</v>
      </c>
      <c r="I29" s="268"/>
    </row>
    <row r="30" spans="1:12">
      <c r="A30" s="172">
        <f>A29+1</f>
        <v>20</v>
      </c>
      <c r="B30" s="203" t="str">
        <f>+B23</f>
        <v xml:space="preserve">  Distribution</v>
      </c>
      <c r="C30" s="273" t="str">
        <f>"(line "&amp;A16&amp;" - line "&amp;A23&amp;")"</f>
        <v>(line 8 - line 14)</v>
      </c>
      <c r="D30" s="273">
        <f>D16-D23</f>
        <v>27666971.49570179</v>
      </c>
      <c r="E30" s="299"/>
      <c r="F30" s="309"/>
      <c r="G30" s="298"/>
      <c r="H30" s="163" t="s">
        <v>240</v>
      </c>
      <c r="I30" s="268"/>
    </row>
    <row r="31" spans="1:12">
      <c r="A31" s="172">
        <f>A30+1</f>
        <v>21</v>
      </c>
      <c r="B31" s="203" t="str">
        <f>+B24</f>
        <v xml:space="preserve">  General &amp; Intangible</v>
      </c>
      <c r="C31" s="273" t="str">
        <f>"(line "&amp;A17&amp;" - line "&amp;A24&amp;")"</f>
        <v>(line 9 - line 15)</v>
      </c>
      <c r="D31" s="273">
        <f>D17-D24</f>
        <v>0</v>
      </c>
      <c r="E31" s="299"/>
      <c r="F31" s="309"/>
      <c r="G31" s="298"/>
      <c r="H31" s="163">
        <f>H17-H24</f>
        <v>0</v>
      </c>
      <c r="I31" s="173"/>
    </row>
    <row r="32" spans="1:12">
      <c r="A32" s="172">
        <f>A31+1</f>
        <v>22</v>
      </c>
      <c r="B32" s="203" t="str">
        <f>+B25</f>
        <v xml:space="preserve">  Common</v>
      </c>
      <c r="C32" s="273" t="str">
        <f>"(line "&amp;A18&amp;" - line "&amp;A25&amp;")"</f>
        <v>(line 10 - line 16)</v>
      </c>
      <c r="D32" s="273">
        <f>D18-D25</f>
        <v>0</v>
      </c>
      <c r="E32" s="299"/>
      <c r="F32" s="309"/>
      <c r="G32" s="298"/>
      <c r="H32" s="163">
        <f>H18-H25</f>
        <v>0</v>
      </c>
      <c r="I32" s="173"/>
      <c r="J32" s="53"/>
      <c r="L32" s="53"/>
    </row>
    <row r="33" spans="1:21">
      <c r="A33" s="172">
        <f>A32+1</f>
        <v>23</v>
      </c>
      <c r="B33" s="187" t="s">
        <v>1184</v>
      </c>
      <c r="C33" s="273" t="str">
        <f>"(sum lines "&amp;A28&amp;" to "&amp;A32&amp;")"</f>
        <v>(sum lines 18 to 22)</v>
      </c>
      <c r="D33" s="257">
        <f>SUM(D28:D32)</f>
        <v>1300065016.047555</v>
      </c>
      <c r="E33" s="299" t="s">
        <v>1183</v>
      </c>
      <c r="F33" s="309">
        <f>IF(H33&gt;0,H33/D33,0)</f>
        <v>0.56558989864045761</v>
      </c>
      <c r="G33" s="298"/>
      <c r="H33" s="254">
        <f>SUM(H28:H32)</f>
        <v>735303640.65234149</v>
      </c>
      <c r="I33" s="313"/>
      <c r="J33" s="53"/>
      <c r="L33" s="53"/>
    </row>
    <row r="34" spans="1:21">
      <c r="A34" s="172"/>
      <c r="B34" s="187" t="s">
        <v>1182</v>
      </c>
      <c r="C34" s="264" t="s">
        <v>1181</v>
      </c>
      <c r="D34" s="273"/>
      <c r="E34" s="310"/>
      <c r="F34" s="262"/>
      <c r="G34" s="161"/>
      <c r="H34" s="262"/>
      <c r="I34" s="173"/>
      <c r="J34" s="53"/>
      <c r="L34" s="53"/>
    </row>
    <row r="35" spans="1:21">
      <c r="A35" s="172">
        <f>A33+1</f>
        <v>24</v>
      </c>
      <c r="B35" s="187" t="s">
        <v>1180</v>
      </c>
      <c r="C35" s="273" t="s">
        <v>1124</v>
      </c>
      <c r="D35" s="311">
        <v>0</v>
      </c>
      <c r="E35" s="299"/>
      <c r="F35" s="278">
        <v>0</v>
      </c>
      <c r="G35" s="298"/>
      <c r="H35" s="163">
        <v>0</v>
      </c>
      <c r="I35" s="173"/>
      <c r="J35" s="53"/>
      <c r="L35" s="53"/>
    </row>
    <row r="36" spans="1:21">
      <c r="A36" s="172">
        <f t="shared" ref="A36:A41" si="1">A35+1</f>
        <v>25</v>
      </c>
      <c r="B36" s="187" t="s">
        <v>1179</v>
      </c>
      <c r="C36" s="273" t="s">
        <v>1124</v>
      </c>
      <c r="D36" s="311">
        <v>0</v>
      </c>
      <c r="E36" s="299" t="s">
        <v>1121</v>
      </c>
      <c r="F36" s="278">
        <f>+F33</f>
        <v>0.56558989864045761</v>
      </c>
      <c r="G36" s="298"/>
      <c r="H36" s="163">
        <f>D36*F36</f>
        <v>0</v>
      </c>
      <c r="I36" s="268"/>
      <c r="J36" s="53"/>
      <c r="L36" s="53"/>
    </row>
    <row r="37" spans="1:21">
      <c r="A37" s="172">
        <f t="shared" si="1"/>
        <v>26</v>
      </c>
      <c r="B37" s="187" t="s">
        <v>1178</v>
      </c>
      <c r="C37" s="273" t="s">
        <v>1124</v>
      </c>
      <c r="D37" s="311">
        <v>0</v>
      </c>
      <c r="E37" s="299" t="s">
        <v>1121</v>
      </c>
      <c r="F37" s="278">
        <f>+F36</f>
        <v>0.56558989864045761</v>
      </c>
      <c r="G37" s="298"/>
      <c r="H37" s="163">
        <f>D37*F37</f>
        <v>0</v>
      </c>
      <c r="I37" s="312"/>
      <c r="J37" s="53"/>
      <c r="L37" s="53"/>
    </row>
    <row r="38" spans="1:21">
      <c r="A38" s="172">
        <f t="shared" si="1"/>
        <v>27</v>
      </c>
      <c r="B38" s="187" t="s">
        <v>1177</v>
      </c>
      <c r="C38" s="273"/>
      <c r="D38" s="311">
        <v>0</v>
      </c>
      <c r="E38" s="299" t="str">
        <f>+E37</f>
        <v>NP</v>
      </c>
      <c r="F38" s="278">
        <f>+F37</f>
        <v>0.56558989864045761</v>
      </c>
      <c r="G38" s="298"/>
      <c r="H38" s="163">
        <f>D38*F38</f>
        <v>0</v>
      </c>
      <c r="I38" s="268"/>
      <c r="J38" s="53"/>
      <c r="L38" s="53"/>
    </row>
    <row r="39" spans="1:21">
      <c r="A39" s="172">
        <f t="shared" si="1"/>
        <v>28</v>
      </c>
      <c r="B39" s="187" t="s">
        <v>1176</v>
      </c>
      <c r="C39" s="273" t="s">
        <v>1124</v>
      </c>
      <c r="D39" s="311">
        <v>0</v>
      </c>
      <c r="E39" s="299" t="s">
        <v>1121</v>
      </c>
      <c r="F39" s="278">
        <f>+F37</f>
        <v>0.56558989864045761</v>
      </c>
      <c r="G39" s="298"/>
      <c r="H39" s="163">
        <f>D39*F39</f>
        <v>0</v>
      </c>
      <c r="I39" s="160"/>
      <c r="J39" s="53"/>
      <c r="L39" s="53"/>
    </row>
    <row r="40" spans="1:21">
      <c r="A40" s="172">
        <f t="shared" si="1"/>
        <v>29</v>
      </c>
      <c r="B40" s="187" t="s">
        <v>1175</v>
      </c>
      <c r="C40" s="273" t="str">
        <f>"(sum lines "&amp;A35&amp;" to "&amp;A39&amp;")"</f>
        <v>(sum lines 24 to 28)</v>
      </c>
      <c r="D40" s="257">
        <f>SUM(D35:D39)</f>
        <v>0</v>
      </c>
      <c r="E40" s="299"/>
      <c r="F40" s="262"/>
      <c r="G40" s="298"/>
      <c r="H40" s="254">
        <f>SUM(H35:H39)</f>
        <v>0</v>
      </c>
      <c r="I40" s="277"/>
      <c r="J40" s="53"/>
      <c r="L40" s="53"/>
    </row>
    <row r="41" spans="1:21">
      <c r="A41" s="172">
        <f t="shared" si="1"/>
        <v>30</v>
      </c>
      <c r="B41" s="187" t="s">
        <v>1174</v>
      </c>
      <c r="C41" s="264" t="s">
        <v>1173</v>
      </c>
      <c r="D41" s="311">
        <v>0</v>
      </c>
      <c r="E41" s="310" t="str">
        <f>+E22</f>
        <v>TP</v>
      </c>
      <c r="F41" s="278">
        <f>+F22</f>
        <v>1</v>
      </c>
      <c r="G41" s="161"/>
      <c r="H41" s="262">
        <f>+F41*D41</f>
        <v>0</v>
      </c>
      <c r="I41" s="160"/>
      <c r="J41" s="53"/>
      <c r="L41" s="53"/>
    </row>
    <row r="42" spans="1:21">
      <c r="A42" s="172"/>
      <c r="B42" s="187" t="s">
        <v>1172</v>
      </c>
      <c r="C42" s="301" t="s">
        <v>1171</v>
      </c>
      <c r="D42" s="273"/>
      <c r="E42" s="299"/>
      <c r="F42" s="262"/>
      <c r="G42" s="298"/>
      <c r="H42" s="163"/>
      <c r="I42" s="192"/>
      <c r="J42" s="53"/>
    </row>
    <row r="43" spans="1:21">
      <c r="A43" s="172">
        <f>A41+1</f>
        <v>31</v>
      </c>
      <c r="B43" s="187" t="s">
        <v>1170</v>
      </c>
      <c r="C43" s="273" t="s">
        <v>1169</v>
      </c>
      <c r="D43" s="273">
        <f>D62/8</f>
        <v>23795535.929999996</v>
      </c>
      <c r="E43" s="299"/>
      <c r="F43" s="309"/>
      <c r="G43" s="298"/>
      <c r="H43" s="163">
        <v>0</v>
      </c>
      <c r="I43" s="302"/>
      <c r="J43" s="53"/>
      <c r="L43" s="53"/>
    </row>
    <row r="44" spans="1:21" ht="26">
      <c r="A44" s="172">
        <f>A43+1</f>
        <v>32</v>
      </c>
      <c r="B44" s="217" t="s">
        <v>1168</v>
      </c>
      <c r="C44" s="308" t="s">
        <v>1167</v>
      </c>
      <c r="D44" s="307">
        <v>0</v>
      </c>
      <c r="E44" s="306" t="s">
        <v>943</v>
      </c>
      <c r="F44" s="305">
        <f>H105</f>
        <v>0</v>
      </c>
      <c r="G44" s="304"/>
      <c r="H44" s="303">
        <f>+F44*D44</f>
        <v>0</v>
      </c>
      <c r="I44" s="302"/>
      <c r="J44" s="53"/>
      <c r="L44" s="53"/>
    </row>
    <row r="45" spans="1:21">
      <c r="A45" s="172">
        <f>A44+1</f>
        <v>33</v>
      </c>
      <c r="B45" s="187" t="s">
        <v>1166</v>
      </c>
      <c r="C45" s="301" t="s">
        <v>1165</v>
      </c>
      <c r="D45" s="300">
        <v>0</v>
      </c>
      <c r="E45" s="299" t="s">
        <v>728</v>
      </c>
      <c r="F45" s="278">
        <f>+F19</f>
        <v>0.54842794453785892</v>
      </c>
      <c r="G45" s="298"/>
      <c r="H45" s="163">
        <f>+F45*D45</f>
        <v>0</v>
      </c>
      <c r="I45" s="189"/>
      <c r="J45" s="53"/>
      <c r="L45" s="53"/>
    </row>
    <row r="46" spans="1:21">
      <c r="A46" s="172">
        <f>A45+1</f>
        <v>34</v>
      </c>
      <c r="B46" s="187" t="s">
        <v>1164</v>
      </c>
      <c r="C46" s="273" t="str">
        <f>"(sum lines "&amp;A43&amp;" to "&amp;A45&amp;")"</f>
        <v>(sum lines 31 to 33)</v>
      </c>
      <c r="D46" s="297">
        <f>D43+D44+D45</f>
        <v>23795535.929999996</v>
      </c>
      <c r="E46" s="296"/>
      <c r="F46" s="295"/>
      <c r="G46" s="294"/>
      <c r="H46" s="293">
        <f>H43+H44+H45</f>
        <v>0</v>
      </c>
      <c r="I46" s="292"/>
      <c r="J46" s="53"/>
      <c r="L46" s="53"/>
    </row>
    <row r="47" spans="1:21" ht="13.5" thickBot="1">
      <c r="A47" s="180">
        <f>A46+1</f>
        <v>35</v>
      </c>
      <c r="B47" s="184" t="s">
        <v>1163</v>
      </c>
      <c r="C47" s="291" t="str">
        <f>"(sum lines "&amp;A33&amp;", "&amp;A40&amp;", "&amp;A41&amp;", "&amp;A46&amp;")"</f>
        <v>(sum lines 23, 29, 30, 34)</v>
      </c>
      <c r="D47" s="291">
        <f>+D46+D41+D40+D33</f>
        <v>1323860551.977555</v>
      </c>
      <c r="E47" s="290"/>
      <c r="F47" s="289"/>
      <c r="G47" s="288"/>
      <c r="H47" s="177">
        <f>+H46+H41+H40+H33</f>
        <v>735303640.65234149</v>
      </c>
      <c r="I47" s="287"/>
      <c r="J47" s="53"/>
      <c r="L47" s="76"/>
    </row>
    <row r="48" spans="1:21">
      <c r="A48" s="246"/>
      <c r="B48" s="244" t="s">
        <v>511</v>
      </c>
      <c r="C48" s="286"/>
      <c r="D48" s="286"/>
      <c r="E48" s="285"/>
      <c r="F48" s="283"/>
      <c r="G48" s="284"/>
      <c r="H48" s="283"/>
      <c r="I48" s="282"/>
      <c r="M48" s="57"/>
      <c r="N48" s="57"/>
      <c r="O48" s="57"/>
      <c r="P48" s="281"/>
      <c r="Q48" s="281"/>
      <c r="R48" s="281"/>
      <c r="S48" s="281"/>
      <c r="T48" s="281"/>
      <c r="U48" s="281"/>
    </row>
    <row r="49" spans="1:9">
      <c r="A49" s="172"/>
      <c r="B49" s="187" t="s">
        <v>1162</v>
      </c>
      <c r="C49" s="258" t="s">
        <v>1161</v>
      </c>
      <c r="D49" s="258"/>
      <c r="E49" s="256"/>
      <c r="F49" s="265"/>
      <c r="G49" s="187"/>
      <c r="H49" s="265"/>
      <c r="I49" s="173"/>
    </row>
    <row r="50" spans="1:9" s="276" customFormat="1">
      <c r="A50" s="172">
        <f>A47+1</f>
        <v>36</v>
      </c>
      <c r="B50" s="187" t="s">
        <v>1146</v>
      </c>
      <c r="C50" s="258"/>
      <c r="D50" s="264">
        <f>C187</f>
        <v>67527563.679999977</v>
      </c>
      <c r="E50" s="256" t="s">
        <v>1084</v>
      </c>
      <c r="F50" s="278">
        <f>H117</f>
        <v>0.95268383678158763</v>
      </c>
      <c r="G50" s="161"/>
      <c r="H50" s="262">
        <f>+F50*D50</f>
        <v>64332418.455175363</v>
      </c>
      <c r="I50" s="173"/>
    </row>
    <row r="51" spans="1:9">
      <c r="A51" s="172">
        <f>A50+1</f>
        <v>37</v>
      </c>
      <c r="B51" s="187" t="s">
        <v>1145</v>
      </c>
      <c r="C51" s="258"/>
      <c r="D51" s="264">
        <f>D187</f>
        <v>46417098.880000003</v>
      </c>
      <c r="E51" s="256" t="s">
        <v>1080</v>
      </c>
      <c r="F51" s="278">
        <f>H120</f>
        <v>1.2462434576061851E-2</v>
      </c>
      <c r="G51" s="161"/>
      <c r="H51" s="262">
        <f>+F51*D51</f>
        <v>578470.05800259381</v>
      </c>
      <c r="I51" s="173"/>
    </row>
    <row r="52" spans="1:9">
      <c r="A52" s="172">
        <f>A51+1</f>
        <v>38</v>
      </c>
      <c r="B52" s="187" t="s">
        <v>1144</v>
      </c>
      <c r="C52" s="258" t="s">
        <v>1160</v>
      </c>
      <c r="D52" s="264">
        <f>E187</f>
        <v>46743530</v>
      </c>
      <c r="E52" s="256" t="s">
        <v>1076</v>
      </c>
      <c r="F52" s="278">
        <f>H123</f>
        <v>5.716043741470056E-2</v>
      </c>
      <c r="G52" s="161"/>
      <c r="H52" s="262">
        <f>+F52*D52</f>
        <v>2671880.6211071783</v>
      </c>
      <c r="I52" s="173"/>
    </row>
    <row r="53" spans="1:9">
      <c r="A53" s="172">
        <f>A52+1</f>
        <v>39</v>
      </c>
      <c r="B53" s="187" t="s">
        <v>1159</v>
      </c>
      <c r="C53" s="258" t="s">
        <v>1158</v>
      </c>
      <c r="D53" s="264"/>
      <c r="E53" s="256" t="s">
        <v>487</v>
      </c>
      <c r="F53" s="278">
        <v>1</v>
      </c>
      <c r="G53" s="161"/>
      <c r="H53" s="262">
        <f>+F53*D53</f>
        <v>0</v>
      </c>
      <c r="I53" s="173"/>
    </row>
    <row r="54" spans="1:9">
      <c r="A54" s="172"/>
      <c r="B54" s="187" t="s">
        <v>1157</v>
      </c>
      <c r="C54" s="258" t="s">
        <v>1156</v>
      </c>
      <c r="D54" s="264"/>
      <c r="E54" s="263"/>
      <c r="F54" s="265"/>
      <c r="G54" s="187"/>
      <c r="H54" s="265"/>
      <c r="I54" s="173"/>
    </row>
    <row r="55" spans="1:9">
      <c r="A55" s="172">
        <f>A53+1</f>
        <v>40</v>
      </c>
      <c r="B55" s="187" t="s">
        <v>1146</v>
      </c>
      <c r="C55" s="258"/>
      <c r="D55" s="264">
        <f>C189</f>
        <v>19762043.349999998</v>
      </c>
      <c r="E55" s="256" t="str">
        <f>E50</f>
        <v>PTP/UGP</v>
      </c>
      <c r="F55" s="278">
        <f>F50</f>
        <v>0.95268383678158763</v>
      </c>
      <c r="G55" s="161"/>
      <c r="H55" s="262">
        <f t="shared" ref="H55:H61" si="2">+F55*D55</f>
        <v>18826979.281322058</v>
      </c>
      <c r="I55" s="268"/>
    </row>
    <row r="56" spans="1:9">
      <c r="A56" s="172">
        <f t="shared" ref="A56:A62" si="3">A55+1</f>
        <v>41</v>
      </c>
      <c r="B56" s="187" t="s">
        <v>1145</v>
      </c>
      <c r="C56" s="258"/>
      <c r="D56" s="264">
        <f>D189</f>
        <v>9914051.5299999993</v>
      </c>
      <c r="E56" s="256" t="str">
        <f>E51</f>
        <v>PTP/RMR</v>
      </c>
      <c r="F56" s="278">
        <f>F51</f>
        <v>1.2462434576061851E-2</v>
      </c>
      <c r="G56" s="161"/>
      <c r="H56" s="262">
        <f t="shared" si="2"/>
        <v>123553.21857633088</v>
      </c>
      <c r="I56" s="268"/>
    </row>
    <row r="57" spans="1:9">
      <c r="A57" s="172">
        <f t="shared" si="3"/>
        <v>42</v>
      </c>
      <c r="B57" s="187" t="s">
        <v>1155</v>
      </c>
      <c r="C57" s="264"/>
      <c r="D57" s="279">
        <v>0</v>
      </c>
      <c r="E57" s="256" t="s">
        <v>1137</v>
      </c>
      <c r="F57" s="278">
        <f>H112</f>
        <v>1</v>
      </c>
      <c r="G57" s="161"/>
      <c r="H57" s="262">
        <f t="shared" si="2"/>
        <v>0</v>
      </c>
      <c r="I57" s="268"/>
    </row>
    <row r="58" spans="1:9">
      <c r="A58" s="172">
        <f t="shared" si="3"/>
        <v>43</v>
      </c>
      <c r="B58" s="187" t="s">
        <v>1154</v>
      </c>
      <c r="C58" s="264" t="s">
        <v>1152</v>
      </c>
      <c r="D58" s="279">
        <v>0</v>
      </c>
      <c r="E58" s="256" t="str">
        <f>+E57</f>
        <v>W/S</v>
      </c>
      <c r="F58" s="278">
        <f>H112</f>
        <v>1</v>
      </c>
      <c r="G58" s="161"/>
      <c r="H58" s="262">
        <f t="shared" si="2"/>
        <v>0</v>
      </c>
      <c r="I58" s="268"/>
    </row>
    <row r="59" spans="1:9">
      <c r="A59" s="172">
        <f t="shared" si="3"/>
        <v>44</v>
      </c>
      <c r="B59" s="187" t="s">
        <v>1153</v>
      </c>
      <c r="C59" s="264" t="s">
        <v>1152</v>
      </c>
      <c r="D59" s="279">
        <v>0</v>
      </c>
      <c r="E59" s="256" t="s">
        <v>943</v>
      </c>
      <c r="F59" s="278">
        <f>H105</f>
        <v>0</v>
      </c>
      <c r="G59" s="161"/>
      <c r="H59" s="262">
        <f t="shared" si="2"/>
        <v>0</v>
      </c>
      <c r="I59" s="268"/>
    </row>
    <row r="60" spans="1:9">
      <c r="A60" s="172">
        <f t="shared" si="3"/>
        <v>45</v>
      </c>
      <c r="B60" s="187" t="s">
        <v>1151</v>
      </c>
      <c r="C60" s="264"/>
      <c r="D60" s="279">
        <v>0</v>
      </c>
      <c r="E60" s="256" t="s">
        <v>1072</v>
      </c>
      <c r="F60" s="278">
        <f>I125</f>
        <v>0</v>
      </c>
      <c r="G60" s="161"/>
      <c r="H60" s="262">
        <f t="shared" si="2"/>
        <v>0</v>
      </c>
      <c r="I60" s="173"/>
    </row>
    <row r="61" spans="1:9">
      <c r="A61" s="172">
        <f t="shared" si="3"/>
        <v>46</v>
      </c>
      <c r="B61" s="187" t="s">
        <v>1150</v>
      </c>
      <c r="C61" s="264"/>
      <c r="D61" s="280">
        <v>0</v>
      </c>
      <c r="E61" s="256" t="s">
        <v>487</v>
      </c>
      <c r="F61" s="278">
        <v>1</v>
      </c>
      <c r="G61" s="161"/>
      <c r="H61" s="262">
        <f t="shared" si="2"/>
        <v>0</v>
      </c>
      <c r="I61" s="173"/>
    </row>
    <row r="62" spans="1:9" ht="26">
      <c r="A62" s="172">
        <f t="shared" si="3"/>
        <v>47</v>
      </c>
      <c r="B62" s="187" t="s">
        <v>1149</v>
      </c>
      <c r="C62" s="272" t="str">
        <f>"(sum lines "&amp;A50&amp;", "&amp;A51&amp;", "&amp;A52&amp;", "&amp;A55&amp;", "&amp;A56&amp;", "&amp;A59&amp;", "&amp;A60&amp;" less "&amp;A53&amp;", "&amp;A57&amp;", "&amp;A58&amp;")"</f>
        <v>(sum lines 36, 37, 38, 40, 41, 44, 45 less 39, 42, 43)</v>
      </c>
      <c r="D62" s="257">
        <f>+D50+D51+D52-D53+D55+D56-D57-D58+D59+D60+D61</f>
        <v>190364287.43999997</v>
      </c>
      <c r="E62" s="256"/>
      <c r="F62" s="262"/>
      <c r="G62" s="161"/>
      <c r="H62" s="254">
        <f>+H50+H51+H52-H53+H55+H56-H57-H58+H59+H60+H61</f>
        <v>86533301.634183526</v>
      </c>
      <c r="I62" s="277"/>
    </row>
    <row r="63" spans="1:9">
      <c r="A63" s="172"/>
      <c r="B63" s="187" t="s">
        <v>1148</v>
      </c>
      <c r="C63" s="264"/>
      <c r="D63" s="273"/>
      <c r="E63" s="186"/>
      <c r="F63" s="262"/>
      <c r="G63" s="161"/>
      <c r="H63" s="262"/>
      <c r="I63" s="268"/>
    </row>
    <row r="64" spans="1:9">
      <c r="A64" s="172">
        <f>A62+1</f>
        <v>48</v>
      </c>
      <c r="B64" s="203" t="str">
        <f>+B49</f>
        <v xml:space="preserve">  Transmission </v>
      </c>
      <c r="C64" s="258" t="s">
        <v>1147</v>
      </c>
      <c r="D64" s="264"/>
      <c r="E64" s="256"/>
      <c r="F64" s="278"/>
      <c r="G64" s="161"/>
      <c r="H64" s="262"/>
      <c r="I64" s="268"/>
    </row>
    <row r="65" spans="1:15">
      <c r="A65" s="172">
        <f t="shared" ref="A65:A70" si="4">A64+1</f>
        <v>49</v>
      </c>
      <c r="B65" s="187" t="s">
        <v>1146</v>
      </c>
      <c r="C65" s="258"/>
      <c r="D65" s="266">
        <f>'WS4-CostData'!C38</f>
        <v>31897801.130000003</v>
      </c>
      <c r="E65" s="256" t="str">
        <f>E50</f>
        <v>PTP/UGP</v>
      </c>
      <c r="F65" s="278">
        <f>F50</f>
        <v>0.95268383678158763</v>
      </c>
      <c r="G65" s="161"/>
      <c r="H65" s="262">
        <f>+F65*D65</f>
        <v>30388519.565424465</v>
      </c>
      <c r="I65" s="268"/>
    </row>
    <row r="66" spans="1:15">
      <c r="A66" s="172">
        <f t="shared" si="4"/>
        <v>50</v>
      </c>
      <c r="B66" s="187" t="s">
        <v>1145</v>
      </c>
      <c r="C66" s="258"/>
      <c r="D66" s="266">
        <f>'WS4-CostData'!E38</f>
        <v>19115399.030000001</v>
      </c>
      <c r="E66" s="256" t="str">
        <f>E51</f>
        <v>PTP/RMR</v>
      </c>
      <c r="F66" s="278">
        <f>F51</f>
        <v>1.2462434576061851E-2</v>
      </c>
      <c r="G66" s="161"/>
      <c r="H66" s="262">
        <f>+F66*D66</f>
        <v>238224.40980669117</v>
      </c>
      <c r="I66" s="268"/>
    </row>
    <row r="67" spans="1:15">
      <c r="A67" s="172">
        <f t="shared" si="4"/>
        <v>51</v>
      </c>
      <c r="B67" s="187" t="s">
        <v>1144</v>
      </c>
      <c r="C67" s="258"/>
      <c r="D67" s="266">
        <f>'WS4-CostData'!G38</f>
        <v>15118338</v>
      </c>
      <c r="E67" s="256" t="s">
        <v>1076</v>
      </c>
      <c r="F67" s="278">
        <f>F52</f>
        <v>5.716043741470056E-2</v>
      </c>
      <c r="G67" s="161"/>
      <c r="H67" s="262">
        <f>+F67*D67</f>
        <v>864170.81306328927</v>
      </c>
      <c r="I67" s="268"/>
    </row>
    <row r="68" spans="1:15">
      <c r="A68" s="172">
        <f t="shared" si="4"/>
        <v>52</v>
      </c>
      <c r="B68" s="187" t="s">
        <v>1143</v>
      </c>
      <c r="C68" s="258"/>
      <c r="D68" s="279">
        <v>0</v>
      </c>
      <c r="E68" s="256" t="s">
        <v>1137</v>
      </c>
      <c r="F68" s="278">
        <f>H112</f>
        <v>1</v>
      </c>
      <c r="G68" s="161"/>
      <c r="H68" s="262">
        <f>+F68*D68</f>
        <v>0</v>
      </c>
      <c r="I68" s="268"/>
    </row>
    <row r="69" spans="1:15">
      <c r="A69" s="172">
        <f t="shared" si="4"/>
        <v>53</v>
      </c>
      <c r="B69" s="203" t="str">
        <f>+B60</f>
        <v xml:space="preserve">  Common</v>
      </c>
      <c r="C69" s="264"/>
      <c r="D69" s="279">
        <v>0</v>
      </c>
      <c r="E69" s="256" t="s">
        <v>1072</v>
      </c>
      <c r="F69" s="278">
        <f>+F60</f>
        <v>0</v>
      </c>
      <c r="G69" s="161"/>
      <c r="H69" s="262">
        <f>+F69*D69</f>
        <v>0</v>
      </c>
      <c r="I69" s="268"/>
      <c r="J69" s="76"/>
      <c r="L69" s="76"/>
    </row>
    <row r="70" spans="1:15">
      <c r="A70" s="172">
        <f t="shared" si="4"/>
        <v>54</v>
      </c>
      <c r="B70" s="187" t="s">
        <v>1142</v>
      </c>
      <c r="C70" s="264" t="str">
        <f>"(sum lines "&amp;A64&amp;" to "&amp;A69&amp;")"</f>
        <v>(sum lines 48 to 53)</v>
      </c>
      <c r="D70" s="257">
        <f>SUM(D64:D69)</f>
        <v>66131538.160000004</v>
      </c>
      <c r="E70" s="256"/>
      <c r="F70" s="262"/>
      <c r="G70" s="161"/>
      <c r="H70" s="254">
        <f>SUM(H64:H69)</f>
        <v>31490914.788294446</v>
      </c>
      <c r="I70" s="277"/>
      <c r="J70" s="76"/>
      <c r="L70" s="76"/>
    </row>
    <row r="71" spans="1:15">
      <c r="A71" s="172"/>
      <c r="B71" s="187" t="s">
        <v>1141</v>
      </c>
      <c r="C71" s="258" t="s">
        <v>1140</v>
      </c>
      <c r="D71" s="273"/>
      <c r="E71" s="186"/>
      <c r="F71" s="262"/>
      <c r="G71" s="161"/>
      <c r="H71" s="262"/>
      <c r="I71" s="173"/>
      <c r="J71" s="76"/>
      <c r="L71" s="76"/>
    </row>
    <row r="72" spans="1:15" s="276" customFormat="1">
      <c r="A72" s="172"/>
      <c r="B72" s="187" t="s">
        <v>1139</v>
      </c>
      <c r="C72" s="258"/>
      <c r="D72" s="258"/>
      <c r="E72" s="256"/>
      <c r="F72" s="265"/>
      <c r="G72" s="161"/>
      <c r="H72" s="265"/>
      <c r="I72" s="189"/>
      <c r="J72" s="76"/>
      <c r="K72" s="37"/>
      <c r="L72" s="76"/>
      <c r="M72" s="150"/>
      <c r="N72" s="150"/>
      <c r="O72" s="150"/>
    </row>
    <row r="73" spans="1:15">
      <c r="A73" s="172">
        <f>A70+1</f>
        <v>55</v>
      </c>
      <c r="B73" s="187" t="s">
        <v>1138</v>
      </c>
      <c r="C73" s="264"/>
      <c r="D73" s="266">
        <v>0</v>
      </c>
      <c r="E73" s="256" t="s">
        <v>1137</v>
      </c>
      <c r="F73" s="255">
        <f>+F68</f>
        <v>1</v>
      </c>
      <c r="G73" s="161"/>
      <c r="H73" s="262">
        <f>+F73*D73</f>
        <v>0</v>
      </c>
      <c r="I73" s="189"/>
      <c r="J73" s="76"/>
      <c r="L73" s="76"/>
    </row>
    <row r="74" spans="1:15">
      <c r="A74" s="172">
        <f>A73+1</f>
        <v>56</v>
      </c>
      <c r="B74" s="187" t="s">
        <v>1136</v>
      </c>
      <c r="C74" s="264"/>
      <c r="D74" s="266">
        <v>0</v>
      </c>
      <c r="E74" s="256" t="str">
        <f>+E73</f>
        <v>W/S</v>
      </c>
      <c r="F74" s="255">
        <f>+F73</f>
        <v>1</v>
      </c>
      <c r="G74" s="161"/>
      <c r="H74" s="262">
        <f>+F74*D74</f>
        <v>0</v>
      </c>
      <c r="I74" s="189"/>
      <c r="J74" s="275"/>
      <c r="K74" s="150"/>
      <c r="L74" s="275"/>
    </row>
    <row r="75" spans="1:15">
      <c r="A75" s="172"/>
      <c r="B75" s="187" t="s">
        <v>1135</v>
      </c>
      <c r="C75" s="264"/>
      <c r="D75" s="258"/>
      <c r="E75" s="256"/>
      <c r="F75" s="265"/>
      <c r="G75" s="161"/>
      <c r="H75" s="265"/>
      <c r="I75" s="189"/>
      <c r="J75" s="76"/>
      <c r="L75" s="76"/>
    </row>
    <row r="76" spans="1:15">
      <c r="A76" s="172">
        <f>A74+1</f>
        <v>57</v>
      </c>
      <c r="B76" s="187" t="s">
        <v>1134</v>
      </c>
      <c r="C76" s="264"/>
      <c r="D76" s="266">
        <v>0</v>
      </c>
      <c r="E76" s="256" t="s">
        <v>728</v>
      </c>
      <c r="F76" s="255">
        <f>+F19</f>
        <v>0.54842794453785892</v>
      </c>
      <c r="G76" s="161"/>
      <c r="H76" s="262">
        <f>+F76*D76</f>
        <v>0</v>
      </c>
      <c r="I76" s="189"/>
      <c r="J76" s="76"/>
      <c r="L76" s="76"/>
    </row>
    <row r="77" spans="1:15">
      <c r="A77" s="172">
        <f>A76+1</f>
        <v>58</v>
      </c>
      <c r="B77" s="187" t="s">
        <v>1133</v>
      </c>
      <c r="C77" s="264"/>
      <c r="D77" s="266">
        <v>0</v>
      </c>
      <c r="E77" s="256"/>
      <c r="F77" s="255">
        <v>0</v>
      </c>
      <c r="G77" s="161"/>
      <c r="H77" s="262">
        <v>0</v>
      </c>
      <c r="I77" s="189"/>
      <c r="J77" s="76"/>
      <c r="L77" s="76"/>
    </row>
    <row r="78" spans="1:15">
      <c r="A78" s="172">
        <f>A77+1</f>
        <v>59</v>
      </c>
      <c r="B78" s="187" t="s">
        <v>1132</v>
      </c>
      <c r="C78" s="264"/>
      <c r="D78" s="266">
        <v>0</v>
      </c>
      <c r="E78" s="256" t="str">
        <f>+E76</f>
        <v>GP</v>
      </c>
      <c r="F78" s="255">
        <f>+F76</f>
        <v>0.54842794453785892</v>
      </c>
      <c r="G78" s="161"/>
      <c r="H78" s="262">
        <f>+F78*D78</f>
        <v>0</v>
      </c>
      <c r="I78" s="189"/>
      <c r="J78" s="76"/>
      <c r="L78" s="76"/>
    </row>
    <row r="79" spans="1:15">
      <c r="A79" s="172">
        <f>A78+1</f>
        <v>60</v>
      </c>
      <c r="B79" s="187" t="s">
        <v>1131</v>
      </c>
      <c r="C79" s="264"/>
      <c r="D79" s="266">
        <v>0</v>
      </c>
      <c r="E79" s="256" t="s">
        <v>728</v>
      </c>
      <c r="F79" s="255">
        <f>+F78</f>
        <v>0.54842794453785892</v>
      </c>
      <c r="G79" s="161"/>
      <c r="H79" s="262">
        <f>+F79*D79</f>
        <v>0</v>
      </c>
      <c r="I79" s="189"/>
      <c r="J79" s="76"/>
      <c r="L79" s="76"/>
    </row>
    <row r="80" spans="1:15">
      <c r="A80" s="172">
        <f>A79+1</f>
        <v>61</v>
      </c>
      <c r="B80" s="187" t="s">
        <v>1130</v>
      </c>
      <c r="C80" s="264" t="str">
        <f>"(sum lines "&amp;A73&amp;" to "&amp;A79&amp;")"</f>
        <v>(sum lines 55 to 60)</v>
      </c>
      <c r="D80" s="257">
        <f>SUM(D73:D79)</f>
        <v>0</v>
      </c>
      <c r="E80" s="256"/>
      <c r="F80" s="255"/>
      <c r="G80" s="161"/>
      <c r="H80" s="254">
        <f>SUM(H73:H79)</f>
        <v>0</v>
      </c>
      <c r="I80" s="274"/>
      <c r="J80" s="76"/>
      <c r="L80" s="76"/>
    </row>
    <row r="81" spans="1:12">
      <c r="A81" s="172"/>
      <c r="B81" s="187" t="s">
        <v>1129</v>
      </c>
      <c r="C81" s="260" t="s">
        <v>1128</v>
      </c>
      <c r="D81" s="273"/>
      <c r="E81" s="186" t="s">
        <v>487</v>
      </c>
      <c r="F81" s="255"/>
      <c r="G81" s="161"/>
      <c r="H81" s="262"/>
      <c r="I81" s="189"/>
      <c r="J81" s="76"/>
      <c r="L81" s="76"/>
    </row>
    <row r="82" spans="1:12">
      <c r="A82" s="172">
        <f>A80+1</f>
        <v>62</v>
      </c>
      <c r="B82" s="261" t="s">
        <v>1127</v>
      </c>
      <c r="C82" s="272"/>
      <c r="D82" s="271">
        <f>IF(D161&gt;0,1-(((1-D162)*(1-D161))/(1-D162*D161*D163)),0)</f>
        <v>0</v>
      </c>
      <c r="E82" s="256"/>
      <c r="F82" s="255"/>
      <c r="G82" s="161"/>
      <c r="H82" s="265"/>
      <c r="I82" s="173"/>
      <c r="J82" s="76"/>
      <c r="L82" s="76"/>
    </row>
    <row r="83" spans="1:12" ht="14">
      <c r="A83" s="172">
        <f>A82+1</f>
        <v>63</v>
      </c>
      <c r="B83" s="187" t="s">
        <v>1126</v>
      </c>
      <c r="C83" s="272"/>
      <c r="D83" s="271">
        <f>IF(H136&gt;0,(D82/(1-D82))*(1-H134/H136),0)</f>
        <v>0</v>
      </c>
      <c r="E83" s="256"/>
      <c r="F83" s="270"/>
      <c r="G83" s="161"/>
      <c r="H83" s="265"/>
      <c r="I83" s="189"/>
      <c r="J83" s="76"/>
      <c r="L83" s="76"/>
    </row>
    <row r="84" spans="1:12" ht="26">
      <c r="A84" s="172"/>
      <c r="B84" s="269" t="str">
        <f>"     where WCLTD= (line "&amp;A134&amp;") and R= (line "&amp;A136&amp;") and FIT, SIT &amp; p are as given in footnote I."</f>
        <v xml:space="preserve">     where WCLTD= (line 101) and R= (line 103) and FIT, SIT &amp; p are as given in footnote I.</v>
      </c>
      <c r="C84" s="264"/>
      <c r="D84" s="264"/>
      <c r="E84" s="256"/>
      <c r="F84" s="255"/>
      <c r="G84" s="161"/>
      <c r="H84" s="265"/>
      <c r="I84" s="268"/>
      <c r="J84" s="76"/>
      <c r="L84" s="76"/>
    </row>
    <row r="85" spans="1:12">
      <c r="A85" s="172">
        <f>A83+1</f>
        <v>64</v>
      </c>
      <c r="B85" s="261" t="str">
        <f>"      1 / (1 - T)  = (from line "&amp;A82&amp;")"</f>
        <v xml:space="preserve">      1 / (1 - T)  = (from line 62)</v>
      </c>
      <c r="C85" s="264"/>
      <c r="D85" s="267">
        <f>IF(D82&gt;0,1/(1-D82),0)</f>
        <v>0</v>
      </c>
      <c r="E85" s="256"/>
      <c r="F85" s="255"/>
      <c r="G85" s="161"/>
      <c r="H85" s="265"/>
      <c r="I85" s="160"/>
      <c r="J85" s="76"/>
      <c r="L85" s="76"/>
    </row>
    <row r="86" spans="1:12">
      <c r="A86" s="172">
        <f t="shared" ref="A86:A91" si="5">A85+1</f>
        <v>65</v>
      </c>
      <c r="B86" s="187" t="s">
        <v>1125</v>
      </c>
      <c r="C86" s="264" t="s">
        <v>1124</v>
      </c>
      <c r="D86" s="266">
        <v>0</v>
      </c>
      <c r="E86" s="256"/>
      <c r="F86" s="255"/>
      <c r="G86" s="161"/>
      <c r="H86" s="265">
        <v>0</v>
      </c>
      <c r="I86" s="160"/>
      <c r="J86" s="53"/>
      <c r="L86" s="76"/>
    </row>
    <row r="87" spans="1:12">
      <c r="A87" s="172">
        <f t="shared" si="5"/>
        <v>66</v>
      </c>
      <c r="B87" s="261" t="s">
        <v>1123</v>
      </c>
      <c r="C87" s="260" t="str">
        <f>"(line "&amp;A83&amp;" * line "&amp;A90&amp;")"</f>
        <v>(line 63 * line 69)</v>
      </c>
      <c r="D87" s="264">
        <f>D83*D90</f>
        <v>0</v>
      </c>
      <c r="E87" s="256" t="s">
        <v>487</v>
      </c>
      <c r="F87" s="255"/>
      <c r="G87" s="161"/>
      <c r="H87" s="262">
        <f>D83*H90</f>
        <v>0</v>
      </c>
      <c r="I87" s="160"/>
      <c r="J87" s="53"/>
      <c r="L87" s="53"/>
    </row>
    <row r="88" spans="1:12">
      <c r="A88" s="172">
        <f t="shared" si="5"/>
        <v>67</v>
      </c>
      <c r="B88" s="187" t="s">
        <v>1122</v>
      </c>
      <c r="C88" s="260" t="str">
        <f>"(line "&amp;A85&amp;" * line "&amp;A86&amp;")"</f>
        <v>(line 64 * line 65)</v>
      </c>
      <c r="D88" s="264">
        <f>D85*D86</f>
        <v>0</v>
      </c>
      <c r="E88" s="263" t="s">
        <v>1121</v>
      </c>
      <c r="F88" s="255">
        <f>F33</f>
        <v>0.56558989864045761</v>
      </c>
      <c r="G88" s="161"/>
      <c r="H88" s="262">
        <f>F88*D88</f>
        <v>0</v>
      </c>
      <c r="I88" s="160"/>
      <c r="J88" s="53"/>
      <c r="L88" s="53"/>
    </row>
    <row r="89" spans="1:12">
      <c r="A89" s="172">
        <f t="shared" si="5"/>
        <v>68</v>
      </c>
      <c r="B89" s="261" t="s">
        <v>1120</v>
      </c>
      <c r="C89" s="260" t="str">
        <f>"(line "&amp;A87&amp;" + line "&amp;A88&amp;")"</f>
        <v>(line 66 + line 67)</v>
      </c>
      <c r="D89" s="259">
        <f>+D87+D88</f>
        <v>0</v>
      </c>
      <c r="E89" s="186" t="s">
        <v>240</v>
      </c>
      <c r="F89" s="255" t="s">
        <v>240</v>
      </c>
      <c r="G89" s="161"/>
      <c r="H89" s="254">
        <f>+H87+H88</f>
        <v>0</v>
      </c>
      <c r="I89" s="253"/>
      <c r="J89" s="53"/>
      <c r="L89" s="53"/>
    </row>
    <row r="90" spans="1:12">
      <c r="A90" s="172">
        <f t="shared" si="5"/>
        <v>69</v>
      </c>
      <c r="B90" s="187" t="s">
        <v>1119</v>
      </c>
      <c r="C90" s="258" t="str">
        <f>"(line "&amp;A47&amp;" * line "&amp;A131&amp;")"</f>
        <v>(line 35 * line 100)</v>
      </c>
      <c r="D90" s="257">
        <f>+$H136*D47</f>
        <v>65555943.896214426</v>
      </c>
      <c r="E90" s="256" t="s">
        <v>487</v>
      </c>
      <c r="F90" s="255"/>
      <c r="G90" s="161"/>
      <c r="H90" s="254">
        <f>+$H136*H47</f>
        <v>36411330.590130284</v>
      </c>
      <c r="I90" s="253"/>
      <c r="J90" s="53"/>
      <c r="L90" s="76"/>
    </row>
    <row r="91" spans="1:12" ht="13.5" thickBot="1">
      <c r="A91" s="180">
        <f t="shared" si="5"/>
        <v>70</v>
      </c>
      <c r="B91" s="184" t="s">
        <v>1118</v>
      </c>
      <c r="C91" s="252" t="str">
        <f>"(sum lines "&amp;A62&amp;", "&amp;A70&amp;" ,"&amp;A80&amp;", "&amp;A89&amp;", "&amp;A90&amp;")"</f>
        <v>(sum lines 47, 54 ,61, 68, 69)</v>
      </c>
      <c r="D91" s="251">
        <f>+D90+D89+D80+D70+D62</f>
        <v>322051769.49621439</v>
      </c>
      <c r="E91" s="250"/>
      <c r="F91" s="249"/>
      <c r="G91" s="154"/>
      <c r="H91" s="248">
        <f>+H90+H89+H80+H70+H62</f>
        <v>154435547.01260826</v>
      </c>
      <c r="I91" s="247"/>
      <c r="J91" s="76"/>
      <c r="L91" s="76"/>
    </row>
    <row r="92" spans="1:12">
      <c r="A92" s="246"/>
      <c r="B92" s="244"/>
      <c r="C92" s="245" t="s">
        <v>1117</v>
      </c>
      <c r="D92" s="244"/>
      <c r="E92" s="243"/>
      <c r="F92" s="241"/>
      <c r="G92" s="242"/>
      <c r="H92" s="241"/>
      <c r="I92" s="240"/>
      <c r="J92" s="122"/>
      <c r="L92" s="122"/>
    </row>
    <row r="93" spans="1:12">
      <c r="A93" s="172"/>
      <c r="B93" s="187" t="s">
        <v>1116</v>
      </c>
      <c r="C93" s="162"/>
      <c r="D93" s="162"/>
      <c r="E93" s="164"/>
      <c r="F93" s="183"/>
      <c r="G93" s="162"/>
      <c r="H93" s="183"/>
      <c r="I93" s="173"/>
      <c r="J93" s="76"/>
      <c r="L93" s="122" t="s">
        <v>240</v>
      </c>
    </row>
    <row r="94" spans="1:12">
      <c r="A94" s="172">
        <f>A91+1</f>
        <v>71</v>
      </c>
      <c r="B94" s="166" t="s">
        <v>1115</v>
      </c>
      <c r="C94" s="162" t="str">
        <f>"(line "&amp;A15&amp;", column 3)"</f>
        <v>(line 7, column 3)</v>
      </c>
      <c r="D94" s="161"/>
      <c r="E94" s="186"/>
      <c r="F94" s="163"/>
      <c r="G94" s="161"/>
      <c r="H94" s="163">
        <f>+D15</f>
        <v>1428641954.3317072</v>
      </c>
      <c r="I94" s="173"/>
      <c r="J94" s="76"/>
      <c r="L94" s="76"/>
    </row>
    <row r="95" spans="1:12">
      <c r="A95" s="172">
        <f>A94+1</f>
        <v>72</v>
      </c>
      <c r="B95" s="166" t="s">
        <v>1114</v>
      </c>
      <c r="C95" s="187" t="s">
        <v>1113</v>
      </c>
      <c r="D95" s="187"/>
      <c r="E95" s="196"/>
      <c r="F95" s="195"/>
      <c r="G95" s="187"/>
      <c r="H95" s="239">
        <v>0</v>
      </c>
      <c r="I95" s="173"/>
      <c r="J95" s="76"/>
      <c r="L95" s="76"/>
    </row>
    <row r="96" spans="1:12" ht="13.5" thickBot="1">
      <c r="A96" s="172">
        <f>A95+1</f>
        <v>73</v>
      </c>
      <c r="B96" s="158" t="s">
        <v>1112</v>
      </c>
      <c r="C96" s="155" t="s">
        <v>1111</v>
      </c>
      <c r="D96" s="154"/>
      <c r="E96" s="186"/>
      <c r="F96" s="163"/>
      <c r="G96" s="161"/>
      <c r="H96" s="238">
        <v>0</v>
      </c>
      <c r="I96" s="189"/>
      <c r="J96" s="76"/>
      <c r="L96" s="76"/>
    </row>
    <row r="97" spans="1:12">
      <c r="A97" s="172">
        <f>A96+1</f>
        <v>74</v>
      </c>
      <c r="B97" s="166" t="s">
        <v>1110</v>
      </c>
      <c r="C97" s="162" t="str">
        <f>"(line "&amp;A94&amp;" less line "&amp;A95&amp;" and "&amp;A96&amp;")"</f>
        <v>(line 71 less line 72 and 73)</v>
      </c>
      <c r="D97" s="161"/>
      <c r="E97" s="186"/>
      <c r="F97" s="163"/>
      <c r="G97" s="161"/>
      <c r="H97" s="163">
        <f>H94-H95-H96</f>
        <v>1428641954.3317072</v>
      </c>
      <c r="I97" s="189"/>
      <c r="J97" s="76"/>
      <c r="L97" s="76"/>
    </row>
    <row r="98" spans="1:12">
      <c r="A98" s="172">
        <f>A97+1</f>
        <v>75</v>
      </c>
      <c r="B98" s="166" t="s">
        <v>1109</v>
      </c>
      <c r="C98" s="162" t="str">
        <f>"(line "&amp;A97&amp;" / line "&amp;A94&amp;")"</f>
        <v>(line 74 / line 71)</v>
      </c>
      <c r="D98" s="235"/>
      <c r="E98" s="237"/>
      <c r="F98" s="236"/>
      <c r="G98" s="161" t="s">
        <v>1108</v>
      </c>
      <c r="H98" s="230">
        <f>IF(H94&gt;0,H97/H94,0)</f>
        <v>1</v>
      </c>
      <c r="I98" s="189"/>
      <c r="J98" s="76"/>
      <c r="L98" s="76"/>
    </row>
    <row r="99" spans="1:12">
      <c r="A99" s="172"/>
      <c r="B99" s="187" t="s">
        <v>1107</v>
      </c>
      <c r="C99" s="187"/>
      <c r="D99" s="187"/>
      <c r="E99" s="196"/>
      <c r="F99" s="195"/>
      <c r="G99" s="187"/>
      <c r="H99" s="187"/>
      <c r="I99" s="173"/>
      <c r="J99" s="76"/>
      <c r="L99" s="76"/>
    </row>
    <row r="100" spans="1:12">
      <c r="A100" s="172">
        <f>A98+1</f>
        <v>76</v>
      </c>
      <c r="B100" s="187" t="s">
        <v>1106</v>
      </c>
      <c r="C100" s="162" t="str">
        <f>"(sum lines "&amp;A50&amp;" to "&amp;A52&amp;", column 3)"</f>
        <v>(sum lines 36 to 38, column 3)</v>
      </c>
      <c r="D100" s="162"/>
      <c r="E100" s="164"/>
      <c r="F100" s="183"/>
      <c r="G100" s="162"/>
      <c r="H100" s="161"/>
      <c r="I100" s="173"/>
      <c r="J100" s="76"/>
      <c r="L100" s="76"/>
    </row>
    <row r="101" spans="1:12" ht="13.5" thickBot="1">
      <c r="A101" s="172">
        <f>A100+1</f>
        <v>77</v>
      </c>
      <c r="B101" s="158" t="s">
        <v>1105</v>
      </c>
      <c r="C101" s="155" t="s">
        <v>1104</v>
      </c>
      <c r="D101" s="154"/>
      <c r="E101" s="178"/>
      <c r="F101" s="163"/>
      <c r="G101" s="161"/>
      <c r="H101" s="193">
        <v>0</v>
      </c>
      <c r="I101" s="173"/>
      <c r="J101" s="76"/>
      <c r="L101" s="76"/>
    </row>
    <row r="102" spans="1:12">
      <c r="A102" s="172">
        <f>A101+1</f>
        <v>78</v>
      </c>
      <c r="B102" s="166" t="s">
        <v>1103</v>
      </c>
      <c r="C102" s="234" t="str">
        <f>"(line "&amp;A100&amp;" - line "&amp;A101&amp;")"</f>
        <v>(line 76 - line 77)</v>
      </c>
      <c r="D102" s="235"/>
      <c r="E102" s="237"/>
      <c r="F102" s="236"/>
      <c r="G102" s="235"/>
      <c r="H102" s="163">
        <f>+H100-H101</f>
        <v>0</v>
      </c>
      <c r="I102" s="173"/>
      <c r="J102" s="76"/>
      <c r="L102" s="76"/>
    </row>
    <row r="103" spans="1:12" ht="25.5" customHeight="1">
      <c r="A103" s="528">
        <f>A102+1</f>
        <v>79</v>
      </c>
      <c r="B103" s="527" t="s">
        <v>1102</v>
      </c>
      <c r="C103" s="234" t="str">
        <f>"(line "&amp;A102&amp;"/ line "&amp;A100&amp;")"</f>
        <v>(line 78/ line 76)</v>
      </c>
      <c r="D103" s="161"/>
      <c r="E103" s="186"/>
      <c r="F103" s="163"/>
      <c r="G103" s="161"/>
      <c r="H103" s="230">
        <f>IF(H100&gt;0,H102/H100,0)</f>
        <v>0</v>
      </c>
      <c r="I103" s="173"/>
      <c r="J103" s="122"/>
      <c r="L103" s="122" t="s">
        <v>240</v>
      </c>
    </row>
    <row r="104" spans="1:12">
      <c r="A104" s="172">
        <f>A103+1</f>
        <v>80</v>
      </c>
      <c r="B104" s="166" t="s">
        <v>1101</v>
      </c>
      <c r="C104" s="162" t="str">
        <f>"(line "&amp;A98&amp;")"</f>
        <v>(line 75)</v>
      </c>
      <c r="D104" s="161"/>
      <c r="E104" s="186"/>
      <c r="F104" s="163"/>
      <c r="G104" s="166" t="s">
        <v>1097</v>
      </c>
      <c r="H104" s="230">
        <f>H98</f>
        <v>1</v>
      </c>
      <c r="I104" s="173"/>
      <c r="J104" s="122"/>
      <c r="L104" s="122"/>
    </row>
    <row r="105" spans="1:12">
      <c r="A105" s="172">
        <f>A104+1</f>
        <v>81</v>
      </c>
      <c r="B105" s="166" t="s">
        <v>1100</v>
      </c>
      <c r="C105" s="234" t="str">
        <f>"(line "&amp;A104&amp;" * line "&amp;A103&amp;")"</f>
        <v>(line 80 * line 79)</v>
      </c>
      <c r="D105" s="162"/>
      <c r="E105" s="164"/>
      <c r="F105" s="183"/>
      <c r="G105" s="166" t="s">
        <v>1099</v>
      </c>
      <c r="H105" s="223">
        <f>+H104*H103</f>
        <v>0</v>
      </c>
      <c r="I105" s="173"/>
      <c r="J105" s="122"/>
      <c r="L105" s="122"/>
    </row>
    <row r="106" spans="1:12">
      <c r="A106" s="172"/>
      <c r="B106" s="187" t="s">
        <v>1098</v>
      </c>
      <c r="C106" s="161"/>
      <c r="D106" s="161"/>
      <c r="E106" s="186"/>
      <c r="F106" s="163"/>
      <c r="G106" s="161"/>
      <c r="H106" s="161"/>
      <c r="I106" s="173"/>
      <c r="J106" s="122"/>
      <c r="L106" s="233"/>
    </row>
    <row r="107" spans="1:12" ht="13.5" thickBot="1">
      <c r="A107" s="172"/>
      <c r="B107" s="203"/>
      <c r="C107" s="154"/>
      <c r="D107" s="178" t="s">
        <v>1060</v>
      </c>
      <c r="E107" s="178" t="s">
        <v>1097</v>
      </c>
      <c r="F107" s="177" t="s">
        <v>1096</v>
      </c>
      <c r="G107" s="161"/>
      <c r="H107" s="161"/>
      <c r="I107" s="173"/>
      <c r="J107" s="122"/>
      <c r="L107" s="122"/>
    </row>
    <row r="108" spans="1:12">
      <c r="A108" s="172">
        <f>A105+1</f>
        <v>82</v>
      </c>
      <c r="B108" s="187" t="s">
        <v>1095</v>
      </c>
      <c r="C108" s="161"/>
      <c r="D108" s="224">
        <v>0</v>
      </c>
      <c r="E108" s="232">
        <v>0</v>
      </c>
      <c r="F108" s="163">
        <f>D108*E108</f>
        <v>0</v>
      </c>
      <c r="G108" s="161"/>
      <c r="H108" s="161"/>
      <c r="I108" s="173"/>
      <c r="J108" s="122"/>
      <c r="L108" s="122"/>
    </row>
    <row r="109" spans="1:12">
      <c r="A109" s="172">
        <f>A108+1</f>
        <v>83</v>
      </c>
      <c r="B109" s="187" t="s">
        <v>1094</v>
      </c>
      <c r="C109" s="161"/>
      <c r="D109" s="224">
        <f>F251</f>
        <v>21428985.540000003</v>
      </c>
      <c r="E109" s="232">
        <f>+H104</f>
        <v>1</v>
      </c>
      <c r="F109" s="163">
        <f>D109*E109</f>
        <v>21428985.540000003</v>
      </c>
      <c r="G109" s="161"/>
      <c r="H109" s="161"/>
      <c r="I109" s="173"/>
      <c r="J109" s="122"/>
      <c r="L109" s="122"/>
    </row>
    <row r="110" spans="1:12">
      <c r="A110" s="172">
        <f>A109+1</f>
        <v>84</v>
      </c>
      <c r="B110" s="187" t="s">
        <v>1093</v>
      </c>
      <c r="C110" s="161"/>
      <c r="D110" s="224">
        <v>0</v>
      </c>
      <c r="E110" s="232">
        <v>0</v>
      </c>
      <c r="F110" s="163">
        <f>D110*E110</f>
        <v>0</v>
      </c>
      <c r="G110" s="161"/>
      <c r="H110" s="186" t="s">
        <v>1092</v>
      </c>
      <c r="I110" s="173"/>
      <c r="J110" s="122"/>
      <c r="L110" s="122"/>
    </row>
    <row r="111" spans="1:12" ht="13.5" thickBot="1">
      <c r="A111" s="172">
        <f>A110+1</f>
        <v>85</v>
      </c>
      <c r="B111" s="187" t="s">
        <v>1091</v>
      </c>
      <c r="C111" s="161"/>
      <c r="D111" s="221">
        <v>0</v>
      </c>
      <c r="E111" s="232">
        <v>0</v>
      </c>
      <c r="F111" s="177">
        <f>D111*E111</f>
        <v>0</v>
      </c>
      <c r="G111" s="161"/>
      <c r="H111" s="202" t="s">
        <v>1090</v>
      </c>
      <c r="I111" s="173"/>
      <c r="J111" s="122"/>
      <c r="L111" s="122"/>
    </row>
    <row r="112" spans="1:12">
      <c r="A112" s="172">
        <f>A111+1</f>
        <v>86</v>
      </c>
      <c r="B112" s="187" t="s">
        <v>1065</v>
      </c>
      <c r="C112" s="161" t="str">
        <f>"(sum lines "&amp;A108&amp;" to "&amp;A111&amp;")"</f>
        <v>(sum lines 82 to 85)</v>
      </c>
      <c r="D112" s="161">
        <f>SUM(D108:D111)</f>
        <v>21428985.540000003</v>
      </c>
      <c r="E112" s="186"/>
      <c r="F112" s="163">
        <f>SUM(F108:F111)</f>
        <v>21428985.540000003</v>
      </c>
      <c r="G112" s="196" t="s">
        <v>1075</v>
      </c>
      <c r="H112" s="230">
        <f>IF(F112&gt;0,F112/D112,0)</f>
        <v>1</v>
      </c>
      <c r="I112" s="173"/>
      <c r="J112" s="76"/>
      <c r="L112" s="122"/>
    </row>
    <row r="113" spans="1:12">
      <c r="A113" s="172"/>
      <c r="B113" s="187" t="s">
        <v>1089</v>
      </c>
      <c r="C113" s="161" t="s">
        <v>1088</v>
      </c>
      <c r="D113" s="161"/>
      <c r="E113" s="186"/>
      <c r="F113" s="163"/>
      <c r="G113" s="161"/>
      <c r="H113" s="161"/>
      <c r="I113" s="173"/>
      <c r="J113" s="122"/>
      <c r="L113" s="122"/>
    </row>
    <row r="114" spans="1:12" ht="13.5" thickBot="1">
      <c r="A114" s="172"/>
      <c r="B114" s="203"/>
      <c r="C114" s="154"/>
      <c r="D114" s="178" t="s">
        <v>1060</v>
      </c>
      <c r="E114" s="186"/>
      <c r="F114" s="163"/>
      <c r="G114" s="161"/>
      <c r="H114" s="231"/>
      <c r="I114" s="173"/>
      <c r="J114" s="76"/>
      <c r="L114" s="122"/>
    </row>
    <row r="115" spans="1:12">
      <c r="A115" s="172">
        <f>A112+1</f>
        <v>87</v>
      </c>
      <c r="B115" s="187" t="s">
        <v>1087</v>
      </c>
      <c r="C115" s="161"/>
      <c r="D115" s="161">
        <f>C198</f>
        <v>1351360274.4842072</v>
      </c>
      <c r="E115" s="186"/>
      <c r="F115" s="195"/>
      <c r="G115" s="187"/>
      <c r="H115" s="187"/>
      <c r="I115" s="189"/>
      <c r="J115" s="76"/>
      <c r="L115" s="122"/>
    </row>
    <row r="116" spans="1:12">
      <c r="A116" s="172">
        <f t="shared" ref="A116:A123" si="6">A115+1</f>
        <v>88</v>
      </c>
      <c r="B116" s="187" t="s">
        <v>1086</v>
      </c>
      <c r="C116" s="161"/>
      <c r="D116" s="161">
        <f>C196</f>
        <v>1418477171.8700001</v>
      </c>
      <c r="E116" s="186"/>
      <c r="F116" s="163"/>
      <c r="G116" s="161"/>
      <c r="H116" s="231"/>
      <c r="I116" s="189"/>
      <c r="J116" s="122"/>
      <c r="L116" s="76"/>
    </row>
    <row r="117" spans="1:12">
      <c r="A117" s="172">
        <f t="shared" si="6"/>
        <v>89</v>
      </c>
      <c r="B117" s="187" t="s">
        <v>1085</v>
      </c>
      <c r="C117" s="162" t="str">
        <f>"(line "&amp;A115&amp;" / line "&amp;A116&amp;")"</f>
        <v>(line 87 / line 88)</v>
      </c>
      <c r="D117" s="161"/>
      <c r="E117" s="186"/>
      <c r="F117" s="163" t="s">
        <v>1084</v>
      </c>
      <c r="G117" s="186" t="s">
        <v>1075</v>
      </c>
      <c r="H117" s="230">
        <f>D115/D116</f>
        <v>0.95268383678158763</v>
      </c>
      <c r="I117" s="173"/>
      <c r="J117" s="76"/>
      <c r="L117" s="122"/>
    </row>
    <row r="118" spans="1:12">
      <c r="A118" s="172">
        <f t="shared" si="6"/>
        <v>90</v>
      </c>
      <c r="B118" s="187" t="s">
        <v>1083</v>
      </c>
      <c r="C118" s="161"/>
      <c r="D118" s="161">
        <f>D198</f>
        <v>10034426.5875</v>
      </c>
      <c r="E118" s="186"/>
      <c r="F118" s="163"/>
      <c r="G118" s="161"/>
      <c r="H118" s="163"/>
      <c r="I118" s="173"/>
      <c r="J118" s="53"/>
      <c r="L118" s="76"/>
    </row>
    <row r="119" spans="1:12">
      <c r="A119" s="172">
        <f t="shared" si="6"/>
        <v>91</v>
      </c>
      <c r="B119" s="187" t="s">
        <v>1082</v>
      </c>
      <c r="C119" s="161"/>
      <c r="D119" s="161">
        <f>D196</f>
        <v>805173862.79999995</v>
      </c>
      <c r="E119" s="186"/>
      <c r="F119" s="163"/>
      <c r="G119" s="161"/>
      <c r="H119" s="230"/>
      <c r="I119" s="173"/>
      <c r="J119" s="53"/>
      <c r="L119" s="76"/>
    </row>
    <row r="120" spans="1:12">
      <c r="A120" s="172">
        <f t="shared" si="6"/>
        <v>92</v>
      </c>
      <c r="B120" s="187" t="s">
        <v>1081</v>
      </c>
      <c r="C120" s="162" t="str">
        <f>"(line "&amp;A118&amp;" / line "&amp;A119&amp;")"</f>
        <v>(line 90 / line 91)</v>
      </c>
      <c r="D120" s="187"/>
      <c r="E120" s="186"/>
      <c r="F120" s="163" t="s">
        <v>1080</v>
      </c>
      <c r="G120" s="186" t="s">
        <v>1075</v>
      </c>
      <c r="H120" s="230">
        <f>D118/D119</f>
        <v>1.2462434576061851E-2</v>
      </c>
      <c r="I120" s="173"/>
      <c r="J120" s="53"/>
      <c r="L120" s="76"/>
    </row>
    <row r="121" spans="1:12">
      <c r="A121" s="172">
        <f t="shared" si="6"/>
        <v>93</v>
      </c>
      <c r="B121" s="187" t="s">
        <v>1079</v>
      </c>
      <c r="C121" s="161"/>
      <c r="D121" s="161">
        <f>E198</f>
        <v>67247253.260000005</v>
      </c>
      <c r="E121" s="186"/>
      <c r="F121" s="163"/>
      <c r="G121" s="161"/>
      <c r="H121" s="163"/>
      <c r="I121" s="173"/>
      <c r="J121" s="53"/>
      <c r="L121" s="76"/>
    </row>
    <row r="122" spans="1:12">
      <c r="A122" s="172">
        <f t="shared" si="6"/>
        <v>94</v>
      </c>
      <c r="B122" s="187" t="s">
        <v>1078</v>
      </c>
      <c r="C122" s="161"/>
      <c r="D122" s="161">
        <f>E196</f>
        <v>1176464987</v>
      </c>
      <c r="E122" s="186"/>
      <c r="F122" s="163"/>
      <c r="G122" s="161"/>
      <c r="H122" s="230"/>
      <c r="I122" s="173"/>
      <c r="J122" s="53"/>
      <c r="L122" s="76"/>
    </row>
    <row r="123" spans="1:12">
      <c r="A123" s="172">
        <f t="shared" si="6"/>
        <v>95</v>
      </c>
      <c r="B123" s="187" t="s">
        <v>1077</v>
      </c>
      <c r="C123" s="162" t="str">
        <f>"(line "&amp;A121&amp;" / line "&amp;A122&amp;")"</f>
        <v>(line 93 / line 94)</v>
      </c>
      <c r="D123" s="187"/>
      <c r="E123" s="186"/>
      <c r="F123" s="163" t="s">
        <v>1076</v>
      </c>
      <c r="G123" s="186" t="s">
        <v>1075</v>
      </c>
      <c r="H123" s="230">
        <f>D121/D122</f>
        <v>5.716043741470056E-2</v>
      </c>
      <c r="I123" s="173"/>
      <c r="J123" s="53"/>
      <c r="L123" s="76"/>
    </row>
    <row r="124" spans="1:12">
      <c r="A124" s="172"/>
      <c r="B124" s="187" t="s">
        <v>1074</v>
      </c>
      <c r="C124" s="161" t="s">
        <v>1073</v>
      </c>
      <c r="D124" s="161"/>
      <c r="E124" s="186"/>
      <c r="F124" s="163"/>
      <c r="G124" s="161"/>
      <c r="H124" s="163"/>
      <c r="I124" s="229" t="s">
        <v>1072</v>
      </c>
      <c r="J124" s="53"/>
      <c r="L124" s="76"/>
    </row>
    <row r="125" spans="1:12">
      <c r="A125" s="172"/>
      <c r="B125" s="203"/>
      <c r="C125" s="161"/>
      <c r="D125" s="228" t="s">
        <v>1060</v>
      </c>
      <c r="E125" s="186"/>
      <c r="F125" s="163" t="s">
        <v>1071</v>
      </c>
      <c r="G125" s="225" t="s">
        <v>240</v>
      </c>
      <c r="H125" s="227" t="s">
        <v>1070</v>
      </c>
      <c r="I125" s="226">
        <f>H127*F127</f>
        <v>0</v>
      </c>
      <c r="J125" s="53"/>
      <c r="L125" s="76"/>
    </row>
    <row r="126" spans="1:12">
      <c r="A126" s="172">
        <f>A123+1</f>
        <v>96</v>
      </c>
      <c r="B126" s="187" t="s">
        <v>1069</v>
      </c>
      <c r="C126" s="161"/>
      <c r="D126" s="224">
        <v>0</v>
      </c>
      <c r="E126" s="186"/>
      <c r="F126" s="183" t="str">
        <f>"(line "&amp;A126&amp;" / line "&amp;A129&amp;")"</f>
        <v>(line 96 / line 99)</v>
      </c>
      <c r="G126" s="225"/>
      <c r="H126" s="196" t="str">
        <f>"(line "&amp;A112&amp;")"</f>
        <v>(line 86)</v>
      </c>
      <c r="I126" s="189"/>
      <c r="J126" s="53"/>
      <c r="L126" s="122"/>
    </row>
    <row r="127" spans="1:12">
      <c r="A127" s="172">
        <f>A126+1</f>
        <v>97</v>
      </c>
      <c r="B127" s="187" t="s">
        <v>1068</v>
      </c>
      <c r="C127" s="161"/>
      <c r="D127" s="224">
        <v>0</v>
      </c>
      <c r="E127" s="186"/>
      <c r="F127" s="223">
        <f>IF(D129&gt;0,D126/D129,0)</f>
        <v>0</v>
      </c>
      <c r="G127" s="186" t="s">
        <v>1067</v>
      </c>
      <c r="H127" s="222">
        <f>H112</f>
        <v>1</v>
      </c>
      <c r="I127" s="189"/>
      <c r="J127" s="53"/>
    </row>
    <row r="128" spans="1:12" ht="13.5" thickBot="1">
      <c r="A128" s="172">
        <f>A127+1</f>
        <v>98</v>
      </c>
      <c r="B128" s="184" t="s">
        <v>1066</v>
      </c>
      <c r="C128" s="154"/>
      <c r="D128" s="221">
        <v>0</v>
      </c>
      <c r="E128" s="186"/>
      <c r="F128" s="163" t="s">
        <v>240</v>
      </c>
      <c r="G128" s="161"/>
      <c r="H128" s="161"/>
      <c r="I128" s="189"/>
      <c r="J128" s="53"/>
      <c r="L128" s="122"/>
    </row>
    <row r="129" spans="1:23">
      <c r="A129" s="172">
        <f>A128+1</f>
        <v>99</v>
      </c>
      <c r="B129" s="187" t="s">
        <v>1065</v>
      </c>
      <c r="C129" s="161" t="str">
        <f>"(sum lines "&amp;A126&amp;" to "&amp;A128&amp;")"</f>
        <v>(sum lines 96 to 98)</v>
      </c>
      <c r="D129" s="161">
        <f>D126+D127+D128</f>
        <v>0</v>
      </c>
      <c r="E129" s="186"/>
      <c r="F129" s="163"/>
      <c r="G129" s="161"/>
      <c r="H129" s="161"/>
      <c r="I129" s="189"/>
    </row>
    <row r="130" spans="1:23" ht="13.5" thickBot="1">
      <c r="A130" s="172"/>
      <c r="B130" s="187" t="s">
        <v>1064</v>
      </c>
      <c r="C130" s="161"/>
      <c r="D130" s="178" t="s">
        <v>1060</v>
      </c>
      <c r="E130" s="186"/>
      <c r="F130" s="163"/>
      <c r="G130" s="161"/>
      <c r="H130" s="187"/>
      <c r="I130" s="220"/>
    </row>
    <row r="131" spans="1:23">
      <c r="A131" s="172">
        <f>A129+1</f>
        <v>100</v>
      </c>
      <c r="B131" s="161" t="s">
        <v>1063</v>
      </c>
      <c r="C131" s="162"/>
      <c r="D131" s="219">
        <f>F223</f>
        <v>44064182.822756186</v>
      </c>
      <c r="E131" s="186"/>
      <c r="F131" s="163"/>
      <c r="G131" s="161"/>
      <c r="H131" s="161"/>
      <c r="I131" s="189"/>
      <c r="P131" s="145"/>
      <c r="Q131" s="209"/>
      <c r="R131" s="211"/>
      <c r="S131" s="211"/>
      <c r="T131" s="211"/>
      <c r="U131" s="197"/>
      <c r="W131" s="197"/>
    </row>
    <row r="132" spans="1:23">
      <c r="A132" s="172"/>
      <c r="B132" s="203"/>
      <c r="C132" s="161"/>
      <c r="D132" s="161"/>
      <c r="E132" s="186"/>
      <c r="F132" s="163" t="s">
        <v>1062</v>
      </c>
      <c r="G132" s="161"/>
      <c r="H132" s="161"/>
      <c r="I132" s="216" t="s">
        <v>1061</v>
      </c>
      <c r="P132" s="145"/>
      <c r="Q132" s="209"/>
      <c r="R132" s="211"/>
      <c r="S132" s="211"/>
      <c r="T132" s="211"/>
      <c r="U132" s="197"/>
      <c r="W132" s="197"/>
    </row>
    <row r="133" spans="1:23" ht="13.5" thickBot="1">
      <c r="A133" s="172"/>
      <c r="B133" s="203"/>
      <c r="C133" s="162"/>
      <c r="D133" s="202" t="s">
        <v>1060</v>
      </c>
      <c r="E133" s="202" t="s">
        <v>1059</v>
      </c>
      <c r="F133" s="218" t="s">
        <v>1058</v>
      </c>
      <c r="G133" s="161"/>
      <c r="H133" s="202" t="s">
        <v>1057</v>
      </c>
      <c r="I133" s="189"/>
      <c r="P133" s="145"/>
      <c r="Q133" s="209"/>
      <c r="R133" s="211"/>
      <c r="S133" s="211"/>
      <c r="T133" s="211"/>
      <c r="U133" s="197"/>
      <c r="W133" s="197"/>
    </row>
    <row r="134" spans="1:23" ht="26">
      <c r="A134" s="172">
        <f>A131+1</f>
        <v>101</v>
      </c>
      <c r="B134" s="187" t="s">
        <v>1056</v>
      </c>
      <c r="C134" s="217" t="s">
        <v>1055</v>
      </c>
      <c r="D134" s="161">
        <f>F237</f>
        <v>889848119.44020367</v>
      </c>
      <c r="E134" s="214">
        <f>IF($D$136&gt;0,D134/$D$136,0)</f>
        <v>1</v>
      </c>
      <c r="F134" s="213">
        <f>IF(D131&gt;0,D131/D134,0)</f>
        <v>4.9518768270788292E-2</v>
      </c>
      <c r="G134" s="187"/>
      <c r="H134" s="213">
        <f>F134*E134</f>
        <v>4.9518768270788292E-2</v>
      </c>
      <c r="I134" s="216" t="s">
        <v>1054</v>
      </c>
      <c r="P134" s="145"/>
      <c r="Q134" s="209"/>
      <c r="R134" s="211"/>
      <c r="S134" s="211"/>
      <c r="T134" s="211"/>
      <c r="U134" s="197"/>
      <c r="W134" s="197"/>
    </row>
    <row r="135" spans="1:23" ht="13.5" thickBot="1">
      <c r="A135" s="172">
        <f>A134+1</f>
        <v>102</v>
      </c>
      <c r="B135" s="187" t="s">
        <v>1053</v>
      </c>
      <c r="C135" s="162"/>
      <c r="D135" s="154">
        <v>0</v>
      </c>
      <c r="E135" s="214">
        <f>IF($D$136&gt;0,D135/$D$136,0)</f>
        <v>0</v>
      </c>
      <c r="F135" s="213">
        <f>H137</f>
        <v>0.12379999999999999</v>
      </c>
      <c r="G135" s="187"/>
      <c r="H135" s="215">
        <f>F135*E135</f>
        <v>0</v>
      </c>
      <c r="I135" s="189"/>
      <c r="P135" s="145"/>
      <c r="Q135" s="209"/>
      <c r="R135" s="211"/>
      <c r="S135" s="211"/>
      <c r="T135" s="211"/>
      <c r="U135" s="197"/>
      <c r="W135" s="197"/>
    </row>
    <row r="136" spans="1:23">
      <c r="A136" s="172">
        <f>A135+1</f>
        <v>103</v>
      </c>
      <c r="B136" s="187" t="s">
        <v>1052</v>
      </c>
      <c r="C136" s="161" t="str">
        <f>"(sum lines "&amp;A134&amp;" to "&amp;A135&amp;")"</f>
        <v>(sum lines 101 to 102)</v>
      </c>
      <c r="D136" s="161">
        <f>SUM(D134:D135)</f>
        <v>889848119.44020367</v>
      </c>
      <c r="E136" s="214">
        <f>IF($D$136&gt;0,D136/$D$136,0)</f>
        <v>1</v>
      </c>
      <c r="F136" s="213"/>
      <c r="G136" s="187"/>
      <c r="H136" s="213">
        <f>SUM(H134:H135)</f>
        <v>4.9518768270788292E-2</v>
      </c>
      <c r="I136" s="189"/>
      <c r="P136" s="145"/>
      <c r="Q136" s="209"/>
      <c r="R136" s="211"/>
      <c r="S136" s="211"/>
      <c r="T136" s="211"/>
      <c r="U136" s="197"/>
      <c r="W136" s="197"/>
    </row>
    <row r="137" spans="1:23">
      <c r="A137" s="172">
        <f>A136+1</f>
        <v>104</v>
      </c>
      <c r="B137" s="187"/>
      <c r="C137" s="187"/>
      <c r="D137" s="187"/>
      <c r="E137" s="186"/>
      <c r="F137" s="163"/>
      <c r="G137" s="195" t="s">
        <v>1051</v>
      </c>
      <c r="H137" s="212">
        <v>0.12379999999999999</v>
      </c>
      <c r="I137" s="189"/>
      <c r="P137" s="145"/>
      <c r="Q137" s="209"/>
      <c r="R137" s="211"/>
      <c r="S137" s="211"/>
      <c r="T137" s="211"/>
      <c r="U137" s="197"/>
      <c r="W137" s="197"/>
    </row>
    <row r="138" spans="1:23">
      <c r="A138" s="172">
        <f>A137+1</f>
        <v>105</v>
      </c>
      <c r="B138" s="187"/>
      <c r="C138" s="187"/>
      <c r="D138" s="187"/>
      <c r="E138" s="196"/>
      <c r="F138" s="195"/>
      <c r="G138" s="196" t="s">
        <v>1050</v>
      </c>
      <c r="H138" s="210">
        <f>IF(H136&gt;0,H136/F134,0)</f>
        <v>1</v>
      </c>
      <c r="I138" s="189"/>
      <c r="P138" s="209" t="s">
        <v>240</v>
      </c>
      <c r="Q138" s="208"/>
      <c r="R138" s="207"/>
      <c r="S138" s="206"/>
      <c r="T138" s="197"/>
      <c r="V138" s="197"/>
    </row>
    <row r="139" spans="1:23">
      <c r="A139" s="172"/>
      <c r="B139" s="187" t="s">
        <v>1049</v>
      </c>
      <c r="C139" s="162"/>
      <c r="D139" s="162"/>
      <c r="E139" s="164"/>
      <c r="F139" s="183"/>
      <c r="G139" s="162"/>
      <c r="H139" s="183"/>
      <c r="I139" s="189"/>
      <c r="P139" s="205"/>
      <c r="Q139" s="204"/>
      <c r="R139" s="204"/>
      <c r="S139" s="145"/>
      <c r="T139" s="197"/>
      <c r="V139" s="197"/>
    </row>
    <row r="140" spans="1:23" ht="13.5" thickBot="1">
      <c r="A140" s="172"/>
      <c r="B140" s="203"/>
      <c r="C140" s="203"/>
      <c r="D140" s="203"/>
      <c r="E140" s="164"/>
      <c r="F140" s="183"/>
      <c r="G140" s="203"/>
      <c r="H140" s="202" t="s">
        <v>1048</v>
      </c>
      <c r="I140" s="189"/>
      <c r="P140" s="199"/>
      <c r="Q140" s="145"/>
      <c r="R140" s="145"/>
      <c r="S140" s="198"/>
      <c r="T140" s="197"/>
      <c r="V140" s="197"/>
    </row>
    <row r="141" spans="1:23">
      <c r="A141" s="172"/>
      <c r="B141" s="187" t="s">
        <v>1047</v>
      </c>
      <c r="C141" s="162"/>
      <c r="D141" s="162"/>
      <c r="E141" s="164"/>
      <c r="F141" s="201" t="s">
        <v>240</v>
      </c>
      <c r="G141" s="194"/>
      <c r="H141" s="200"/>
      <c r="I141" s="189"/>
      <c r="P141" s="199"/>
      <c r="Q141" s="145"/>
      <c r="R141" s="145"/>
      <c r="S141" s="198"/>
      <c r="T141" s="197"/>
      <c r="V141" s="197"/>
    </row>
    <row r="142" spans="1:23">
      <c r="A142" s="172">
        <f>A138+1</f>
        <v>106</v>
      </c>
      <c r="B142" s="187" t="s">
        <v>1046</v>
      </c>
      <c r="C142" s="162" t="s">
        <v>1045</v>
      </c>
      <c r="D142" s="162"/>
      <c r="E142" s="196"/>
      <c r="F142" s="195"/>
      <c r="G142" s="194"/>
      <c r="H142" s="190">
        <v>0</v>
      </c>
      <c r="I142" s="189"/>
    </row>
    <row r="143" spans="1:23" ht="13.5" thickBot="1">
      <c r="A143" s="172">
        <f t="shared" ref="A143:A149" si="7">A142+1</f>
        <v>107</v>
      </c>
      <c r="B143" s="184" t="s">
        <v>1044</v>
      </c>
      <c r="C143" s="162"/>
      <c r="D143" s="187"/>
      <c r="E143" s="164"/>
      <c r="F143" s="183"/>
      <c r="G143" s="162"/>
      <c r="H143" s="193">
        <v>0</v>
      </c>
      <c r="I143" s="192"/>
    </row>
    <row r="144" spans="1:23">
      <c r="A144" s="172">
        <f t="shared" si="7"/>
        <v>108</v>
      </c>
      <c r="B144" s="187" t="s">
        <v>1043</v>
      </c>
      <c r="C144" s="162"/>
      <c r="D144" s="187"/>
      <c r="E144" s="164"/>
      <c r="F144" s="183"/>
      <c r="G144" s="162"/>
      <c r="H144" s="163">
        <f>+H142-H143</f>
        <v>0</v>
      </c>
      <c r="I144" s="192"/>
    </row>
    <row r="145" spans="1:12">
      <c r="A145" s="172">
        <f t="shared" si="7"/>
        <v>109</v>
      </c>
      <c r="B145" s="187" t="s">
        <v>1042</v>
      </c>
      <c r="C145" s="162" t="s">
        <v>1041</v>
      </c>
      <c r="D145" s="187"/>
      <c r="E145" s="164"/>
      <c r="F145" s="191"/>
      <c r="G145" s="162"/>
      <c r="H145" s="190">
        <v>79567</v>
      </c>
      <c r="I145" s="189"/>
    </row>
    <row r="146" spans="1:12">
      <c r="A146" s="172">
        <f t="shared" si="7"/>
        <v>110</v>
      </c>
      <c r="B146" s="187" t="s">
        <v>1040</v>
      </c>
      <c r="C146" s="162"/>
      <c r="D146" s="162"/>
      <c r="E146" s="164"/>
      <c r="F146" s="183"/>
      <c r="G146" s="162"/>
      <c r="H146" s="188">
        <v>0</v>
      </c>
      <c r="I146" s="181"/>
    </row>
    <row r="147" spans="1:12">
      <c r="A147" s="172">
        <f t="shared" si="7"/>
        <v>111</v>
      </c>
      <c r="B147" s="187" t="s">
        <v>1039</v>
      </c>
      <c r="C147" s="161"/>
      <c r="D147" s="161"/>
      <c r="E147" s="186"/>
      <c r="F147" s="163"/>
      <c r="G147" s="161"/>
      <c r="H147" s="185">
        <v>0</v>
      </c>
      <c r="I147" s="181"/>
    </row>
    <row r="148" spans="1:12" ht="13.5" thickBot="1">
      <c r="A148" s="172">
        <f t="shared" si="7"/>
        <v>112</v>
      </c>
      <c r="B148" s="184" t="s">
        <v>1038</v>
      </c>
      <c r="C148" s="155"/>
      <c r="D148" s="162"/>
      <c r="E148" s="164"/>
      <c r="F148" s="183"/>
      <c r="G148" s="162"/>
      <c r="H148" s="182">
        <v>0</v>
      </c>
      <c r="I148" s="181"/>
    </row>
    <row r="149" spans="1:12" ht="13.5" thickBot="1">
      <c r="A149" s="180">
        <f t="shared" si="7"/>
        <v>113</v>
      </c>
      <c r="B149" s="179" t="str">
        <f>+B144</f>
        <v xml:space="preserve">  Total of (a)-(b)</v>
      </c>
      <c r="C149" s="157"/>
      <c r="D149" s="154"/>
      <c r="E149" s="178"/>
      <c r="F149" s="177"/>
      <c r="G149" s="155"/>
      <c r="H149" s="176">
        <f>+H147-H148</f>
        <v>0</v>
      </c>
      <c r="I149" s="175"/>
    </row>
    <row r="150" spans="1:12">
      <c r="A150" s="169" t="s">
        <v>1037</v>
      </c>
      <c r="B150" s="855" t="s">
        <v>1036</v>
      </c>
      <c r="C150" s="855"/>
      <c r="D150" s="855"/>
      <c r="E150" s="855"/>
      <c r="F150" s="855"/>
      <c r="G150" s="855"/>
      <c r="H150" s="855"/>
      <c r="I150" s="856"/>
      <c r="J150" s="76"/>
      <c r="L150" s="76"/>
    </row>
    <row r="151" spans="1:12" ht="13.5" thickBot="1">
      <c r="A151" s="174" t="s">
        <v>1035</v>
      </c>
      <c r="B151" s="855" t="s">
        <v>1034</v>
      </c>
      <c r="C151" s="855"/>
      <c r="D151" s="855"/>
      <c r="E151" s="855"/>
      <c r="F151" s="855"/>
      <c r="G151" s="855"/>
      <c r="H151" s="855"/>
      <c r="I151" s="856"/>
      <c r="J151" s="76"/>
      <c r="L151" s="76"/>
    </row>
    <row r="152" spans="1:12">
      <c r="A152" s="169" t="s">
        <v>1033</v>
      </c>
      <c r="B152" s="855" t="s">
        <v>1032</v>
      </c>
      <c r="C152" s="855"/>
      <c r="D152" s="855"/>
      <c r="E152" s="855"/>
      <c r="F152" s="855"/>
      <c r="G152" s="855"/>
      <c r="H152" s="855"/>
      <c r="I152" s="856"/>
      <c r="J152" s="76"/>
      <c r="L152" s="76"/>
    </row>
    <row r="153" spans="1:12" ht="25.5" customHeight="1">
      <c r="A153" s="168" t="s">
        <v>1031</v>
      </c>
      <c r="B153" s="851" t="s">
        <v>1030</v>
      </c>
      <c r="C153" s="851"/>
      <c r="D153" s="851"/>
      <c r="E153" s="851"/>
      <c r="F153" s="851"/>
      <c r="G153" s="851"/>
      <c r="H153" s="851"/>
      <c r="I153" s="852"/>
      <c r="J153" s="76"/>
      <c r="L153" s="76"/>
    </row>
    <row r="154" spans="1:12">
      <c r="A154" s="169" t="s">
        <v>1029</v>
      </c>
      <c r="B154" s="853" t="s">
        <v>1028</v>
      </c>
      <c r="C154" s="853"/>
      <c r="D154" s="853"/>
      <c r="E154" s="853"/>
      <c r="F154" s="853"/>
      <c r="G154" s="853"/>
      <c r="H154" s="853"/>
      <c r="I154" s="854"/>
      <c r="J154" s="76"/>
      <c r="L154" s="76"/>
    </row>
    <row r="155" spans="1:12" ht="25.5" customHeight="1">
      <c r="A155" s="168" t="s">
        <v>1027</v>
      </c>
      <c r="B155" s="851" t="str">
        <f>"Cash Working Capital assigned to transmission is one-eighth of O&amp;M allocated to transmission at line "&amp;A62&amp;" column 5.  Prepayments are the electric related prepayments booked to Account No. 165 and reported in the Other Assets Section of the Balance Sheet."</f>
        <v>Cash Working Capital assigned to transmission is one-eighth of O&amp;M allocated to transmission at line 47 column 5.  Prepayments are the electric related prepayments booked to Account No. 165 and reported in the Other Assets Section of the Balance Sheet.</v>
      </c>
      <c r="C155" s="851"/>
      <c r="D155" s="851"/>
      <c r="E155" s="851"/>
      <c r="F155" s="851"/>
      <c r="G155" s="851"/>
      <c r="H155" s="851"/>
      <c r="I155" s="852"/>
      <c r="J155" s="76"/>
      <c r="L155" s="76"/>
    </row>
    <row r="156" spans="1:12" ht="25.5" customHeight="1">
      <c r="A156" s="168" t="s">
        <v>11</v>
      </c>
      <c r="B156" s="851" t="s">
        <v>1026</v>
      </c>
      <c r="C156" s="851"/>
      <c r="D156" s="851"/>
      <c r="E156" s="851"/>
      <c r="F156" s="851"/>
      <c r="G156" s="851"/>
      <c r="H156" s="851"/>
      <c r="I156" s="852"/>
      <c r="J156" s="76"/>
      <c r="L156" s="76"/>
    </row>
    <row r="157" spans="1:12">
      <c r="A157" s="169" t="s">
        <v>1025</v>
      </c>
      <c r="B157" s="853" t="s">
        <v>1024</v>
      </c>
      <c r="C157" s="853"/>
      <c r="D157" s="853"/>
      <c r="E157" s="853"/>
      <c r="F157" s="853"/>
      <c r="G157" s="853"/>
      <c r="H157" s="853"/>
      <c r="I157" s="854"/>
      <c r="J157" s="76"/>
      <c r="L157" s="76"/>
    </row>
    <row r="158" spans="1:12" ht="25.5" customHeight="1">
      <c r="A158" s="168" t="s">
        <v>1023</v>
      </c>
      <c r="B158" s="851" t="str">
        <f>"Line "&amp;A58&amp;" - EPRI Annual Membership Dues, all Regulatory Commission Expenses, and non-safety related advertising.  Line "&amp;A59&amp;" - Regulatory Commission Expenses directly related to transmission service, ISO filings, or transmission siting."</f>
        <v>Line 43 - EPRI Annual Membership Dues, all Regulatory Commission Expenses, and non-safety related advertising.  Line 44 - Regulatory Commission Expenses directly related to transmission service, ISO filings, or transmission siting.</v>
      </c>
      <c r="C158" s="851"/>
      <c r="D158" s="851"/>
      <c r="E158" s="851"/>
      <c r="F158" s="851"/>
      <c r="G158" s="851"/>
      <c r="H158" s="851"/>
      <c r="I158" s="852"/>
      <c r="J158" s="76"/>
      <c r="L158" s="76"/>
    </row>
    <row r="159" spans="1:12" ht="25.5" customHeight="1">
      <c r="A159" s="168" t="s">
        <v>1022</v>
      </c>
      <c r="B159" s="851" t="s">
        <v>1021</v>
      </c>
      <c r="C159" s="851"/>
      <c r="D159" s="851"/>
      <c r="E159" s="851"/>
      <c r="F159" s="851"/>
      <c r="G159" s="851"/>
      <c r="H159" s="851"/>
      <c r="I159" s="852"/>
      <c r="J159" s="76"/>
      <c r="L159" s="76"/>
    </row>
    <row r="160" spans="1:12">
      <c r="A160" s="169" t="s">
        <v>1020</v>
      </c>
      <c r="B160" s="166" t="s">
        <v>1019</v>
      </c>
      <c r="C160" s="162"/>
      <c r="D160" s="162"/>
      <c r="E160" s="164"/>
      <c r="F160" s="163"/>
      <c r="G160" s="162"/>
      <c r="H160" s="161"/>
      <c r="I160" s="173"/>
      <c r="J160" s="76"/>
      <c r="L160" s="76"/>
    </row>
    <row r="161" spans="1:12">
      <c r="A161" s="169" t="s">
        <v>240</v>
      </c>
      <c r="B161" s="166" t="s">
        <v>1018</v>
      </c>
      <c r="C161" s="166" t="s">
        <v>1017</v>
      </c>
      <c r="D161" s="171">
        <v>0</v>
      </c>
      <c r="E161" s="164"/>
      <c r="F161" s="163"/>
      <c r="G161" s="162"/>
      <c r="H161" s="161"/>
      <c r="I161" s="173"/>
      <c r="J161" s="76"/>
      <c r="L161" s="76"/>
    </row>
    <row r="162" spans="1:12">
      <c r="A162" s="172"/>
      <c r="B162" s="162"/>
      <c r="C162" s="166" t="s">
        <v>1016</v>
      </c>
      <c r="D162" s="171">
        <v>0</v>
      </c>
      <c r="E162" s="857" t="s">
        <v>1015</v>
      </c>
      <c r="F162" s="857"/>
      <c r="G162" s="857"/>
      <c r="H162" s="857"/>
      <c r="I162" s="858"/>
      <c r="J162" s="76"/>
      <c r="L162" s="76"/>
    </row>
    <row r="163" spans="1:12">
      <c r="A163" s="172"/>
      <c r="B163" s="162"/>
      <c r="C163" s="166" t="s">
        <v>1014</v>
      </c>
      <c r="D163" s="171">
        <v>0</v>
      </c>
      <c r="E163" s="857" t="s">
        <v>1013</v>
      </c>
      <c r="F163" s="857"/>
      <c r="G163" s="857"/>
      <c r="H163" s="857"/>
      <c r="I163" s="858"/>
      <c r="J163" s="76"/>
      <c r="L163" s="76"/>
    </row>
    <row r="164" spans="1:12">
      <c r="A164" s="169" t="s">
        <v>1012</v>
      </c>
      <c r="B164" s="853" t="s">
        <v>1011</v>
      </c>
      <c r="C164" s="853"/>
      <c r="D164" s="853"/>
      <c r="E164" s="853"/>
      <c r="F164" s="853"/>
      <c r="G164" s="853"/>
      <c r="H164" s="853"/>
      <c r="I164" s="854"/>
      <c r="J164" s="76"/>
      <c r="L164" s="76"/>
    </row>
    <row r="165" spans="1:12">
      <c r="A165" s="168" t="s">
        <v>1010</v>
      </c>
      <c r="B165" s="851" t="s">
        <v>1009</v>
      </c>
      <c r="C165" s="851"/>
      <c r="D165" s="851"/>
      <c r="E165" s="851"/>
      <c r="F165" s="851"/>
      <c r="G165" s="851"/>
      <c r="H165" s="851"/>
      <c r="I165" s="852"/>
      <c r="J165" s="76"/>
      <c r="L165" s="76"/>
    </row>
    <row r="166" spans="1:12" ht="25.5" customHeight="1">
      <c r="A166" s="168" t="s">
        <v>1008</v>
      </c>
      <c r="B166" s="851" t="s">
        <v>1007</v>
      </c>
      <c r="C166" s="851"/>
      <c r="D166" s="851"/>
      <c r="E166" s="851"/>
      <c r="F166" s="851"/>
      <c r="G166" s="851"/>
      <c r="H166" s="851"/>
      <c r="I166" s="852"/>
      <c r="J166" s="76"/>
      <c r="L166" s="76"/>
    </row>
    <row r="167" spans="1:12">
      <c r="A167" s="168" t="s">
        <v>1006</v>
      </c>
      <c r="B167" s="851" t="s">
        <v>1005</v>
      </c>
      <c r="C167" s="851"/>
      <c r="D167" s="851"/>
      <c r="E167" s="851"/>
      <c r="F167" s="851"/>
      <c r="G167" s="851"/>
      <c r="H167" s="851"/>
      <c r="I167" s="852"/>
      <c r="J167" s="91"/>
      <c r="L167" s="76"/>
    </row>
    <row r="168" spans="1:12">
      <c r="A168" s="169" t="s">
        <v>1004</v>
      </c>
      <c r="B168" s="853" t="s">
        <v>1003</v>
      </c>
      <c r="C168" s="853"/>
      <c r="D168" s="853"/>
      <c r="E168" s="853"/>
      <c r="F168" s="853"/>
      <c r="G168" s="853"/>
      <c r="H168" s="853"/>
      <c r="I168" s="854"/>
      <c r="J168" s="170"/>
      <c r="L168" s="76"/>
    </row>
    <row r="169" spans="1:12" ht="25.5" customHeight="1">
      <c r="A169" s="168" t="s">
        <v>1002</v>
      </c>
      <c r="B169" s="851" t="str">
        <f>"Debt cost rate = long-term interest (line "&amp;A131&amp;") / long term debt (line "&amp;A134&amp;").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100) / long term debt (line 101).  The Proprietary Capital Cost rate is implicit, a residual calculation after TIER is determined. TIER will be supported in the filing and no change in TIER may be made absent a filing with the ISO and the FERC, if the entity is under FERC's jurisdiction.</v>
      </c>
      <c r="C169" s="851"/>
      <c r="D169" s="851"/>
      <c r="E169" s="851"/>
      <c r="F169" s="851"/>
      <c r="G169" s="851"/>
      <c r="H169" s="851"/>
      <c r="I169" s="852"/>
      <c r="L169" s="76"/>
    </row>
    <row r="170" spans="1:12">
      <c r="A170" s="169" t="s">
        <v>1001</v>
      </c>
      <c r="B170" s="853" t="str">
        <f>"Line "&amp;A142&amp;" must equal zero since all short-term power sales must be unbundled and the transmission component reflected in Account No. 456 and all other uses are to be included in the divisor."</f>
        <v>Line 106 must equal zero since all short-term power sales must be unbundled and the transmission component reflected in Account No. 456 and all other uses are to be included in the divisor.</v>
      </c>
      <c r="C170" s="853"/>
      <c r="D170" s="853"/>
      <c r="E170" s="853"/>
      <c r="F170" s="853"/>
      <c r="G170" s="853"/>
      <c r="H170" s="853"/>
      <c r="I170" s="854"/>
      <c r="L170" s="76"/>
    </row>
    <row r="171" spans="1:12">
      <c r="A171" s="169" t="s">
        <v>1000</v>
      </c>
      <c r="B171" s="853" t="s">
        <v>999</v>
      </c>
      <c r="C171" s="853"/>
      <c r="D171" s="853"/>
      <c r="E171" s="853"/>
      <c r="F171" s="853"/>
      <c r="G171" s="853"/>
      <c r="H171" s="853"/>
      <c r="I171" s="854"/>
      <c r="L171" s="76"/>
    </row>
    <row r="172" spans="1:12" ht="25.5" customHeight="1">
      <c r="A172" s="168" t="s">
        <v>998</v>
      </c>
      <c r="B172" s="851" t="e">
        <f>"The revenues credited in lines "&amp;#REF!&amp;"-"&amp;#REF!&amp;" shall include only the amounts received directly reflecting the Transmission Owner's integrated transmission facilities.  They do not include revenues associated with FERC annual charges, "&amp;"gross receipts taxes, facilities not included in this template (e.g., direct assignment facilites and GSUs) which are not recovered under this Revenue Requirement Template."</f>
        <v>#REF!</v>
      </c>
      <c r="C172" s="851"/>
      <c r="D172" s="851"/>
      <c r="E172" s="851"/>
      <c r="F172" s="851"/>
      <c r="G172" s="851"/>
      <c r="H172" s="851"/>
      <c r="I172" s="852"/>
      <c r="J172" s="76"/>
    </row>
    <row r="173" spans="1:12">
      <c r="A173" s="167"/>
      <c r="B173" s="166" t="s">
        <v>997</v>
      </c>
      <c r="C173" s="165"/>
      <c r="D173" s="162"/>
      <c r="E173" s="164"/>
      <c r="F173" s="163"/>
      <c r="G173" s="162"/>
      <c r="H173" s="161"/>
      <c r="I173" s="160"/>
      <c r="J173" s="76"/>
    </row>
    <row r="174" spans="1:12" ht="13.5" thickBot="1">
      <c r="A174" s="159"/>
      <c r="B174" s="158"/>
      <c r="C174" s="155"/>
      <c r="D174" s="155"/>
      <c r="E174" s="157"/>
      <c r="F174" s="156"/>
      <c r="G174" s="155"/>
      <c r="H174" s="154"/>
      <c r="I174" s="153"/>
      <c r="J174" s="53"/>
      <c r="L174" s="53"/>
    </row>
    <row r="175" spans="1:12" ht="13.5" thickBot="1">
      <c r="A175" s="149"/>
      <c r="B175" s="122" t="s">
        <v>996</v>
      </c>
      <c r="C175" s="37"/>
      <c r="D175" s="122" t="s">
        <v>240</v>
      </c>
      <c r="E175" s="152"/>
      <c r="F175" s="151"/>
      <c r="G175" s="150"/>
      <c r="H175" s="145"/>
      <c r="I175" s="145"/>
      <c r="J175" s="53"/>
      <c r="L175" s="53"/>
    </row>
    <row r="176" spans="1:12">
      <c r="A176" s="149"/>
      <c r="B176" s="121"/>
      <c r="C176" s="59" t="s">
        <v>981</v>
      </c>
      <c r="D176" s="120" t="s">
        <v>950</v>
      </c>
      <c r="E176" s="59" t="s">
        <v>957</v>
      </c>
      <c r="F176" s="58" t="s">
        <v>980</v>
      </c>
      <c r="G176" s="37"/>
      <c r="H176" s="145"/>
      <c r="I176" s="145"/>
      <c r="J176" s="53"/>
      <c r="L176" s="53"/>
    </row>
    <row r="177" spans="1:12">
      <c r="A177" s="149"/>
      <c r="B177" s="116" t="s">
        <v>995</v>
      </c>
      <c r="C177" s="73">
        <f>'WS4-CostData'!C122</f>
        <v>67527563.679999977</v>
      </c>
      <c r="D177" s="73">
        <f>'WS4-CostData'!E122</f>
        <v>46417098.880000003</v>
      </c>
      <c r="E177" s="115">
        <f>'WS4-CostData'!G122</f>
        <v>46743530</v>
      </c>
      <c r="F177" s="100">
        <f t="shared" ref="F177:F186" si="8">SUM(C177:E177)</f>
        <v>160688192.55999997</v>
      </c>
      <c r="G177" s="37"/>
      <c r="H177" s="145"/>
      <c r="I177" s="145"/>
      <c r="J177" s="53"/>
      <c r="L177" s="53"/>
    </row>
    <row r="178" spans="1:12">
      <c r="A178" s="149"/>
      <c r="B178" s="116" t="s">
        <v>994</v>
      </c>
      <c r="C178" s="73"/>
      <c r="D178" s="73"/>
      <c r="E178" s="54"/>
      <c r="F178" s="100">
        <f t="shared" si="8"/>
        <v>0</v>
      </c>
      <c r="G178" s="37"/>
      <c r="H178" s="145"/>
      <c r="I178" s="145"/>
      <c r="J178" s="53"/>
      <c r="L178" s="53"/>
    </row>
    <row r="179" spans="1:12">
      <c r="A179" s="149"/>
      <c r="B179" s="116" t="s">
        <v>993</v>
      </c>
      <c r="C179" s="73"/>
      <c r="D179" s="73"/>
      <c r="E179" s="54"/>
      <c r="F179" s="100">
        <f t="shared" si="8"/>
        <v>0</v>
      </c>
      <c r="G179" s="37"/>
      <c r="H179" s="145"/>
      <c r="J179" s="53"/>
      <c r="L179" s="53"/>
    </row>
    <row r="180" spans="1:12">
      <c r="A180" s="149"/>
      <c r="B180" s="116" t="s">
        <v>992</v>
      </c>
      <c r="C180" s="73"/>
      <c r="D180" s="73"/>
      <c r="E180" s="54"/>
      <c r="F180" s="100">
        <f t="shared" si="8"/>
        <v>0</v>
      </c>
      <c r="G180" s="37"/>
      <c r="H180" s="145"/>
      <c r="J180" s="53"/>
      <c r="L180" s="53"/>
    </row>
    <row r="181" spans="1:12">
      <c r="B181" s="116" t="s">
        <v>991</v>
      </c>
      <c r="C181" s="73"/>
      <c r="D181" s="73"/>
      <c r="E181" s="54"/>
      <c r="F181" s="100">
        <f t="shared" si="8"/>
        <v>0</v>
      </c>
      <c r="G181" s="37"/>
      <c r="H181" s="145"/>
      <c r="J181" s="53"/>
      <c r="L181" s="53"/>
    </row>
    <row r="182" spans="1:12">
      <c r="B182" s="116" t="s">
        <v>990</v>
      </c>
      <c r="C182" s="73"/>
      <c r="D182" s="73"/>
      <c r="E182" s="54"/>
      <c r="F182" s="100">
        <f t="shared" si="8"/>
        <v>0</v>
      </c>
      <c r="G182" s="37"/>
      <c r="H182" s="145"/>
      <c r="J182" s="53"/>
      <c r="L182" s="53"/>
    </row>
    <row r="183" spans="1:12">
      <c r="B183" s="116" t="s">
        <v>989</v>
      </c>
      <c r="C183" s="148"/>
      <c r="D183" s="73"/>
      <c r="E183" s="54"/>
      <c r="F183" s="100">
        <f t="shared" si="8"/>
        <v>0</v>
      </c>
      <c r="G183" s="37"/>
      <c r="H183" s="145"/>
      <c r="J183" s="53"/>
      <c r="L183" s="53"/>
    </row>
    <row r="184" spans="1:12">
      <c r="B184" s="116" t="s">
        <v>988</v>
      </c>
      <c r="C184" s="148"/>
      <c r="D184" s="73"/>
      <c r="E184" s="54"/>
      <c r="F184" s="100">
        <f t="shared" si="8"/>
        <v>0</v>
      </c>
      <c r="G184" s="37"/>
      <c r="H184" s="145"/>
      <c r="J184" s="53"/>
      <c r="L184" s="53"/>
    </row>
    <row r="185" spans="1:12">
      <c r="B185" s="116" t="s">
        <v>987</v>
      </c>
      <c r="C185" s="73"/>
      <c r="D185" s="73"/>
      <c r="E185" s="54"/>
      <c r="F185" s="100">
        <f t="shared" si="8"/>
        <v>0</v>
      </c>
      <c r="G185" s="37"/>
      <c r="H185" s="145"/>
      <c r="J185" s="53"/>
      <c r="L185" s="53"/>
    </row>
    <row r="186" spans="1:12">
      <c r="B186" s="116" t="s">
        <v>986</v>
      </c>
      <c r="C186" s="138"/>
      <c r="D186" s="138"/>
      <c r="E186" s="147"/>
      <c r="F186" s="126">
        <f t="shared" si="8"/>
        <v>0</v>
      </c>
      <c r="G186" s="37"/>
      <c r="H186" s="145"/>
      <c r="J186" s="53"/>
      <c r="L186" s="53"/>
    </row>
    <row r="187" spans="1:12" ht="13.5" thickBot="1">
      <c r="B187" s="96"/>
      <c r="C187" s="112">
        <f>C177-C178-C179-C180+C183+C184+C185+C186-C181</f>
        <v>67527563.679999977</v>
      </c>
      <c r="D187" s="112">
        <f>D177-D178-D179-D180+D183+D184+D185+D186-D181</f>
        <v>46417098.880000003</v>
      </c>
      <c r="E187" s="111">
        <f>E177-E178-E179-E180+E183+E184+E185+E186-E181</f>
        <v>46743530</v>
      </c>
      <c r="F187" s="110">
        <f>F177-F178-F179-F180+F183+F184+F185+F186-F181</f>
        <v>160688192.55999997</v>
      </c>
      <c r="G187" s="37"/>
      <c r="H187" s="145"/>
      <c r="J187" s="53"/>
      <c r="L187" s="53"/>
    </row>
    <row r="188" spans="1:12" ht="13.5" thickBot="1">
      <c r="B188" s="76"/>
      <c r="C188" s="37"/>
      <c r="D188" s="76"/>
      <c r="E188" s="80"/>
      <c r="F188" s="79"/>
      <c r="G188" s="37"/>
      <c r="H188" s="145"/>
      <c r="J188" s="53"/>
      <c r="L188" s="53"/>
    </row>
    <row r="189" spans="1:12">
      <c r="B189" s="121" t="s">
        <v>985</v>
      </c>
      <c r="C189" s="133">
        <f>'WS4-CostData'!C95</f>
        <v>19762043.349999998</v>
      </c>
      <c r="D189" s="133">
        <f>'WS4-CostData'!E115</f>
        <v>9914051.5299999993</v>
      </c>
      <c r="E189" s="59">
        <f>E181</f>
        <v>0</v>
      </c>
      <c r="F189" s="146">
        <f>SUM(C189:E189)</f>
        <v>29676094.879999995</v>
      </c>
      <c r="G189" s="37"/>
      <c r="H189" s="145"/>
      <c r="J189" s="78"/>
      <c r="L189" s="53"/>
    </row>
    <row r="190" spans="1:12" ht="13.5" thickBot="1">
      <c r="B190" s="144"/>
      <c r="C190" s="57"/>
      <c r="D190" s="75"/>
      <c r="E190" s="54"/>
      <c r="F190" s="125">
        <f>SUM(F187:F189)</f>
        <v>190364287.43999997</v>
      </c>
      <c r="G190" s="37"/>
      <c r="J190" s="53"/>
      <c r="L190" s="53"/>
    </row>
    <row r="191" spans="1:12" ht="13.5" thickTop="1">
      <c r="B191" s="118"/>
      <c r="C191" s="57"/>
      <c r="D191" s="57"/>
      <c r="E191" s="54"/>
      <c r="F191" s="117"/>
      <c r="G191" s="37"/>
      <c r="J191" s="53"/>
      <c r="L191" s="53"/>
    </row>
    <row r="192" spans="1:12" ht="13.5" thickBot="1">
      <c r="B192" s="143"/>
      <c r="C192" s="95"/>
      <c r="D192" s="142"/>
      <c r="E192" s="124" t="str">
        <f>"line "&amp;A62</f>
        <v>line 47</v>
      </c>
      <c r="F192" s="123">
        <f>D62</f>
        <v>190364287.43999997</v>
      </c>
      <c r="G192" s="37"/>
      <c r="J192" s="53"/>
      <c r="L192" s="53"/>
    </row>
    <row r="193" spans="2:12">
      <c r="B193" s="76"/>
      <c r="C193" s="37"/>
      <c r="D193" s="76"/>
      <c r="E193" s="80"/>
      <c r="F193" s="79"/>
      <c r="G193" s="37"/>
      <c r="J193" s="53"/>
      <c r="L193" s="53"/>
    </row>
    <row r="194" spans="2:12" ht="13.5" thickBot="1">
      <c r="B194" s="122" t="s">
        <v>984</v>
      </c>
      <c r="C194" s="37"/>
      <c r="D194" s="122" t="s">
        <v>240</v>
      </c>
      <c r="E194" s="80"/>
      <c r="F194" s="79"/>
      <c r="G194" s="37"/>
      <c r="J194" s="53"/>
      <c r="L194" s="53"/>
    </row>
    <row r="195" spans="2:12">
      <c r="B195" s="121"/>
      <c r="C195" s="59" t="s">
        <v>981</v>
      </c>
      <c r="D195" s="120" t="s">
        <v>950</v>
      </c>
      <c r="E195" s="120" t="s">
        <v>957</v>
      </c>
      <c r="F195" s="119" t="s">
        <v>980</v>
      </c>
      <c r="G195" s="37"/>
      <c r="J195" s="53"/>
      <c r="L195" s="53"/>
    </row>
    <row r="196" spans="2:12">
      <c r="B196" s="141" t="s">
        <v>978</v>
      </c>
      <c r="C196" s="138">
        <f>'WS4-CostData'!C7</f>
        <v>1418477171.8700001</v>
      </c>
      <c r="D196" s="138">
        <f>'WS4-CostData'!E7</f>
        <v>805173862.79999995</v>
      </c>
      <c r="E196" s="138">
        <f>'WS4-CostData'!G7</f>
        <v>1176464987</v>
      </c>
      <c r="F196" s="136">
        <f>SUM(C196:E196)</f>
        <v>3400116021.6700001</v>
      </c>
      <c r="G196" s="37"/>
      <c r="J196" s="53"/>
      <c r="L196" s="53"/>
    </row>
    <row r="197" spans="2:12">
      <c r="B197" s="116" t="s">
        <v>977</v>
      </c>
      <c r="C197" s="140">
        <f>'WS4-CostData'!C9</f>
        <v>13555863.331200004</v>
      </c>
      <c r="D197" s="140">
        <f>'WS4-CostData'!E9</f>
        <v>0</v>
      </c>
      <c r="E197" s="140">
        <f>'WS4-CostData'!G9</f>
        <v>1109217733.74</v>
      </c>
      <c r="F197" s="114">
        <f>SUM(C197:E197)</f>
        <v>1122773597.0711999</v>
      </c>
      <c r="G197" s="37"/>
      <c r="J197" s="53"/>
      <c r="L197" s="53"/>
    </row>
    <row r="198" spans="2:12">
      <c r="B198" s="116" t="s">
        <v>976</v>
      </c>
      <c r="C198" s="140">
        <f>'WS4-CostData'!C8</f>
        <v>1351360274.4842072</v>
      </c>
      <c r="D198" s="140">
        <f>'WS4-CostData'!E8</f>
        <v>10034426.5875</v>
      </c>
      <c r="E198" s="140">
        <f>'WS4-CostData'!G8</f>
        <v>67247253.260000005</v>
      </c>
      <c r="F198" s="114">
        <f>SUM(C198:E198)</f>
        <v>1428641954.3317072</v>
      </c>
      <c r="G198" s="37"/>
      <c r="J198" s="53"/>
      <c r="L198" s="53"/>
    </row>
    <row r="199" spans="2:12">
      <c r="B199" s="116" t="s">
        <v>975</v>
      </c>
      <c r="C199" s="73">
        <f>C196-C198-C197</f>
        <v>53561034.054592967</v>
      </c>
      <c r="D199" s="73">
        <v>0</v>
      </c>
      <c r="E199" s="73">
        <f>E196-E198-E197</f>
        <v>0</v>
      </c>
      <c r="F199" s="114">
        <f>SUM(C199:E199)</f>
        <v>53561034.054592967</v>
      </c>
      <c r="G199" s="37"/>
      <c r="J199" s="53"/>
      <c r="L199" s="53"/>
    </row>
    <row r="200" spans="2:12">
      <c r="B200" s="139"/>
      <c r="C200" s="73"/>
      <c r="D200" s="73"/>
      <c r="E200" s="115"/>
      <c r="F200" s="114">
        <f>C200+D200</f>
        <v>0</v>
      </c>
      <c r="G200" s="37"/>
      <c r="J200" s="53"/>
      <c r="L200" s="53"/>
    </row>
    <row r="201" spans="2:12">
      <c r="B201" s="99"/>
      <c r="C201" s="73"/>
      <c r="D201" s="73"/>
      <c r="E201" s="115"/>
      <c r="F201" s="114">
        <f>C201+D201</f>
        <v>0</v>
      </c>
      <c r="G201" s="37"/>
      <c r="J201" s="53"/>
      <c r="L201" s="53"/>
    </row>
    <row r="202" spans="2:12">
      <c r="B202" s="99"/>
      <c r="C202" s="138"/>
      <c r="D202" s="138"/>
      <c r="E202" s="137"/>
      <c r="F202" s="136">
        <f>C202+D202</f>
        <v>0</v>
      </c>
      <c r="G202" s="37"/>
      <c r="J202" s="53"/>
      <c r="L202" s="53"/>
    </row>
    <row r="203" spans="2:12" ht="13.5" thickBot="1">
      <c r="B203" s="96"/>
      <c r="C203" s="112">
        <f>SUM(C197:C202)</f>
        <v>1418477171.8700004</v>
      </c>
      <c r="D203" s="112">
        <f>SUM(D197:D202)</f>
        <v>10034426.5875</v>
      </c>
      <c r="E203" s="111">
        <f>SUM(E197:E202)</f>
        <v>1176464987</v>
      </c>
      <c r="F203" s="110">
        <f>SUM(C203:E203)</f>
        <v>2604976585.4575005</v>
      </c>
      <c r="G203" s="37" t="str">
        <f>"line "&amp;A19</f>
        <v>line 11</v>
      </c>
      <c r="J203" s="53"/>
      <c r="L203" s="53"/>
    </row>
    <row r="204" spans="2:12" ht="13.5" thickBot="1">
      <c r="B204" s="76"/>
      <c r="C204" s="135"/>
      <c r="D204" s="76"/>
      <c r="E204" s="87"/>
      <c r="F204" s="79"/>
      <c r="G204" s="37"/>
      <c r="J204" s="53"/>
      <c r="L204" s="53"/>
    </row>
    <row r="205" spans="2:12">
      <c r="B205" s="134" t="s">
        <v>983</v>
      </c>
      <c r="C205" s="133">
        <f>'WS4-CostData'!C14</f>
        <v>685762276.15999997</v>
      </c>
      <c r="D205" s="133">
        <f>'WS4-CostData'!E14</f>
        <v>394281086.88999999</v>
      </c>
      <c r="E205" s="132">
        <f>'WS4-CostData'!G14</f>
        <v>614235591</v>
      </c>
      <c r="F205" s="131">
        <f>SUM(C205:E205)</f>
        <v>1694278954.05</v>
      </c>
      <c r="G205" s="37"/>
      <c r="J205" s="53"/>
      <c r="L205" s="53"/>
    </row>
    <row r="206" spans="2:12">
      <c r="B206" s="116" t="s">
        <v>977</v>
      </c>
      <c r="C206" s="130">
        <f>'WS4-CostData'!C16</f>
        <v>6553577.2289253008</v>
      </c>
      <c r="D206" s="130">
        <f>'WS4-CostData'!E16</f>
        <v>0</v>
      </c>
      <c r="E206" s="101">
        <f>'WS4-CostData'!G16</f>
        <v>579125615.94276285</v>
      </c>
      <c r="F206" s="100">
        <f>SUM(C206:E206)</f>
        <v>585679193.1716882</v>
      </c>
      <c r="G206" s="37"/>
      <c r="J206" s="53"/>
      <c r="L206" s="53"/>
    </row>
    <row r="207" spans="2:12">
      <c r="B207" s="116" t="s">
        <v>976</v>
      </c>
      <c r="C207" s="129">
        <f>'WS4-CostData'!C15</f>
        <v>653314636.37218344</v>
      </c>
      <c r="D207" s="130">
        <f>'WS4-CostData'!E15</f>
        <v>4913702.2499451824</v>
      </c>
      <c r="E207" s="101">
        <f>'WS4-CostData'!G15</f>
        <v>35109975.057237111</v>
      </c>
      <c r="F207" s="114">
        <f>SUM(C207:E207)</f>
        <v>693338313.67936575</v>
      </c>
      <c r="G207" s="37"/>
      <c r="J207" s="53"/>
      <c r="L207" s="53"/>
    </row>
    <row r="208" spans="2:12">
      <c r="B208" s="116" t="s">
        <v>975</v>
      </c>
      <c r="C208" s="128">
        <f>C205-C206-C207</f>
        <v>25894062.558891177</v>
      </c>
      <c r="D208" s="98"/>
      <c r="E208" s="127"/>
      <c r="F208" s="126">
        <f>SUM(C208:E208)</f>
        <v>25894062.558891177</v>
      </c>
      <c r="G208" s="37"/>
      <c r="J208" s="53"/>
      <c r="L208" s="53"/>
    </row>
    <row r="209" spans="2:12" ht="15" customHeight="1" thickBot="1">
      <c r="B209" s="99"/>
      <c r="C209" s="103">
        <f>SUM(C206:C208)</f>
        <v>685762276.15999997</v>
      </c>
      <c r="D209" s="98"/>
      <c r="E209" s="101">
        <f>SUM(E206:E208)</f>
        <v>614235591</v>
      </c>
      <c r="F209" s="125">
        <f>SUM(F206:F208)</f>
        <v>1304911569.409945</v>
      </c>
      <c r="G209" s="37"/>
      <c r="J209" s="53"/>
      <c r="L209" s="53"/>
    </row>
    <row r="210" spans="2:12" ht="15" customHeight="1" thickTop="1">
      <c r="B210" s="99"/>
      <c r="C210" s="57"/>
      <c r="D210" s="98"/>
      <c r="E210" s="54"/>
      <c r="F210" s="117"/>
      <c r="G210" s="37"/>
      <c r="J210" s="53"/>
      <c r="L210" s="53"/>
    </row>
    <row r="211" spans="2:12" ht="15" customHeight="1" thickBot="1">
      <c r="B211" s="96"/>
      <c r="C211" s="95"/>
      <c r="D211" s="94"/>
      <c r="E211" s="124" t="str">
        <f>"line "&amp;A26</f>
        <v>line 17</v>
      </c>
      <c r="F211" s="123">
        <f>D26</f>
        <v>1304911569.409945</v>
      </c>
      <c r="G211" s="37"/>
      <c r="J211" s="53"/>
      <c r="L211" s="53"/>
    </row>
    <row r="212" spans="2:12" ht="33" customHeight="1" thickBot="1">
      <c r="B212" s="122" t="s">
        <v>982</v>
      </c>
      <c r="C212" s="37"/>
      <c r="D212" s="122" t="s">
        <v>240</v>
      </c>
      <c r="E212" s="80"/>
      <c r="F212" s="79"/>
      <c r="G212" s="37"/>
      <c r="J212" s="53"/>
      <c r="L212" s="53"/>
    </row>
    <row r="213" spans="2:12" ht="15" customHeight="1">
      <c r="B213" s="121"/>
      <c r="C213" s="59" t="s">
        <v>981</v>
      </c>
      <c r="D213" s="120" t="s">
        <v>950</v>
      </c>
      <c r="E213" s="120" t="s">
        <v>957</v>
      </c>
      <c r="F213" s="119" t="s">
        <v>980</v>
      </c>
      <c r="G213" s="37"/>
      <c r="J213" s="53"/>
      <c r="L213" s="53"/>
    </row>
    <row r="214" spans="2:12" ht="15" customHeight="1">
      <c r="B214" s="116" t="s">
        <v>979</v>
      </c>
      <c r="C214" s="73">
        <f>'WS4-CostData'!C59</f>
        <v>44653166.100000001</v>
      </c>
      <c r="D214" s="73">
        <f>'WS4-CostData'!E59</f>
        <v>26616546.359999999</v>
      </c>
      <c r="E214" s="115">
        <f>'WS4-CostData'!G59</f>
        <v>20855793</v>
      </c>
      <c r="F214" s="114">
        <f>SUM(C214:E214)</f>
        <v>92125505.460000008</v>
      </c>
      <c r="G214" s="37"/>
      <c r="J214" s="53"/>
      <c r="L214" s="53"/>
    </row>
    <row r="215" spans="2:12" ht="15" customHeight="1">
      <c r="B215" s="118"/>
      <c r="C215" s="57"/>
      <c r="D215" s="57"/>
      <c r="E215" s="54"/>
      <c r="F215" s="117"/>
      <c r="G215" s="53"/>
      <c r="J215" s="53"/>
      <c r="L215" s="53"/>
    </row>
    <row r="216" spans="2:12" ht="15" customHeight="1">
      <c r="B216" s="116" t="s">
        <v>978</v>
      </c>
      <c r="C216" s="73">
        <f>C196</f>
        <v>1418477171.8700001</v>
      </c>
      <c r="D216" s="73">
        <f>D196</f>
        <v>805173862.79999995</v>
      </c>
      <c r="E216" s="115">
        <f>E196</f>
        <v>1176464987</v>
      </c>
      <c r="F216" s="114">
        <f>SUM(C216:E216)</f>
        <v>3400116021.6700001</v>
      </c>
      <c r="G216" s="53"/>
      <c r="L216" s="53"/>
    </row>
    <row r="217" spans="2:12" ht="15" customHeight="1">
      <c r="B217" s="116" t="s">
        <v>977</v>
      </c>
      <c r="C217" s="73">
        <f>C197</f>
        <v>13555863.331200004</v>
      </c>
      <c r="D217" s="73">
        <v>0</v>
      </c>
      <c r="E217" s="115">
        <f>E197</f>
        <v>1109217733.74</v>
      </c>
      <c r="F217" s="114">
        <f>SUM(C217:E217)</f>
        <v>1122773597.0711999</v>
      </c>
      <c r="G217" s="53"/>
      <c r="L217" s="53"/>
    </row>
    <row r="218" spans="2:12" ht="15" customHeight="1">
      <c r="B218" s="116" t="s">
        <v>976</v>
      </c>
      <c r="C218" s="73">
        <f>C198</f>
        <v>1351360274.4842072</v>
      </c>
      <c r="D218" s="73">
        <f>D198</f>
        <v>10034426.5875</v>
      </c>
      <c r="E218" s="115">
        <f>E198</f>
        <v>67247253.260000005</v>
      </c>
      <c r="F218" s="114">
        <f>SUM(C218:E218)</f>
        <v>1428641954.3317072</v>
      </c>
      <c r="G218" s="53"/>
      <c r="L218" s="53"/>
    </row>
    <row r="219" spans="2:12" ht="15" customHeight="1" thickBot="1">
      <c r="B219" s="113" t="s">
        <v>975</v>
      </c>
      <c r="C219" s="112">
        <f>C199</f>
        <v>53561034.054592967</v>
      </c>
      <c r="D219" s="112">
        <v>0</v>
      </c>
      <c r="E219" s="111"/>
      <c r="F219" s="110">
        <f>SUM(C219:E219)</f>
        <v>53561034.054592967</v>
      </c>
      <c r="G219" s="53"/>
      <c r="L219" s="53"/>
    </row>
    <row r="220" spans="2:12" ht="15" customHeight="1" thickBot="1">
      <c r="B220" s="53"/>
      <c r="C220" s="37"/>
      <c r="D220" s="53"/>
      <c r="E220" s="87"/>
      <c r="F220" s="85"/>
      <c r="G220" s="53"/>
      <c r="L220" s="53"/>
    </row>
    <row r="221" spans="2:12" ht="15" customHeight="1">
      <c r="B221" s="109" t="s">
        <v>974</v>
      </c>
      <c r="C221" s="108">
        <f>C218/C216</f>
        <v>0.95268383678158763</v>
      </c>
      <c r="D221" s="107">
        <f>D218/D216</f>
        <v>1.2462434576061851E-2</v>
      </c>
      <c r="E221" s="106">
        <f>E218/E216</f>
        <v>5.716043741470056E-2</v>
      </c>
      <c r="F221" s="105"/>
      <c r="G221" s="53"/>
      <c r="L221" s="53"/>
    </row>
    <row r="222" spans="2:12" ht="15" customHeight="1">
      <c r="B222" s="99"/>
      <c r="C222" s="57"/>
      <c r="D222" s="98"/>
      <c r="E222" s="56"/>
      <c r="F222" s="104"/>
      <c r="G222" s="53"/>
      <c r="L222" s="53"/>
    </row>
    <row r="223" spans="2:12" ht="15" customHeight="1">
      <c r="B223" s="99" t="s">
        <v>973</v>
      </c>
      <c r="C223" s="103">
        <f>C214*C221</f>
        <v>42540349.604593523</v>
      </c>
      <c r="D223" s="102">
        <f>D214*D221</f>
        <v>331706.96765221719</v>
      </c>
      <c r="E223" s="101">
        <f>E214*E221</f>
        <v>1192126.25051045</v>
      </c>
      <c r="F223" s="100">
        <f>SUM(C223:E223)</f>
        <v>44064182.822756186</v>
      </c>
      <c r="G223" s="53"/>
      <c r="L223" s="53"/>
    </row>
    <row r="224" spans="2:12" ht="15" customHeight="1">
      <c r="B224" s="99" t="s">
        <v>972</v>
      </c>
      <c r="C224" s="57"/>
      <c r="D224" s="98"/>
      <c r="E224" s="56"/>
      <c r="F224" s="97" t="str">
        <f>"line "&amp;A131</f>
        <v>line 100</v>
      </c>
      <c r="G224" s="53"/>
      <c r="L224" s="53"/>
    </row>
    <row r="225" spans="2:12" ht="13.5" thickBot="1">
      <c r="B225" s="96"/>
      <c r="C225" s="95"/>
      <c r="D225" s="94"/>
      <c r="E225" s="93"/>
      <c r="F225" s="92"/>
      <c r="G225" s="53"/>
      <c r="L225" s="53"/>
    </row>
    <row r="226" spans="2:12">
      <c r="B226" s="53"/>
      <c r="C226" s="37" t="s">
        <v>971</v>
      </c>
      <c r="D226" s="53"/>
      <c r="E226" s="91"/>
      <c r="F226" s="90"/>
      <c r="G226" s="53"/>
      <c r="L226" s="53"/>
    </row>
    <row r="227" spans="2:12">
      <c r="B227" s="78" t="s">
        <v>970</v>
      </c>
      <c r="C227" s="89">
        <v>363576829</v>
      </c>
      <c r="D227" s="82">
        <v>262341710</v>
      </c>
      <c r="E227" s="88">
        <v>521555771</v>
      </c>
      <c r="F227" s="85"/>
      <c r="G227" s="53"/>
      <c r="L227" s="53"/>
    </row>
    <row r="228" spans="2:12">
      <c r="B228" s="87"/>
      <c r="C228" s="84">
        <v>71842675</v>
      </c>
      <c r="D228" s="82">
        <v>8786658</v>
      </c>
      <c r="E228" s="86">
        <v>107661984</v>
      </c>
      <c r="F228" s="85"/>
      <c r="G228" s="53"/>
      <c r="L228" s="53"/>
    </row>
    <row r="229" spans="2:12">
      <c r="B229" s="53"/>
      <c r="C229" s="84">
        <v>602173</v>
      </c>
      <c r="D229" s="84">
        <v>141709127</v>
      </c>
      <c r="E229" s="72">
        <f>SUM(E227:E228)</f>
        <v>629217755</v>
      </c>
      <c r="F229" s="79"/>
      <c r="G229" s="37"/>
      <c r="L229" s="53"/>
    </row>
    <row r="230" spans="2:12">
      <c r="B230" s="53"/>
      <c r="C230" s="82">
        <v>339381810</v>
      </c>
      <c r="D230" s="83">
        <v>1660014</v>
      </c>
      <c r="E230" s="80"/>
      <c r="F230" s="79"/>
      <c r="G230" s="37"/>
      <c r="L230" s="53"/>
    </row>
    <row r="231" spans="2:12">
      <c r="B231" s="76"/>
      <c r="C231" s="82">
        <v>112882562</v>
      </c>
      <c r="D231" s="70">
        <f>SUM(D227:D230)</f>
        <v>414497509</v>
      </c>
      <c r="E231" s="80"/>
      <c r="F231" s="79"/>
      <c r="G231" s="37"/>
      <c r="L231" s="53"/>
    </row>
    <row r="232" spans="2:12">
      <c r="B232" s="76"/>
      <c r="C232" s="81">
        <v>2582544</v>
      </c>
      <c r="D232" s="76"/>
      <c r="E232" s="80"/>
      <c r="F232" s="79"/>
      <c r="G232" s="57"/>
      <c r="L232" s="53"/>
    </row>
    <row r="233" spans="2:12">
      <c r="B233" s="78" t="s">
        <v>2377</v>
      </c>
      <c r="C233" s="70">
        <f>SUM(C227:C232)</f>
        <v>890868593</v>
      </c>
      <c r="D233" s="76"/>
      <c r="E233" s="56"/>
      <c r="F233" s="71"/>
      <c r="G233" s="56"/>
      <c r="L233" s="53"/>
    </row>
    <row r="234" spans="2:12">
      <c r="B234" s="78"/>
      <c r="C234" s="77"/>
      <c r="D234" s="76"/>
      <c r="E234" s="56"/>
      <c r="F234" s="63"/>
      <c r="G234" s="57"/>
      <c r="L234" s="53"/>
    </row>
    <row r="235" spans="2:12">
      <c r="B235" s="69"/>
      <c r="C235" s="70">
        <f>SUM(C233:C234)</f>
        <v>890868593</v>
      </c>
      <c r="D235" s="75"/>
      <c r="E235" s="56"/>
      <c r="F235" s="66"/>
      <c r="G235" s="57"/>
      <c r="L235" s="53"/>
    </row>
    <row r="236" spans="2:12">
      <c r="B236" s="56"/>
      <c r="C236" s="69"/>
      <c r="D236" s="56"/>
      <c r="E236" s="74"/>
      <c r="F236" s="63"/>
      <c r="G236" s="57"/>
      <c r="L236" s="53"/>
    </row>
    <row r="237" spans="2:12">
      <c r="B237" s="57"/>
      <c r="C237" s="73">
        <f>C235*C221</f>
        <v>848716109.24745464</v>
      </c>
      <c r="D237" s="70">
        <f>D231*D221</f>
        <v>5165648.0878531085</v>
      </c>
      <c r="E237" s="72">
        <f>E221*E229</f>
        <v>35966362.10489589</v>
      </c>
      <c r="F237" s="71">
        <f>SUM(C237:E237)</f>
        <v>889848119.44020367</v>
      </c>
      <c r="G237" s="70" t="str">
        <f>"line "&amp;A134</f>
        <v>line 101</v>
      </c>
      <c r="L237" s="53"/>
    </row>
    <row r="238" spans="2:12">
      <c r="B238" s="68"/>
      <c r="C238" s="57"/>
      <c r="D238" s="69"/>
      <c r="E238" s="54"/>
      <c r="F238" s="63"/>
      <c r="G238" s="57"/>
      <c r="L238" s="53"/>
    </row>
    <row r="239" spans="2:12">
      <c r="B239" s="68"/>
      <c r="C239" s="57"/>
      <c r="D239" s="67"/>
      <c r="E239" s="54"/>
      <c r="F239" s="66">
        <f>F223/F237</f>
        <v>4.9518768270788292E-2</v>
      </c>
      <c r="G239" s="57"/>
      <c r="L239" s="53"/>
    </row>
    <row r="240" spans="2:12" ht="13.5" thickBot="1">
      <c r="B240" s="65" t="s">
        <v>969</v>
      </c>
      <c r="C240" s="64"/>
      <c r="D240" s="57"/>
      <c r="E240" s="54"/>
      <c r="F240" s="63"/>
      <c r="G240" s="57"/>
      <c r="L240" s="53"/>
    </row>
    <row r="241" spans="2:12">
      <c r="B241" s="62" t="s">
        <v>968</v>
      </c>
      <c r="C241" s="61"/>
      <c r="D241" s="60"/>
      <c r="E241" s="59"/>
      <c r="F241" s="58"/>
      <c r="G241" s="57"/>
      <c r="L241" s="53"/>
    </row>
    <row r="242" spans="2:12">
      <c r="B242" s="46"/>
      <c r="C242" s="56" t="s">
        <v>967</v>
      </c>
      <c r="D242" s="54" t="s">
        <v>966</v>
      </c>
      <c r="E242" s="54" t="s">
        <v>965</v>
      </c>
      <c r="F242" s="55" t="s">
        <v>964</v>
      </c>
      <c r="G242" s="54"/>
      <c r="L242" s="53"/>
    </row>
    <row r="243" spans="2:12">
      <c r="B243" s="50">
        <v>1110</v>
      </c>
      <c r="C243" s="45">
        <v>4341089.33</v>
      </c>
      <c r="D243" s="45">
        <v>9160745.4499999993</v>
      </c>
      <c r="E243" s="52">
        <v>373224.06</v>
      </c>
      <c r="F243" s="51">
        <v>2248663.2400000002</v>
      </c>
      <c r="L243" s="53"/>
    </row>
    <row r="244" spans="2:12">
      <c r="B244" s="50" t="s">
        <v>963</v>
      </c>
      <c r="C244" s="45">
        <v>-97907.01</v>
      </c>
      <c r="D244" s="45">
        <v>-86917.99</v>
      </c>
      <c r="E244" s="52">
        <v>-29902.46</v>
      </c>
      <c r="F244" s="51">
        <v>36364.120000000003</v>
      </c>
      <c r="L244" s="53"/>
    </row>
    <row r="245" spans="2:12">
      <c r="B245" s="50">
        <v>1120</v>
      </c>
      <c r="C245" s="45">
        <v>880077.23</v>
      </c>
      <c r="D245" s="45">
        <v>1797944.13</v>
      </c>
      <c r="E245" s="52">
        <v>74455.95</v>
      </c>
      <c r="F245" s="51">
        <v>444424.17</v>
      </c>
      <c r="L245" s="53"/>
    </row>
    <row r="246" spans="2:12">
      <c r="B246" s="50">
        <v>1130</v>
      </c>
      <c r="C246" s="45">
        <v>64003.95</v>
      </c>
      <c r="D246" s="45">
        <v>86167.97</v>
      </c>
      <c r="E246" s="52">
        <v>3665.26</v>
      </c>
      <c r="F246" s="51">
        <v>53866.62</v>
      </c>
      <c r="L246" s="53"/>
    </row>
    <row r="247" spans="2:12">
      <c r="B247" s="50">
        <v>1150</v>
      </c>
      <c r="C247" s="45">
        <v>33579.56</v>
      </c>
      <c r="D247" s="45">
        <v>53317.16</v>
      </c>
      <c r="E247" s="52">
        <v>2400.6999999999998</v>
      </c>
      <c r="F247" s="51">
        <v>18990.849999999999</v>
      </c>
      <c r="L247" s="53"/>
    </row>
    <row r="248" spans="2:12">
      <c r="B248" s="50">
        <v>1151</v>
      </c>
      <c r="C248" s="45">
        <v>866086.26</v>
      </c>
      <c r="D248" s="45">
        <v>703386.04</v>
      </c>
      <c r="E248" s="52">
        <v>2700.87</v>
      </c>
      <c r="F248" s="51">
        <v>145179.31</v>
      </c>
    </row>
    <row r="249" spans="2:12">
      <c r="B249" s="50">
        <v>1152</v>
      </c>
      <c r="C249" s="49">
        <v>59873</v>
      </c>
      <c r="D249" s="49">
        <v>162131.37</v>
      </c>
      <c r="E249" s="48">
        <v>0</v>
      </c>
      <c r="F249" s="47">
        <v>31376.400000000001</v>
      </c>
    </row>
    <row r="250" spans="2:12">
      <c r="B250" s="46"/>
      <c r="C250" s="45">
        <f>SUM(C243:C249)</f>
        <v>6146802.3200000003</v>
      </c>
      <c r="D250" s="45">
        <f>SUM(D243:D249)</f>
        <v>11876774.130000001</v>
      </c>
      <c r="E250" s="45">
        <f>SUM(E243:E249)</f>
        <v>426544.38</v>
      </c>
      <c r="F250" s="44">
        <f>SUM(F243:F249)</f>
        <v>2978864.7100000004</v>
      </c>
    </row>
    <row r="251" spans="2:12" ht="13.5" thickBot="1">
      <c r="B251" s="43"/>
      <c r="C251" s="42"/>
      <c r="D251" s="42"/>
      <c r="E251" s="41"/>
      <c r="F251" s="40">
        <f>C250+D250+E250+F250</f>
        <v>21428985.540000003</v>
      </c>
    </row>
  </sheetData>
  <mergeCells count="21">
    <mergeCell ref="B159:I159"/>
    <mergeCell ref="E162:I162"/>
    <mergeCell ref="B170:I170"/>
    <mergeCell ref="B171:I171"/>
    <mergeCell ref="E163:I163"/>
    <mergeCell ref="B172:I172"/>
    <mergeCell ref="B164:I164"/>
    <mergeCell ref="B165:I165"/>
    <mergeCell ref="B166:I166"/>
    <mergeCell ref="B167:I167"/>
    <mergeCell ref="B168:I168"/>
    <mergeCell ref="B169:I169"/>
    <mergeCell ref="B155:I155"/>
    <mergeCell ref="B156:I156"/>
    <mergeCell ref="B157:I157"/>
    <mergeCell ref="B158:I158"/>
    <mergeCell ref="B150:I150"/>
    <mergeCell ref="B151:I151"/>
    <mergeCell ref="B152:I152"/>
    <mergeCell ref="B153:I153"/>
    <mergeCell ref="B154:I154"/>
  </mergeCells>
  <pageMargins left="0.56999999999999995" right="0.3" top="0.5" bottom="0.25" header="0.28000000000000003" footer="0.08"/>
  <pageSetup scale="53" orientation="portrait" r:id="rId1"/>
  <headerFooter alignWithMargins="0">
    <oddFooter>&amp;R&amp;A</oddFooter>
  </headerFooter>
  <rowBreaks count="1" manualBreakCount="1">
    <brk id="91"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90" zoomScaleNormal="100" zoomScaleSheetLayoutView="90" workbookViewId="0"/>
  </sheetViews>
  <sheetFormatPr defaultColWidth="13.1796875" defaultRowHeight="14.5"/>
  <cols>
    <col min="1" max="1" width="13.1796875" style="351"/>
    <col min="2" max="2" width="89.453125" style="351" bestFit="1" customWidth="1"/>
    <col min="3" max="7" width="13.1796875" style="351"/>
    <col min="8" max="8" width="32.26953125" style="351" bestFit="1" customWidth="1"/>
    <col min="9" max="16384" width="13.1796875" style="351"/>
  </cols>
  <sheetData>
    <row r="1" spans="1:8">
      <c r="A1" s="757" t="str">
        <f>'Cover Sheets'!A10:D10</f>
        <v>WAPA-UGP 2018 Rate True-up Calculation</v>
      </c>
      <c r="B1" s="517"/>
      <c r="C1" s="396"/>
      <c r="D1" s="396"/>
      <c r="E1" s="396"/>
      <c r="F1" s="396"/>
      <c r="G1" s="396"/>
      <c r="H1" s="397"/>
    </row>
    <row r="2" spans="1:8">
      <c r="A2" s="167" t="s">
        <v>2591</v>
      </c>
      <c r="B2" s="398"/>
      <c r="C2" s="398"/>
      <c r="D2" s="398"/>
      <c r="E2" s="398"/>
      <c r="F2" s="398"/>
      <c r="G2" s="398"/>
      <c r="H2" s="399"/>
    </row>
    <row r="3" spans="1:8" ht="39.5">
      <c r="A3" s="167"/>
      <c r="B3" s="358" t="s">
        <v>2</v>
      </c>
      <c r="C3" s="359" t="s">
        <v>1213</v>
      </c>
      <c r="D3" s="358" t="s">
        <v>1387</v>
      </c>
      <c r="E3" s="359" t="s">
        <v>1386</v>
      </c>
      <c r="F3" s="359" t="s">
        <v>2514</v>
      </c>
      <c r="G3" s="359" t="s">
        <v>2515</v>
      </c>
      <c r="H3" s="360" t="s">
        <v>1211</v>
      </c>
    </row>
    <row r="4" spans="1:8" ht="15" thickBot="1">
      <c r="A4" s="361" t="s">
        <v>1385</v>
      </c>
      <c r="B4" s="362">
        <v>-1</v>
      </c>
      <c r="C4" s="362">
        <v>-2</v>
      </c>
      <c r="D4" s="362">
        <v>-3</v>
      </c>
      <c r="E4" s="362">
        <v>-4</v>
      </c>
      <c r="F4" s="362">
        <v>-4</v>
      </c>
      <c r="G4" s="362">
        <v>-5</v>
      </c>
      <c r="H4" s="363">
        <v>-5</v>
      </c>
    </row>
    <row r="5" spans="1:8">
      <c r="A5" s="400">
        <v>1</v>
      </c>
      <c r="B5" s="401" t="s">
        <v>1384</v>
      </c>
      <c r="C5" s="402"/>
      <c r="D5" s="403"/>
      <c r="E5" s="404"/>
      <c r="F5" s="403"/>
      <c r="G5" s="403"/>
      <c r="H5" s="405"/>
    </row>
    <row r="6" spans="1:8">
      <c r="A6" s="400">
        <f t="shared" ref="A6:A36" si="0">A5+1</f>
        <v>2</v>
      </c>
      <c r="B6" s="406" t="s">
        <v>1383</v>
      </c>
      <c r="C6" s="407">
        <f>'WS4-CostData'!K123</f>
        <v>67582769.134285137</v>
      </c>
      <c r="D6" s="408">
        <f>'WS4-CostData'!K124</f>
        <v>87333963.307197183</v>
      </c>
      <c r="E6" s="408">
        <f>'WS4-CostData'!G124</f>
        <v>44071649.378892824</v>
      </c>
      <c r="F6" s="408">
        <v>0</v>
      </c>
      <c r="G6" s="408">
        <v>0</v>
      </c>
      <c r="H6" s="405" t="s">
        <v>1240</v>
      </c>
    </row>
    <row r="7" spans="1:8">
      <c r="A7" s="400">
        <f t="shared" si="0"/>
        <v>3</v>
      </c>
      <c r="B7" s="406" t="s">
        <v>1382</v>
      </c>
      <c r="C7" s="407">
        <v>0</v>
      </c>
      <c r="D7" s="408">
        <v>0</v>
      </c>
      <c r="E7" s="408">
        <v>0</v>
      </c>
      <c r="F7" s="408">
        <v>0</v>
      </c>
      <c r="G7" s="408">
        <v>0</v>
      </c>
      <c r="H7" s="405"/>
    </row>
    <row r="8" spans="1:8">
      <c r="A8" s="400">
        <f t="shared" si="0"/>
        <v>4</v>
      </c>
      <c r="B8" s="406" t="s">
        <v>1381</v>
      </c>
      <c r="C8" s="407">
        <f>SUM(C6:C7)</f>
        <v>67582769.134285137</v>
      </c>
      <c r="D8" s="408">
        <f>SUM(D6:D7)</f>
        <v>87333963.307197183</v>
      </c>
      <c r="E8" s="408">
        <f>SUM(E6:E7)</f>
        <v>44071649.378892824</v>
      </c>
      <c r="F8" s="752">
        <f>SUM(F6:F7)</f>
        <v>0</v>
      </c>
      <c r="G8" s="408">
        <f>SUM(G6:G7)</f>
        <v>0</v>
      </c>
      <c r="H8" s="405" t="s">
        <v>1380</v>
      </c>
    </row>
    <row r="9" spans="1:8" ht="15" thickBot="1">
      <c r="A9" s="400">
        <f t="shared" si="0"/>
        <v>5</v>
      </c>
      <c r="B9" s="406" t="s">
        <v>1347</v>
      </c>
      <c r="C9" s="407">
        <f>'WS4-CostData'!K18</f>
        <v>735303640.65234137</v>
      </c>
      <c r="D9" s="408">
        <f>'WS4-CostData'!K19</f>
        <v>700476664.44951177</v>
      </c>
      <c r="E9" s="408">
        <f>'WS4-CostData'!G19</f>
        <v>530092117.79723716</v>
      </c>
      <c r="F9" s="408">
        <v>0</v>
      </c>
      <c r="G9" s="408">
        <v>0</v>
      </c>
      <c r="H9" s="405" t="s">
        <v>1216</v>
      </c>
    </row>
    <row r="10" spans="1:8" ht="15" thickBot="1">
      <c r="A10" s="400">
        <f t="shared" si="0"/>
        <v>6</v>
      </c>
      <c r="B10" s="406" t="s">
        <v>1379</v>
      </c>
      <c r="C10" s="409">
        <f>+C8/C9</f>
        <v>9.1911375652006216E-2</v>
      </c>
      <c r="D10" s="410">
        <f>+D8/D9</f>
        <v>0.12467790540293144</v>
      </c>
      <c r="E10" s="410">
        <f>+E8/E9</f>
        <v>8.3139605172832337E-2</v>
      </c>
      <c r="F10" s="410" t="e">
        <f>+F8/F9</f>
        <v>#DIV/0!</v>
      </c>
      <c r="G10" s="410" t="e">
        <f>+G8/G9</f>
        <v>#DIV/0!</v>
      </c>
      <c r="H10" s="405" t="s">
        <v>1378</v>
      </c>
    </row>
    <row r="11" spans="1:8">
      <c r="A11" s="400">
        <f t="shared" si="0"/>
        <v>7</v>
      </c>
      <c r="B11" s="401" t="s">
        <v>1377</v>
      </c>
      <c r="C11" s="402"/>
      <c r="D11" s="403"/>
      <c r="E11" s="403"/>
      <c r="F11" s="403"/>
      <c r="G11" s="403"/>
      <c r="H11" s="405"/>
    </row>
    <row r="12" spans="1:8">
      <c r="A12" s="400">
        <f t="shared" si="0"/>
        <v>8</v>
      </c>
      <c r="B12" s="406" t="s">
        <v>1376</v>
      </c>
      <c r="C12" s="407">
        <f>'WS4-CostData'!K96</f>
        <v>18950532.499898389</v>
      </c>
      <c r="D12" s="408">
        <f>'WS4-CostData'!K97</f>
        <v>188858.56192150369</v>
      </c>
      <c r="E12" s="408">
        <f>'WS4-CostData'!G97</f>
        <v>0</v>
      </c>
      <c r="F12" s="752">
        <v>0</v>
      </c>
      <c r="G12" s="408">
        <v>0</v>
      </c>
      <c r="H12" s="405" t="s">
        <v>1259</v>
      </c>
    </row>
    <row r="13" spans="1:8" ht="15" thickBot="1">
      <c r="A13" s="400">
        <f t="shared" si="0"/>
        <v>9</v>
      </c>
      <c r="B13" s="406" t="s">
        <v>1375</v>
      </c>
      <c r="C13" s="407">
        <f>C9</f>
        <v>735303640.65234137</v>
      </c>
      <c r="D13" s="408">
        <f>D9</f>
        <v>700476664.44951177</v>
      </c>
      <c r="E13" s="408">
        <f>E9</f>
        <v>530092117.79723716</v>
      </c>
      <c r="F13" s="408">
        <f>F9</f>
        <v>0</v>
      </c>
      <c r="G13" s="408">
        <f>G9</f>
        <v>0</v>
      </c>
      <c r="H13" s="405" t="s">
        <v>1346</v>
      </c>
    </row>
    <row r="14" spans="1:8" ht="15" thickBot="1">
      <c r="A14" s="400">
        <f t="shared" si="0"/>
        <v>10</v>
      </c>
      <c r="B14" s="406" t="s">
        <v>1374</v>
      </c>
      <c r="C14" s="409">
        <f>+C12/C13</f>
        <v>2.577239041423213E-2</v>
      </c>
      <c r="D14" s="410">
        <f>+D12/D13</f>
        <v>2.6961435192123526E-4</v>
      </c>
      <c r="E14" s="410">
        <f>+E12/E13</f>
        <v>0</v>
      </c>
      <c r="F14" s="410" t="e">
        <f>+F12/F13</f>
        <v>#DIV/0!</v>
      </c>
      <c r="G14" s="410" t="e">
        <f>+G12/G13</f>
        <v>#DIV/0!</v>
      </c>
      <c r="H14" s="405" t="s">
        <v>1373</v>
      </c>
    </row>
    <row r="15" spans="1:8">
      <c r="A15" s="400">
        <f t="shared" si="0"/>
        <v>11</v>
      </c>
      <c r="B15" s="401" t="s">
        <v>1372</v>
      </c>
      <c r="C15" s="402"/>
      <c r="D15" s="403"/>
      <c r="E15" s="403"/>
      <c r="F15" s="403"/>
      <c r="G15" s="403"/>
      <c r="H15" s="405"/>
    </row>
    <row r="16" spans="1:8">
      <c r="A16" s="400">
        <f t="shared" si="0"/>
        <v>12</v>
      </c>
      <c r="B16" s="406" t="s">
        <v>1357</v>
      </c>
      <c r="C16" s="408">
        <f>'WS4-CostData'!K39</f>
        <v>31490914.788294446</v>
      </c>
      <c r="D16" s="408">
        <f>'WS4-CostData'!K40</f>
        <v>17783035.391440805</v>
      </c>
      <c r="E16" s="408">
        <f>'WS4-CostData'!G40</f>
        <v>14254167.18693671</v>
      </c>
      <c r="F16" s="752">
        <v>0</v>
      </c>
      <c r="G16" s="408">
        <f>'[2]Cost Data 2020 est'!K49</f>
        <v>157688.57813986941</v>
      </c>
      <c r="H16" s="405" t="s">
        <v>1371</v>
      </c>
    </row>
    <row r="17" spans="1:8" ht="15" thickBot="1">
      <c r="A17" s="400">
        <f t="shared" si="0"/>
        <v>13</v>
      </c>
      <c r="B17" s="406" t="s">
        <v>1347</v>
      </c>
      <c r="C17" s="407">
        <f>C13</f>
        <v>735303640.65234137</v>
      </c>
      <c r="D17" s="408">
        <f>D13</f>
        <v>700476664.44951177</v>
      </c>
      <c r="E17" s="408">
        <f>E13</f>
        <v>530092117.79723716</v>
      </c>
      <c r="F17" s="408">
        <f>F13</f>
        <v>0</v>
      </c>
      <c r="G17" s="408">
        <f>G13</f>
        <v>0</v>
      </c>
      <c r="H17" s="405" t="s">
        <v>1346</v>
      </c>
    </row>
    <row r="18" spans="1:8" ht="15" thickBot="1">
      <c r="A18" s="400">
        <f t="shared" si="0"/>
        <v>14</v>
      </c>
      <c r="B18" s="406" t="s">
        <v>1370</v>
      </c>
      <c r="C18" s="409">
        <f>C16/C17</f>
        <v>4.2827089446145765E-2</v>
      </c>
      <c r="D18" s="410">
        <f>D16/D17</f>
        <v>2.5387048982446942E-2</v>
      </c>
      <c r="E18" s="410">
        <f>E16/E17</f>
        <v>2.688998139826897E-2</v>
      </c>
      <c r="F18" s="410" t="e">
        <f>F16/F17</f>
        <v>#DIV/0!</v>
      </c>
      <c r="G18" s="410" t="e">
        <f>G16/G17</f>
        <v>#DIV/0!</v>
      </c>
      <c r="H18" s="405" t="s">
        <v>1369</v>
      </c>
    </row>
    <row r="19" spans="1:8">
      <c r="A19" s="400">
        <f t="shared" si="0"/>
        <v>15</v>
      </c>
      <c r="B19" s="401" t="s">
        <v>1368</v>
      </c>
      <c r="C19" s="402"/>
      <c r="D19" s="403"/>
      <c r="E19" s="403"/>
      <c r="F19" s="403"/>
      <c r="G19" s="403"/>
      <c r="H19" s="405"/>
    </row>
    <row r="20" spans="1:8">
      <c r="A20" s="400">
        <f t="shared" si="0"/>
        <v>16</v>
      </c>
      <c r="B20" s="406" t="s">
        <v>1367</v>
      </c>
      <c r="C20" s="402"/>
      <c r="D20" s="403"/>
      <c r="E20" s="403"/>
      <c r="F20" s="403"/>
      <c r="G20" s="403"/>
      <c r="H20" s="405"/>
    </row>
    <row r="21" spans="1:8">
      <c r="A21" s="400">
        <f t="shared" si="0"/>
        <v>17</v>
      </c>
      <c r="B21" s="401" t="s">
        <v>1366</v>
      </c>
      <c r="C21" s="402"/>
      <c r="D21" s="403"/>
      <c r="E21" s="403"/>
      <c r="F21" s="403"/>
      <c r="G21" s="403"/>
      <c r="H21" s="405"/>
    </row>
    <row r="22" spans="1:8">
      <c r="A22" s="400">
        <f t="shared" si="0"/>
        <v>18</v>
      </c>
      <c r="B22" s="406" t="s">
        <v>1365</v>
      </c>
      <c r="C22" s="402"/>
      <c r="D22" s="403"/>
      <c r="E22" s="403"/>
      <c r="F22" s="403"/>
      <c r="G22" s="403"/>
      <c r="H22" s="405"/>
    </row>
    <row r="23" spans="1:8" ht="15" thickBot="1">
      <c r="A23" s="400">
        <f t="shared" si="0"/>
        <v>19</v>
      </c>
      <c r="B23" s="401" t="s">
        <v>1364</v>
      </c>
      <c r="C23" s="402"/>
      <c r="D23" s="403"/>
      <c r="E23" s="403"/>
      <c r="F23" s="403"/>
      <c r="G23" s="403"/>
      <c r="H23" s="405"/>
    </row>
    <row r="24" spans="1:8" ht="15" thickBot="1">
      <c r="A24" s="400">
        <f t="shared" si="0"/>
        <v>20</v>
      </c>
      <c r="B24" s="406" t="s">
        <v>1363</v>
      </c>
      <c r="C24" s="409">
        <f>'WS4-CostData'!K62</f>
        <v>4.942300168199476E-2</v>
      </c>
      <c r="D24" s="410">
        <f>'WS4-CostData'!K64</f>
        <v>3.4876973502109249E-2</v>
      </c>
      <c r="E24" s="410">
        <f>'WS4-CostData'!K64</f>
        <v>3.4876973502109249E-2</v>
      </c>
      <c r="F24" s="410">
        <f>C24</f>
        <v>4.942300168199476E-2</v>
      </c>
      <c r="G24" s="410">
        <f>F24</f>
        <v>4.942300168199476E-2</v>
      </c>
      <c r="H24" s="405" t="s">
        <v>1294</v>
      </c>
    </row>
    <row r="25" spans="1:8">
      <c r="A25" s="400">
        <f t="shared" si="0"/>
        <v>21</v>
      </c>
      <c r="B25" s="401" t="s">
        <v>1362</v>
      </c>
      <c r="C25" s="402"/>
      <c r="D25" s="403"/>
      <c r="E25" s="403"/>
      <c r="F25" s="403"/>
      <c r="G25" s="403"/>
      <c r="H25" s="405"/>
    </row>
    <row r="26" spans="1:8">
      <c r="A26" s="400">
        <f t="shared" si="0"/>
        <v>22</v>
      </c>
      <c r="B26" s="406" t="s">
        <v>1361</v>
      </c>
      <c r="C26" s="411">
        <f>C10</f>
        <v>9.1911375652006216E-2</v>
      </c>
      <c r="D26" s="412">
        <f>D10</f>
        <v>0.12467790540293144</v>
      </c>
      <c r="E26" s="412">
        <f>E10</f>
        <v>8.3139605172832337E-2</v>
      </c>
      <c r="F26" s="412" t="e">
        <f>F10</f>
        <v>#DIV/0!</v>
      </c>
      <c r="G26" s="412" t="e">
        <f>G10</f>
        <v>#DIV/0!</v>
      </c>
      <c r="H26" s="405" t="s">
        <v>1360</v>
      </c>
    </row>
    <row r="27" spans="1:8">
      <c r="A27" s="400">
        <f t="shared" si="0"/>
        <v>23</v>
      </c>
      <c r="B27" s="406" t="s">
        <v>1359</v>
      </c>
      <c r="C27" s="411">
        <f>C14</f>
        <v>2.577239041423213E-2</v>
      </c>
      <c r="D27" s="412">
        <f>D14</f>
        <v>2.6961435192123526E-4</v>
      </c>
      <c r="E27" s="412">
        <f>E14</f>
        <v>0</v>
      </c>
      <c r="F27" s="412" t="e">
        <f>F14</f>
        <v>#DIV/0!</v>
      </c>
      <c r="G27" s="412" t="e">
        <f>G14</f>
        <v>#DIV/0!</v>
      </c>
      <c r="H27" s="405" t="s">
        <v>1358</v>
      </c>
    </row>
    <row r="28" spans="1:8">
      <c r="A28" s="400">
        <f t="shared" si="0"/>
        <v>24</v>
      </c>
      <c r="B28" s="406" t="s">
        <v>1357</v>
      </c>
      <c r="C28" s="411">
        <f>C18</f>
        <v>4.2827089446145765E-2</v>
      </c>
      <c r="D28" s="412">
        <f>D18</f>
        <v>2.5387048982446942E-2</v>
      </c>
      <c r="E28" s="412">
        <f>E18</f>
        <v>2.688998139826897E-2</v>
      </c>
      <c r="F28" s="412" t="e">
        <f>F18</f>
        <v>#DIV/0!</v>
      </c>
      <c r="G28" s="412" t="e">
        <f>G18</f>
        <v>#DIV/0!</v>
      </c>
      <c r="H28" s="405" t="s">
        <v>1356</v>
      </c>
    </row>
    <row r="29" spans="1:8">
      <c r="A29" s="400">
        <f t="shared" si="0"/>
        <v>25</v>
      </c>
      <c r="B29" s="406" t="s">
        <v>1355</v>
      </c>
      <c r="C29" s="411">
        <v>0</v>
      </c>
      <c r="D29" s="412">
        <v>0</v>
      </c>
      <c r="E29" s="412">
        <v>0</v>
      </c>
      <c r="F29" s="412">
        <v>0</v>
      </c>
      <c r="G29" s="412">
        <v>0</v>
      </c>
      <c r="H29" s="405"/>
    </row>
    <row r="30" spans="1:8">
      <c r="A30" s="400">
        <f t="shared" si="0"/>
        <v>26</v>
      </c>
      <c r="B30" s="406" t="s">
        <v>1354</v>
      </c>
      <c r="C30" s="411">
        <v>0</v>
      </c>
      <c r="D30" s="412">
        <v>0</v>
      </c>
      <c r="E30" s="412">
        <v>0</v>
      </c>
      <c r="F30" s="412">
        <v>0</v>
      </c>
      <c r="G30" s="412">
        <v>0</v>
      </c>
      <c r="H30" s="405"/>
    </row>
    <row r="31" spans="1:8" ht="15" thickBot="1">
      <c r="A31" s="400">
        <f t="shared" si="0"/>
        <v>27</v>
      </c>
      <c r="B31" s="406" t="s">
        <v>1353</v>
      </c>
      <c r="C31" s="411">
        <f>C24</f>
        <v>4.942300168199476E-2</v>
      </c>
      <c r="D31" s="412">
        <f>D24</f>
        <v>3.4876973502109249E-2</v>
      </c>
      <c r="E31" s="412">
        <f>E24</f>
        <v>3.4876973502109249E-2</v>
      </c>
      <c r="F31" s="412">
        <f>F24</f>
        <v>4.942300168199476E-2</v>
      </c>
      <c r="G31" s="412">
        <f>G24</f>
        <v>4.942300168199476E-2</v>
      </c>
      <c r="H31" s="405" t="s">
        <v>1352</v>
      </c>
    </row>
    <row r="32" spans="1:8" ht="15" thickBot="1">
      <c r="A32" s="400">
        <f t="shared" si="0"/>
        <v>28</v>
      </c>
      <c r="B32" s="406" t="s">
        <v>1351</v>
      </c>
      <c r="C32" s="409">
        <f>SUM(C26:C31)</f>
        <v>0.20993385719437888</v>
      </c>
      <c r="D32" s="410">
        <f>SUM(D26:D31)</f>
        <v>0.18521154223940886</v>
      </c>
      <c r="E32" s="410">
        <f>SUM(E26:E31)</f>
        <v>0.14490656007321057</v>
      </c>
      <c r="F32" s="410" t="e">
        <f>SUM(F26:F31)</f>
        <v>#DIV/0!</v>
      </c>
      <c r="G32" s="410" t="e">
        <f>SUM(G26:G31)</f>
        <v>#DIV/0!</v>
      </c>
      <c r="H32" s="405"/>
    </row>
    <row r="33" spans="1:8">
      <c r="A33" s="400">
        <f t="shared" si="0"/>
        <v>29</v>
      </c>
      <c r="B33" s="401" t="s">
        <v>1350</v>
      </c>
      <c r="C33" s="411"/>
      <c r="D33" s="412"/>
      <c r="E33" s="412"/>
      <c r="F33" s="412"/>
      <c r="G33" s="412"/>
      <c r="H33" s="413"/>
    </row>
    <row r="34" spans="1:8">
      <c r="A34" s="400">
        <f t="shared" si="0"/>
        <v>30</v>
      </c>
      <c r="B34" s="406" t="s">
        <v>1349</v>
      </c>
      <c r="C34" s="411">
        <f>C32</f>
        <v>0.20993385719437888</v>
      </c>
      <c r="D34" s="412">
        <f>D32</f>
        <v>0.18521154223940886</v>
      </c>
      <c r="E34" s="412">
        <f>E32</f>
        <v>0.14490656007321057</v>
      </c>
      <c r="F34" s="412" t="e">
        <f>F32</f>
        <v>#DIV/0!</v>
      </c>
      <c r="G34" s="412" t="e">
        <f>G32</f>
        <v>#DIV/0!</v>
      </c>
      <c r="H34" s="414" t="s">
        <v>1348</v>
      </c>
    </row>
    <row r="35" spans="1:8">
      <c r="A35" s="400">
        <f t="shared" si="0"/>
        <v>31</v>
      </c>
      <c r="B35" s="406" t="s">
        <v>1347</v>
      </c>
      <c r="C35" s="415">
        <f>C9</f>
        <v>735303640.65234137</v>
      </c>
      <c r="D35" s="416">
        <f>D9</f>
        <v>700476664.44951177</v>
      </c>
      <c r="E35" s="416">
        <f>E9</f>
        <v>530092117.79723716</v>
      </c>
      <c r="F35" s="416">
        <f>F9</f>
        <v>0</v>
      </c>
      <c r="G35" s="416">
        <f>G9</f>
        <v>0</v>
      </c>
      <c r="H35" s="405" t="s">
        <v>1346</v>
      </c>
    </row>
    <row r="36" spans="1:8" ht="15" thickBot="1">
      <c r="A36" s="361">
        <f t="shared" si="0"/>
        <v>32</v>
      </c>
      <c r="B36" s="417" t="s">
        <v>1345</v>
      </c>
      <c r="C36" s="418">
        <f>C35*C34</f>
        <v>154365129.49121553</v>
      </c>
      <c r="D36" s="419">
        <f>D35*D34</f>
        <v>129736363.32541098</v>
      </c>
      <c r="E36" s="419">
        <f>E35*E34</f>
        <v>76813825.311920762</v>
      </c>
      <c r="F36" s="419" t="e">
        <f>F35*F34</f>
        <v>#DIV/0!</v>
      </c>
      <c r="G36" s="419" t="e">
        <f>G35*G34</f>
        <v>#DIV/0!</v>
      </c>
      <c r="H36" s="420" t="s">
        <v>1344</v>
      </c>
    </row>
  </sheetData>
  <pageMargins left="0.7" right="0.7" top="0.75" bottom="0.75" header="0.3" footer="0.3"/>
  <pageSetup scale="60"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
  <sheetViews>
    <sheetView workbookViewId="0">
      <selection sqref="A1:A2"/>
    </sheetView>
  </sheetViews>
  <sheetFormatPr defaultRowHeight="14.5"/>
  <cols>
    <col min="3" max="3" width="47.81640625" bestFit="1" customWidth="1"/>
    <col min="5" max="5" width="14.81640625" bestFit="1" customWidth="1"/>
    <col min="8" max="8" width="18.26953125" bestFit="1" customWidth="1"/>
    <col min="9" max="10" width="8.54296875" customWidth="1"/>
  </cols>
  <sheetData>
    <row r="1" spans="1:10">
      <c r="A1" s="757" t="str">
        <f>'Cover Sheets'!A10:D10</f>
        <v>WAPA-UGP 2018 Rate True-up Calculation</v>
      </c>
      <c r="B1" s="818"/>
      <c r="C1" s="818"/>
      <c r="D1" s="818"/>
      <c r="E1" s="818"/>
      <c r="F1" s="818"/>
      <c r="G1" s="818"/>
      <c r="H1" s="818"/>
      <c r="I1" s="818"/>
      <c r="J1" s="819"/>
    </row>
    <row r="2" spans="1:10">
      <c r="A2" s="357" t="s">
        <v>2557</v>
      </c>
      <c r="B2" s="779"/>
      <c r="C2" s="779"/>
      <c r="D2" s="779"/>
      <c r="E2" s="779"/>
      <c r="F2" s="779"/>
      <c r="G2" s="779"/>
      <c r="H2" s="779"/>
      <c r="I2" s="779"/>
      <c r="J2" s="820"/>
    </row>
    <row r="3" spans="1:10">
      <c r="A3" s="872" t="str">
        <f>'WS1-RateBase'!A4</f>
        <v>12 Months Ending 09/30/2018 ACTUAL</v>
      </c>
      <c r="B3" s="831"/>
      <c r="C3" s="203"/>
      <c r="D3" s="203"/>
      <c r="E3" s="817"/>
      <c r="F3" s="164"/>
      <c r="G3" s="183"/>
      <c r="H3" s="685" t="s">
        <v>1213</v>
      </c>
      <c r="I3" s="183"/>
      <c r="J3" s="302"/>
    </row>
    <row r="4" spans="1:10">
      <c r="A4" s="169" t="s">
        <v>1212</v>
      </c>
      <c r="B4" s="685" t="s">
        <v>2488</v>
      </c>
      <c r="C4" s="685" t="s">
        <v>2487</v>
      </c>
      <c r="D4" s="685" t="s">
        <v>1211</v>
      </c>
      <c r="E4" s="685" t="s">
        <v>1210</v>
      </c>
      <c r="F4" s="685" t="s">
        <v>1209</v>
      </c>
      <c r="G4" s="685" t="s">
        <v>2486</v>
      </c>
      <c r="H4" s="685" t="s">
        <v>1208</v>
      </c>
      <c r="I4" s="162"/>
      <c r="J4" s="160"/>
    </row>
    <row r="5" spans="1:10" ht="15" thickBot="1">
      <c r="A5" s="174" t="s">
        <v>1207</v>
      </c>
      <c r="B5" s="202"/>
      <c r="C5" s="202" t="s">
        <v>1206</v>
      </c>
      <c r="D5" s="202" t="s">
        <v>1205</v>
      </c>
      <c r="E5" s="202" t="s">
        <v>1204</v>
      </c>
      <c r="F5" s="157"/>
      <c r="G5" s="686" t="s">
        <v>1203</v>
      </c>
      <c r="H5" s="686" t="s">
        <v>1202</v>
      </c>
      <c r="I5" s="155"/>
      <c r="J5" s="153"/>
    </row>
    <row r="6" spans="1:10">
      <c r="A6" s="246">
        <v>1</v>
      </c>
      <c r="B6" s="243" t="s">
        <v>2491</v>
      </c>
      <c r="C6" s="700">
        <v>43101</v>
      </c>
      <c r="D6" s="694" t="s">
        <v>2490</v>
      </c>
      <c r="E6" s="708">
        <f>-(27610.28+2069.555)</f>
        <v>-29679.834999999999</v>
      </c>
      <c r="F6" s="687" t="s">
        <v>487</v>
      </c>
      <c r="G6" s="706">
        <v>1</v>
      </c>
      <c r="H6" s="789">
        <f>E6</f>
        <v>-29679.834999999999</v>
      </c>
      <c r="I6" s="242"/>
      <c r="J6" s="689"/>
    </row>
    <row r="7" spans="1:10">
      <c r="A7" s="172">
        <v>2</v>
      </c>
      <c r="B7" s="164" t="s">
        <v>2491</v>
      </c>
      <c r="C7" s="701">
        <v>43132</v>
      </c>
      <c r="D7" s="695" t="s">
        <v>2490</v>
      </c>
      <c r="E7" s="709">
        <f>-(21585.68+1958.39)</f>
        <v>-23544.07</v>
      </c>
      <c r="F7" s="299" t="s">
        <v>487</v>
      </c>
      <c r="G7" s="690">
        <v>1</v>
      </c>
      <c r="H7" s="790">
        <f t="shared" ref="H7:H18" si="0">E7</f>
        <v>-23544.07</v>
      </c>
      <c r="I7" s="162"/>
      <c r="J7" s="160"/>
    </row>
    <row r="8" spans="1:10">
      <c r="A8" s="172">
        <v>3</v>
      </c>
      <c r="B8" s="164" t="s">
        <v>2491</v>
      </c>
      <c r="C8" s="701">
        <v>43160</v>
      </c>
      <c r="D8" s="294" t="s">
        <v>2490</v>
      </c>
      <c r="E8" s="709">
        <f>-(20277.52+583.58)</f>
        <v>-20861.100000000002</v>
      </c>
      <c r="F8" s="299" t="s">
        <v>487</v>
      </c>
      <c r="G8" s="690">
        <v>1</v>
      </c>
      <c r="H8" s="790">
        <f t="shared" si="0"/>
        <v>-20861.100000000002</v>
      </c>
      <c r="I8" s="162"/>
      <c r="J8" s="160"/>
    </row>
    <row r="9" spans="1:10">
      <c r="A9" s="172">
        <v>4</v>
      </c>
      <c r="B9" s="164" t="s">
        <v>2491</v>
      </c>
      <c r="C9" s="701">
        <v>43191</v>
      </c>
      <c r="D9" s="294" t="s">
        <v>2490</v>
      </c>
      <c r="E9" s="709">
        <f>-(22135.96+999.43)</f>
        <v>-23135.39</v>
      </c>
      <c r="F9" s="299" t="s">
        <v>487</v>
      </c>
      <c r="G9" s="690">
        <v>1</v>
      </c>
      <c r="H9" s="790">
        <f t="shared" si="0"/>
        <v>-23135.39</v>
      </c>
      <c r="I9" s="162"/>
      <c r="J9" s="160"/>
    </row>
    <row r="10" spans="1:10">
      <c r="A10" s="172">
        <v>5</v>
      </c>
      <c r="B10" s="164" t="s">
        <v>2491</v>
      </c>
      <c r="C10" s="701">
        <v>43221</v>
      </c>
      <c r="D10" s="294" t="s">
        <v>2490</v>
      </c>
      <c r="E10" s="709">
        <f>-(21982.63-205.04)</f>
        <v>-21777.59</v>
      </c>
      <c r="F10" s="299" t="s">
        <v>487</v>
      </c>
      <c r="G10" s="690">
        <v>1</v>
      </c>
      <c r="H10" s="790">
        <f t="shared" si="0"/>
        <v>-21777.59</v>
      </c>
      <c r="I10" s="162"/>
      <c r="J10" s="160"/>
    </row>
    <row r="11" spans="1:10">
      <c r="A11" s="172">
        <v>6</v>
      </c>
      <c r="B11" s="164" t="s">
        <v>2491</v>
      </c>
      <c r="C11" s="701">
        <v>43252</v>
      </c>
      <c r="D11" s="695" t="s">
        <v>2490</v>
      </c>
      <c r="E11" s="709">
        <f>-(20191.41+146.89)</f>
        <v>-20338.3</v>
      </c>
      <c r="F11" s="299" t="s">
        <v>487</v>
      </c>
      <c r="G11" s="690">
        <v>1</v>
      </c>
      <c r="H11" s="790">
        <f t="shared" si="0"/>
        <v>-20338.3</v>
      </c>
      <c r="I11" s="162"/>
      <c r="J11" s="160"/>
    </row>
    <row r="12" spans="1:10">
      <c r="A12" s="172">
        <v>7</v>
      </c>
      <c r="B12" s="164" t="s">
        <v>2491</v>
      </c>
      <c r="C12" s="701">
        <v>43282</v>
      </c>
      <c r="D12" s="294" t="s">
        <v>2490</v>
      </c>
      <c r="E12" s="709">
        <f>-(19944.16-1.49)</f>
        <v>-19942.669999999998</v>
      </c>
      <c r="F12" s="299" t="s">
        <v>487</v>
      </c>
      <c r="G12" s="690">
        <v>1</v>
      </c>
      <c r="H12" s="790">
        <f t="shared" si="0"/>
        <v>-19942.669999999998</v>
      </c>
      <c r="I12" s="162"/>
      <c r="J12" s="160"/>
    </row>
    <row r="13" spans="1:10">
      <c r="A13" s="172">
        <v>8</v>
      </c>
      <c r="B13" s="164" t="s">
        <v>2491</v>
      </c>
      <c r="C13" s="701">
        <v>43313</v>
      </c>
      <c r="D13" s="294" t="s">
        <v>2490</v>
      </c>
      <c r="E13" s="710">
        <f>-(22899.7-16.67)</f>
        <v>-22883.030000000002</v>
      </c>
      <c r="F13" s="310" t="s">
        <v>487</v>
      </c>
      <c r="G13" s="690">
        <f>+G12</f>
        <v>1</v>
      </c>
      <c r="H13" s="790">
        <f t="shared" si="0"/>
        <v>-22883.030000000002</v>
      </c>
      <c r="I13" s="162"/>
      <c r="J13" s="160"/>
    </row>
    <row r="14" spans="1:10">
      <c r="A14" s="172">
        <v>9</v>
      </c>
      <c r="B14" s="164" t="s">
        <v>2491</v>
      </c>
      <c r="C14" s="701">
        <v>43344</v>
      </c>
      <c r="D14" s="294" t="s">
        <v>2490</v>
      </c>
      <c r="E14" s="710">
        <f>-(20241.14-24.09)</f>
        <v>-20217.05</v>
      </c>
      <c r="F14" s="310" t="s">
        <v>487</v>
      </c>
      <c r="G14" s="690">
        <v>1</v>
      </c>
      <c r="H14" s="790">
        <f t="shared" si="0"/>
        <v>-20217.05</v>
      </c>
      <c r="I14" s="162"/>
      <c r="J14" s="160"/>
    </row>
    <row r="15" spans="1:10">
      <c r="A15" s="172">
        <v>10</v>
      </c>
      <c r="B15" s="164" t="s">
        <v>2491</v>
      </c>
      <c r="C15" s="701">
        <v>43374</v>
      </c>
      <c r="D15" s="695" t="s">
        <v>2490</v>
      </c>
      <c r="E15" s="710">
        <f>-(17947.88-2925.2)</f>
        <v>-15022.68</v>
      </c>
      <c r="F15" s="697" t="s">
        <v>487</v>
      </c>
      <c r="G15" s="690">
        <v>1</v>
      </c>
      <c r="H15" s="790">
        <f t="shared" si="0"/>
        <v>-15022.68</v>
      </c>
      <c r="I15" s="162"/>
      <c r="J15" s="160"/>
    </row>
    <row r="16" spans="1:10">
      <c r="A16" s="172">
        <v>11</v>
      </c>
      <c r="B16" s="164" t="s">
        <v>2491</v>
      </c>
      <c r="C16" s="701">
        <v>43405</v>
      </c>
      <c r="D16" s="294" t="s">
        <v>2490</v>
      </c>
      <c r="E16" s="710">
        <f>-(23519.92+2.4)</f>
        <v>-23522.32</v>
      </c>
      <c r="F16" s="697" t="s">
        <v>487</v>
      </c>
      <c r="G16" s="690">
        <v>1</v>
      </c>
      <c r="H16" s="790">
        <f t="shared" si="0"/>
        <v>-23522.32</v>
      </c>
      <c r="I16" s="162"/>
      <c r="J16" s="160"/>
    </row>
    <row r="17" spans="1:10">
      <c r="A17" s="172">
        <v>12</v>
      </c>
      <c r="B17" s="164" t="s">
        <v>2491</v>
      </c>
      <c r="C17" s="701">
        <v>43435</v>
      </c>
      <c r="D17" s="294" t="s">
        <v>2490</v>
      </c>
      <c r="E17" s="710">
        <f>-(20638.28)</f>
        <v>-20638.28</v>
      </c>
      <c r="F17" s="296" t="s">
        <v>487</v>
      </c>
      <c r="G17" s="690">
        <v>1</v>
      </c>
      <c r="H17" s="790">
        <f t="shared" si="0"/>
        <v>-20638.28</v>
      </c>
      <c r="I17" s="162"/>
      <c r="J17" s="160"/>
    </row>
    <row r="18" spans="1:10">
      <c r="A18" s="172">
        <v>13</v>
      </c>
      <c r="B18" s="164" t="s">
        <v>2491</v>
      </c>
      <c r="C18" s="684" t="s">
        <v>2489</v>
      </c>
      <c r="D18" s="707"/>
      <c r="E18" s="711">
        <v>0</v>
      </c>
      <c r="F18" s="697"/>
      <c r="G18" s="690">
        <v>1</v>
      </c>
      <c r="H18" s="791">
        <f t="shared" si="0"/>
        <v>0</v>
      </c>
      <c r="I18" s="692"/>
      <c r="J18" s="693"/>
    </row>
    <row r="19" spans="1:10" ht="15" thickBot="1">
      <c r="A19" s="180">
        <v>14</v>
      </c>
      <c r="B19" s="157"/>
      <c r="C19" s="158" t="s">
        <v>2517</v>
      </c>
      <c r="D19" s="698"/>
      <c r="E19" s="712">
        <f>SUM(E6:E18)</f>
        <v>-261562.315</v>
      </c>
      <c r="F19" s="699"/>
      <c r="G19" s="156"/>
      <c r="H19" s="792">
        <f>SUM(H6:H18)</f>
        <v>-261562.315</v>
      </c>
      <c r="I19" s="155"/>
      <c r="J19" s="153"/>
    </row>
    <row r="20" spans="1:10">
      <c r="A20" s="246">
        <v>15</v>
      </c>
      <c r="B20" s="243">
        <v>45644</v>
      </c>
      <c r="C20" s="700">
        <v>43101</v>
      </c>
      <c r="D20" s="694" t="s">
        <v>2498</v>
      </c>
      <c r="E20" s="708">
        <v>596754.27</v>
      </c>
      <c r="F20" s="687" t="s">
        <v>1097</v>
      </c>
      <c r="G20" s="706">
        <v>1</v>
      </c>
      <c r="H20" s="688">
        <f>E20</f>
        <v>596754.27</v>
      </c>
      <c r="I20" s="242"/>
      <c r="J20" s="689"/>
    </row>
    <row r="21" spans="1:10">
      <c r="A21" s="172">
        <v>16</v>
      </c>
      <c r="B21" s="164">
        <v>45644</v>
      </c>
      <c r="C21" s="701">
        <v>43132</v>
      </c>
      <c r="D21" s="695" t="s">
        <v>2498</v>
      </c>
      <c r="E21" s="709">
        <v>761096</v>
      </c>
      <c r="F21" s="299" t="s">
        <v>1097</v>
      </c>
      <c r="G21" s="690">
        <v>1</v>
      </c>
      <c r="H21" s="327">
        <f t="shared" ref="H21:H32" si="1">E21</f>
        <v>761096</v>
      </c>
      <c r="I21" s="162"/>
      <c r="J21" s="160"/>
    </row>
    <row r="22" spans="1:10">
      <c r="A22" s="172">
        <v>17</v>
      </c>
      <c r="B22" s="164">
        <v>45644</v>
      </c>
      <c r="C22" s="701">
        <v>43160</v>
      </c>
      <c r="D22" s="294" t="s">
        <v>2498</v>
      </c>
      <c r="E22" s="709">
        <v>697111.4</v>
      </c>
      <c r="F22" s="299" t="s">
        <v>1097</v>
      </c>
      <c r="G22" s="690">
        <v>1</v>
      </c>
      <c r="H22" s="327">
        <f t="shared" si="1"/>
        <v>697111.4</v>
      </c>
      <c r="I22" s="162"/>
      <c r="J22" s="160"/>
    </row>
    <row r="23" spans="1:10">
      <c r="A23" s="172">
        <v>18</v>
      </c>
      <c r="B23" s="164">
        <v>45644</v>
      </c>
      <c r="C23" s="701">
        <v>43191</v>
      </c>
      <c r="D23" s="294" t="s">
        <v>2498</v>
      </c>
      <c r="E23" s="709">
        <v>602563.02</v>
      </c>
      <c r="F23" s="299" t="s">
        <v>1097</v>
      </c>
      <c r="G23" s="690">
        <v>1</v>
      </c>
      <c r="H23" s="327">
        <f t="shared" si="1"/>
        <v>602563.02</v>
      </c>
      <c r="I23" s="162"/>
      <c r="J23" s="160"/>
    </row>
    <row r="24" spans="1:10">
      <c r="A24" s="172">
        <v>19</v>
      </c>
      <c r="B24" s="164">
        <v>45644</v>
      </c>
      <c r="C24" s="701">
        <v>43221</v>
      </c>
      <c r="D24" s="294" t="s">
        <v>2498</v>
      </c>
      <c r="E24" s="709">
        <v>650354.36</v>
      </c>
      <c r="F24" s="299" t="s">
        <v>1097</v>
      </c>
      <c r="G24" s="690">
        <v>1</v>
      </c>
      <c r="H24" s="327">
        <f t="shared" si="1"/>
        <v>650354.36</v>
      </c>
      <c r="I24" s="162"/>
      <c r="J24" s="160"/>
    </row>
    <row r="25" spans="1:10">
      <c r="A25" s="172">
        <v>20</v>
      </c>
      <c r="B25" s="164">
        <v>45644</v>
      </c>
      <c r="C25" s="701">
        <v>43252</v>
      </c>
      <c r="D25" s="294" t="s">
        <v>2498</v>
      </c>
      <c r="E25" s="709">
        <v>666902.74</v>
      </c>
      <c r="F25" s="299" t="s">
        <v>1097</v>
      </c>
      <c r="G25" s="690">
        <v>1</v>
      </c>
      <c r="H25" s="327">
        <f t="shared" si="1"/>
        <v>666902.74</v>
      </c>
      <c r="I25" s="162"/>
      <c r="J25" s="160"/>
    </row>
    <row r="26" spans="1:10">
      <c r="A26" s="172">
        <v>21</v>
      </c>
      <c r="B26" s="164">
        <v>45644</v>
      </c>
      <c r="C26" s="701">
        <v>43282</v>
      </c>
      <c r="D26" s="298" t="s">
        <v>2498</v>
      </c>
      <c r="E26" s="709">
        <v>633438.74</v>
      </c>
      <c r="F26" s="299" t="s">
        <v>1097</v>
      </c>
      <c r="G26" s="690">
        <v>1</v>
      </c>
      <c r="H26" s="327">
        <f t="shared" si="1"/>
        <v>633438.74</v>
      </c>
      <c r="I26" s="162"/>
      <c r="J26" s="160"/>
    </row>
    <row r="27" spans="1:10">
      <c r="A27" s="172">
        <v>22</v>
      </c>
      <c r="B27" s="164">
        <v>45644</v>
      </c>
      <c r="C27" s="701">
        <v>43313</v>
      </c>
      <c r="D27" s="273" t="s">
        <v>2498</v>
      </c>
      <c r="E27" s="710">
        <v>663497.80000000005</v>
      </c>
      <c r="F27" s="310" t="str">
        <f>+F26</f>
        <v>TP</v>
      </c>
      <c r="G27" s="690">
        <f>+G26</f>
        <v>1</v>
      </c>
      <c r="H27" s="327">
        <f t="shared" si="1"/>
        <v>663497.80000000005</v>
      </c>
      <c r="I27" s="162"/>
      <c r="J27" s="160"/>
    </row>
    <row r="28" spans="1:10">
      <c r="A28" s="172">
        <v>23</v>
      </c>
      <c r="B28" s="164">
        <v>45644</v>
      </c>
      <c r="C28" s="701">
        <v>43344</v>
      </c>
      <c r="D28" s="273" t="s">
        <v>2498</v>
      </c>
      <c r="E28" s="710">
        <v>651866.1</v>
      </c>
      <c r="F28" s="310" t="s">
        <v>1097</v>
      </c>
      <c r="G28" s="690">
        <v>1</v>
      </c>
      <c r="H28" s="327">
        <f t="shared" si="1"/>
        <v>651866.1</v>
      </c>
      <c r="I28" s="162"/>
      <c r="J28" s="160"/>
    </row>
    <row r="29" spans="1:10">
      <c r="A29" s="172">
        <v>24</v>
      </c>
      <c r="B29" s="164">
        <v>45644</v>
      </c>
      <c r="C29" s="701">
        <v>43374</v>
      </c>
      <c r="D29" s="325" t="s">
        <v>2498</v>
      </c>
      <c r="E29" s="710">
        <v>555940.62</v>
      </c>
      <c r="F29" s="697" t="s">
        <v>1097</v>
      </c>
      <c r="G29" s="690">
        <v>1</v>
      </c>
      <c r="H29" s="327">
        <f t="shared" si="1"/>
        <v>555940.62</v>
      </c>
      <c r="I29" s="162"/>
      <c r="J29" s="160"/>
    </row>
    <row r="30" spans="1:10">
      <c r="A30" s="172">
        <v>25</v>
      </c>
      <c r="B30" s="164">
        <v>45644</v>
      </c>
      <c r="C30" s="701">
        <v>43405</v>
      </c>
      <c r="D30" s="325" t="s">
        <v>2498</v>
      </c>
      <c r="E30" s="710">
        <v>534587.55000000005</v>
      </c>
      <c r="F30" s="697" t="s">
        <v>1097</v>
      </c>
      <c r="G30" s="690">
        <v>1</v>
      </c>
      <c r="H30" s="327">
        <f t="shared" si="1"/>
        <v>534587.55000000005</v>
      </c>
      <c r="I30" s="162"/>
      <c r="J30" s="160"/>
    </row>
    <row r="31" spans="1:10">
      <c r="A31" s="172">
        <v>26</v>
      </c>
      <c r="B31" s="164">
        <v>45644</v>
      </c>
      <c r="C31" s="701">
        <v>43435</v>
      </c>
      <c r="D31" s="325" t="s">
        <v>2498</v>
      </c>
      <c r="E31" s="710">
        <v>553858.27</v>
      </c>
      <c r="F31" s="296" t="s">
        <v>1097</v>
      </c>
      <c r="G31" s="690">
        <v>1</v>
      </c>
      <c r="H31" s="327">
        <f t="shared" si="1"/>
        <v>553858.27</v>
      </c>
      <c r="I31" s="162"/>
      <c r="J31" s="160"/>
    </row>
    <row r="32" spans="1:10">
      <c r="A32" s="172">
        <v>27</v>
      </c>
      <c r="B32" s="164">
        <v>45644</v>
      </c>
      <c r="C32" s="684" t="s">
        <v>2489</v>
      </c>
      <c r="D32" s="707"/>
      <c r="E32" s="711">
        <v>0</v>
      </c>
      <c r="F32" s="697"/>
      <c r="G32" s="690">
        <v>1</v>
      </c>
      <c r="H32" s="705">
        <f t="shared" si="1"/>
        <v>0</v>
      </c>
      <c r="I32" s="692"/>
      <c r="J32" s="693"/>
    </row>
    <row r="33" spans="1:10" ht="15" thickBot="1">
      <c r="A33" s="180">
        <v>28</v>
      </c>
      <c r="B33" s="157"/>
      <c r="C33" s="158" t="s">
        <v>2517</v>
      </c>
      <c r="D33" s="698"/>
      <c r="E33" s="712">
        <f>SUM(E20:E32)</f>
        <v>7567970.8699999992</v>
      </c>
      <c r="F33" s="699"/>
      <c r="G33" s="156"/>
      <c r="H33" s="249">
        <f>SUM(H20:H32)</f>
        <v>7567970.8699999992</v>
      </c>
      <c r="I33" s="155"/>
      <c r="J33" s="153"/>
    </row>
    <row r="34" spans="1:10">
      <c r="A34" s="246">
        <v>29</v>
      </c>
      <c r="B34" s="243">
        <v>45645</v>
      </c>
      <c r="C34" s="700">
        <v>43101</v>
      </c>
      <c r="D34" s="694" t="s">
        <v>2498</v>
      </c>
      <c r="E34" s="708">
        <v>231075.91</v>
      </c>
      <c r="F34" s="687" t="s">
        <v>1097</v>
      </c>
      <c r="G34" s="706">
        <v>1</v>
      </c>
      <c r="H34" s="688">
        <f>E34</f>
        <v>231075.91</v>
      </c>
      <c r="I34" s="242"/>
      <c r="J34" s="689"/>
    </row>
    <row r="35" spans="1:10">
      <c r="A35" s="172">
        <v>30</v>
      </c>
      <c r="B35" s="164">
        <v>45645</v>
      </c>
      <c r="C35" s="701">
        <v>43132</v>
      </c>
      <c r="D35" s="695" t="s">
        <v>2498</v>
      </c>
      <c r="E35" s="709">
        <v>145320.71</v>
      </c>
      <c r="F35" s="299" t="s">
        <v>1097</v>
      </c>
      <c r="G35" s="690">
        <v>1</v>
      </c>
      <c r="H35" s="327">
        <f t="shared" ref="H35:H45" si="2">E35</f>
        <v>145320.71</v>
      </c>
      <c r="I35" s="162"/>
      <c r="J35" s="160"/>
    </row>
    <row r="36" spans="1:10">
      <c r="A36" s="172">
        <v>31</v>
      </c>
      <c r="B36" s="164">
        <v>45645</v>
      </c>
      <c r="C36" s="701">
        <v>43160</v>
      </c>
      <c r="D36" s="695" t="s">
        <v>2498</v>
      </c>
      <c r="E36" s="709">
        <v>113872.02</v>
      </c>
      <c r="F36" s="299" t="s">
        <v>1097</v>
      </c>
      <c r="G36" s="690">
        <v>1</v>
      </c>
      <c r="H36" s="327">
        <f t="shared" si="2"/>
        <v>113872.02</v>
      </c>
      <c r="I36" s="162"/>
      <c r="J36" s="160"/>
    </row>
    <row r="37" spans="1:10">
      <c r="A37" s="172">
        <v>32</v>
      </c>
      <c r="B37" s="164">
        <v>45645</v>
      </c>
      <c r="C37" s="701">
        <v>43191</v>
      </c>
      <c r="D37" s="695" t="s">
        <v>2498</v>
      </c>
      <c r="E37" s="709">
        <v>111734.74</v>
      </c>
      <c r="F37" s="299" t="s">
        <v>1097</v>
      </c>
      <c r="G37" s="690">
        <v>1</v>
      </c>
      <c r="H37" s="327">
        <f t="shared" si="2"/>
        <v>111734.74</v>
      </c>
      <c r="I37" s="162"/>
      <c r="J37" s="160"/>
    </row>
    <row r="38" spans="1:10">
      <c r="A38" s="172">
        <v>33</v>
      </c>
      <c r="B38" s="164">
        <v>45645</v>
      </c>
      <c r="C38" s="701">
        <v>43221</v>
      </c>
      <c r="D38" s="695" t="s">
        <v>2498</v>
      </c>
      <c r="E38" s="709">
        <v>141508.89000000001</v>
      </c>
      <c r="F38" s="299" t="s">
        <v>1097</v>
      </c>
      <c r="G38" s="690">
        <v>1</v>
      </c>
      <c r="H38" s="327">
        <f t="shared" si="2"/>
        <v>141508.89000000001</v>
      </c>
      <c r="I38" s="162"/>
      <c r="J38" s="160"/>
    </row>
    <row r="39" spans="1:10">
      <c r="A39" s="172">
        <v>34</v>
      </c>
      <c r="B39" s="164">
        <v>45645</v>
      </c>
      <c r="C39" s="701">
        <v>43252</v>
      </c>
      <c r="D39" s="695" t="s">
        <v>2498</v>
      </c>
      <c r="E39" s="709">
        <v>166252.04999999999</v>
      </c>
      <c r="F39" s="299" t="s">
        <v>1097</v>
      </c>
      <c r="G39" s="690">
        <v>1</v>
      </c>
      <c r="H39" s="327">
        <f t="shared" si="2"/>
        <v>166252.04999999999</v>
      </c>
      <c r="I39" s="162"/>
      <c r="J39" s="160"/>
    </row>
    <row r="40" spans="1:10">
      <c r="A40" s="172">
        <v>35</v>
      </c>
      <c r="B40" s="164">
        <v>45645</v>
      </c>
      <c r="C40" s="701">
        <v>43282</v>
      </c>
      <c r="D40" s="695" t="s">
        <v>2498</v>
      </c>
      <c r="E40" s="709">
        <v>393047.9</v>
      </c>
      <c r="F40" s="299" t="s">
        <v>1097</v>
      </c>
      <c r="G40" s="690">
        <v>1</v>
      </c>
      <c r="H40" s="327">
        <f t="shared" si="2"/>
        <v>393047.9</v>
      </c>
      <c r="I40" s="162"/>
      <c r="J40" s="160"/>
    </row>
    <row r="41" spans="1:10">
      <c r="A41" s="172">
        <v>36</v>
      </c>
      <c r="B41" s="164">
        <v>45645</v>
      </c>
      <c r="C41" s="701">
        <v>43313</v>
      </c>
      <c r="D41" s="695" t="s">
        <v>2498</v>
      </c>
      <c r="E41" s="710">
        <v>387082.23999999999</v>
      </c>
      <c r="F41" s="310" t="str">
        <f>+F40</f>
        <v>TP</v>
      </c>
      <c r="G41" s="690">
        <f>+G40</f>
        <v>1</v>
      </c>
      <c r="H41" s="327">
        <f t="shared" si="2"/>
        <v>387082.23999999999</v>
      </c>
      <c r="I41" s="162"/>
      <c r="J41" s="160"/>
    </row>
    <row r="42" spans="1:10">
      <c r="A42" s="172">
        <v>37</v>
      </c>
      <c r="B42" s="164">
        <v>45645</v>
      </c>
      <c r="C42" s="701">
        <v>43344</v>
      </c>
      <c r="D42" s="695" t="s">
        <v>2498</v>
      </c>
      <c r="E42" s="710">
        <v>221226.88</v>
      </c>
      <c r="F42" s="310" t="s">
        <v>1097</v>
      </c>
      <c r="G42" s="690">
        <v>1</v>
      </c>
      <c r="H42" s="327">
        <f t="shared" si="2"/>
        <v>221226.88</v>
      </c>
      <c r="I42" s="162"/>
      <c r="J42" s="160"/>
    </row>
    <row r="43" spans="1:10">
      <c r="A43" s="172">
        <v>38</v>
      </c>
      <c r="B43" s="164">
        <v>45645</v>
      </c>
      <c r="C43" s="701">
        <v>43374</v>
      </c>
      <c r="D43" s="695" t="s">
        <v>2498</v>
      </c>
      <c r="E43" s="710">
        <v>251889.63</v>
      </c>
      <c r="F43" s="697" t="s">
        <v>1097</v>
      </c>
      <c r="G43" s="690">
        <v>1</v>
      </c>
      <c r="H43" s="327">
        <f t="shared" si="2"/>
        <v>251889.63</v>
      </c>
      <c r="I43" s="162"/>
      <c r="J43" s="160"/>
    </row>
    <row r="44" spans="1:10">
      <c r="A44" s="172">
        <v>39</v>
      </c>
      <c r="B44" s="164">
        <v>45645</v>
      </c>
      <c r="C44" s="701">
        <v>43405</v>
      </c>
      <c r="D44" s="695" t="s">
        <v>2498</v>
      </c>
      <c r="E44" s="710">
        <v>297692.08</v>
      </c>
      <c r="F44" s="697" t="s">
        <v>1097</v>
      </c>
      <c r="G44" s="690">
        <v>1</v>
      </c>
      <c r="H44" s="327">
        <f t="shared" si="2"/>
        <v>297692.08</v>
      </c>
      <c r="I44" s="162"/>
      <c r="J44" s="160"/>
    </row>
    <row r="45" spans="1:10">
      <c r="A45" s="172">
        <v>40</v>
      </c>
      <c r="B45" s="164">
        <v>45645</v>
      </c>
      <c r="C45" s="701">
        <v>43435</v>
      </c>
      <c r="D45" s="695" t="s">
        <v>2498</v>
      </c>
      <c r="E45" s="710">
        <v>256718.54</v>
      </c>
      <c r="F45" s="296" t="s">
        <v>1097</v>
      </c>
      <c r="G45" s="690">
        <v>1</v>
      </c>
      <c r="H45" s="327">
        <f t="shared" si="2"/>
        <v>256718.54</v>
      </c>
      <c r="I45" s="162"/>
      <c r="J45" s="160"/>
    </row>
    <row r="46" spans="1:10">
      <c r="A46" s="172">
        <v>41</v>
      </c>
      <c r="B46" s="164">
        <v>45645</v>
      </c>
      <c r="C46" s="684" t="s">
        <v>2489</v>
      </c>
      <c r="D46" s="696"/>
      <c r="E46" s="711">
        <v>0</v>
      </c>
      <c r="F46" s="697" t="s">
        <v>1097</v>
      </c>
      <c r="G46" s="690">
        <v>1</v>
      </c>
      <c r="H46" s="691">
        <f>E46</f>
        <v>0</v>
      </c>
      <c r="I46" s="692"/>
      <c r="J46" s="693"/>
    </row>
    <row r="47" spans="1:10" ht="15" thickBot="1">
      <c r="A47" s="180">
        <v>42</v>
      </c>
      <c r="B47" s="157"/>
      <c r="C47" s="158" t="s">
        <v>2517</v>
      </c>
      <c r="D47" s="698"/>
      <c r="E47" s="712">
        <f>SUM(E34:E46)</f>
        <v>2717421.5900000003</v>
      </c>
      <c r="F47" s="699"/>
      <c r="G47" s="156"/>
      <c r="H47" s="249">
        <f>SUM(H34:H46)</f>
        <v>2717421.5900000003</v>
      </c>
      <c r="I47" s="155"/>
      <c r="J47" s="153"/>
    </row>
    <row r="48" spans="1:10">
      <c r="A48" s="246">
        <v>43</v>
      </c>
      <c r="B48" s="243" t="s">
        <v>2492</v>
      </c>
      <c r="C48" s="700">
        <v>43101</v>
      </c>
      <c r="D48" s="694" t="s">
        <v>2493</v>
      </c>
      <c r="E48" s="708">
        <f>90706.15+4953.11</f>
        <v>95659.26</v>
      </c>
      <c r="F48" s="687" t="s">
        <v>1097</v>
      </c>
      <c r="G48" s="706">
        <v>1</v>
      </c>
      <c r="H48" s="688">
        <f>E48</f>
        <v>95659.26</v>
      </c>
      <c r="I48" s="242"/>
      <c r="J48" s="689"/>
    </row>
    <row r="49" spans="1:10">
      <c r="A49" s="172">
        <v>44</v>
      </c>
      <c r="B49" s="164" t="s">
        <v>2492</v>
      </c>
      <c r="C49" s="701">
        <v>43132</v>
      </c>
      <c r="D49" s="695" t="s">
        <v>2493</v>
      </c>
      <c r="E49" s="709">
        <f>70549.23+3852.42</f>
        <v>74401.649999999994</v>
      </c>
      <c r="F49" s="299" t="s">
        <v>1097</v>
      </c>
      <c r="G49" s="690">
        <v>1</v>
      </c>
      <c r="H49" s="327">
        <f t="shared" ref="H49:H60" si="3">E49</f>
        <v>74401.649999999994</v>
      </c>
      <c r="I49" s="162"/>
      <c r="J49" s="160"/>
    </row>
    <row r="50" spans="1:10">
      <c r="A50" s="172">
        <v>45</v>
      </c>
      <c r="B50" s="164" t="s">
        <v>2492</v>
      </c>
      <c r="C50" s="701">
        <v>43160</v>
      </c>
      <c r="D50" s="294" t="s">
        <v>2493</v>
      </c>
      <c r="E50" s="709">
        <f>90706.15+4953.11</f>
        <v>95659.26</v>
      </c>
      <c r="F50" s="299" t="s">
        <v>1097</v>
      </c>
      <c r="G50" s="690">
        <v>1</v>
      </c>
      <c r="H50" s="327">
        <f t="shared" si="3"/>
        <v>95659.26</v>
      </c>
      <c r="I50" s="162"/>
      <c r="J50" s="160"/>
    </row>
    <row r="51" spans="1:10">
      <c r="A51" s="172">
        <v>46</v>
      </c>
      <c r="B51" s="164" t="s">
        <v>2492</v>
      </c>
      <c r="C51" s="701">
        <v>43191</v>
      </c>
      <c r="D51" s="695" t="s">
        <v>2493</v>
      </c>
      <c r="E51" s="709">
        <f>90706.15+4953.11</f>
        <v>95659.26</v>
      </c>
      <c r="F51" s="299" t="s">
        <v>1097</v>
      </c>
      <c r="G51" s="690">
        <v>1</v>
      </c>
      <c r="H51" s="327">
        <f t="shared" si="3"/>
        <v>95659.26</v>
      </c>
      <c r="I51" s="162"/>
      <c r="J51" s="160"/>
    </row>
    <row r="52" spans="1:10">
      <c r="A52" s="172">
        <v>47</v>
      </c>
      <c r="B52" s="164" t="s">
        <v>2492</v>
      </c>
      <c r="C52" s="701">
        <v>43221</v>
      </c>
      <c r="D52" s="294" t="s">
        <v>2493</v>
      </c>
      <c r="E52" s="709">
        <f>90706.15+4953.11</f>
        <v>95659.26</v>
      </c>
      <c r="F52" s="299" t="s">
        <v>1097</v>
      </c>
      <c r="G52" s="690">
        <v>1</v>
      </c>
      <c r="H52" s="327">
        <f t="shared" si="3"/>
        <v>95659.26</v>
      </c>
      <c r="I52" s="162"/>
      <c r="J52" s="160"/>
    </row>
    <row r="53" spans="1:10">
      <c r="A53" s="172">
        <v>48</v>
      </c>
      <c r="B53" s="164" t="s">
        <v>2492</v>
      </c>
      <c r="C53" s="701">
        <v>43252</v>
      </c>
      <c r="D53" s="695" t="s">
        <v>2493</v>
      </c>
      <c r="E53" s="709">
        <f>93878.29+5126.33</f>
        <v>99004.62</v>
      </c>
      <c r="F53" s="299" t="s">
        <v>1097</v>
      </c>
      <c r="G53" s="690">
        <v>1</v>
      </c>
      <c r="H53" s="327">
        <f t="shared" si="3"/>
        <v>99004.62</v>
      </c>
      <c r="I53" s="162"/>
      <c r="J53" s="160"/>
    </row>
    <row r="54" spans="1:10">
      <c r="A54" s="172">
        <v>49</v>
      </c>
      <c r="B54" s="164" t="s">
        <v>2492</v>
      </c>
      <c r="C54" s="701">
        <v>43282</v>
      </c>
      <c r="D54" s="294" t="s">
        <v>2493</v>
      </c>
      <c r="E54" s="709">
        <f>88.97+45999.41+60906.03</f>
        <v>106994.41</v>
      </c>
      <c r="F54" s="299" t="s">
        <v>1097</v>
      </c>
      <c r="G54" s="690">
        <v>1</v>
      </c>
      <c r="H54" s="327">
        <f t="shared" si="3"/>
        <v>106994.41</v>
      </c>
      <c r="I54" s="162"/>
      <c r="J54" s="160"/>
    </row>
    <row r="55" spans="1:10">
      <c r="A55" s="172">
        <v>50</v>
      </c>
      <c r="B55" s="164" t="s">
        <v>2492</v>
      </c>
      <c r="C55" s="701">
        <v>43313</v>
      </c>
      <c r="D55" s="695" t="s">
        <v>2493</v>
      </c>
      <c r="E55" s="710">
        <f>14.29+77514.82+13613.08</f>
        <v>91142.19</v>
      </c>
      <c r="F55" s="310" t="str">
        <f>+F54</f>
        <v>TP</v>
      </c>
      <c r="G55" s="690">
        <f>+G54</f>
        <v>1</v>
      </c>
      <c r="H55" s="327">
        <f t="shared" si="3"/>
        <v>91142.19</v>
      </c>
      <c r="I55" s="162"/>
      <c r="J55" s="160"/>
    </row>
    <row r="56" spans="1:10">
      <c r="A56" s="172">
        <v>51</v>
      </c>
      <c r="B56" s="164" t="s">
        <v>2492</v>
      </c>
      <c r="C56" s="701">
        <v>43344</v>
      </c>
      <c r="D56" s="294" t="s">
        <v>2493</v>
      </c>
      <c r="E56" s="710">
        <f>15.4+83517.47+14667.25</f>
        <v>98200.12</v>
      </c>
      <c r="F56" s="310" t="s">
        <v>1097</v>
      </c>
      <c r="G56" s="690">
        <v>1</v>
      </c>
      <c r="H56" s="327">
        <f t="shared" si="3"/>
        <v>98200.12</v>
      </c>
      <c r="I56" s="162"/>
      <c r="J56" s="160"/>
    </row>
    <row r="57" spans="1:10">
      <c r="A57" s="172">
        <v>52</v>
      </c>
      <c r="B57" s="164" t="s">
        <v>2492</v>
      </c>
      <c r="C57" s="701">
        <v>43374</v>
      </c>
      <c r="D57" s="695" t="s">
        <v>2493</v>
      </c>
      <c r="E57" s="710">
        <f>15.4+83517.47+14667.25</f>
        <v>98200.12</v>
      </c>
      <c r="F57" s="697" t="s">
        <v>1097</v>
      </c>
      <c r="G57" s="690">
        <v>1</v>
      </c>
      <c r="H57" s="327">
        <f t="shared" si="3"/>
        <v>98200.12</v>
      </c>
      <c r="I57" s="162"/>
      <c r="J57" s="160"/>
    </row>
    <row r="58" spans="1:10">
      <c r="A58" s="172">
        <v>53</v>
      </c>
      <c r="B58" s="164" t="s">
        <v>2492</v>
      </c>
      <c r="C58" s="701">
        <v>43405</v>
      </c>
      <c r="D58" s="695" t="s">
        <v>2493</v>
      </c>
      <c r="E58" s="710">
        <f>15.4+83517.47+14667.25</f>
        <v>98200.12</v>
      </c>
      <c r="F58" s="697" t="s">
        <v>1097</v>
      </c>
      <c r="G58" s="690">
        <v>1</v>
      </c>
      <c r="H58" s="327">
        <f t="shared" si="3"/>
        <v>98200.12</v>
      </c>
      <c r="I58" s="162"/>
      <c r="J58" s="160"/>
    </row>
    <row r="59" spans="1:10">
      <c r="A59" s="172">
        <v>54</v>
      </c>
      <c r="B59" s="164" t="s">
        <v>2492</v>
      </c>
      <c r="C59" s="701">
        <v>43435</v>
      </c>
      <c r="D59" s="294" t="s">
        <v>2493</v>
      </c>
      <c r="E59" s="710">
        <f>15.4+83517.47+14667.25</f>
        <v>98200.12</v>
      </c>
      <c r="F59" s="296" t="s">
        <v>1097</v>
      </c>
      <c r="G59" s="690">
        <v>1</v>
      </c>
      <c r="H59" s="327">
        <f t="shared" si="3"/>
        <v>98200.12</v>
      </c>
      <c r="I59" s="162"/>
      <c r="J59" s="160"/>
    </row>
    <row r="60" spans="1:10">
      <c r="A60" s="172">
        <v>55</v>
      </c>
      <c r="B60" s="164" t="s">
        <v>2492</v>
      </c>
      <c r="C60" s="684" t="s">
        <v>2489</v>
      </c>
      <c r="D60" s="329"/>
      <c r="E60" s="711">
        <v>0</v>
      </c>
      <c r="F60" s="697" t="s">
        <v>1097</v>
      </c>
      <c r="G60" s="690">
        <v>1</v>
      </c>
      <c r="H60" s="705">
        <f t="shared" si="3"/>
        <v>0</v>
      </c>
      <c r="I60" s="692"/>
      <c r="J60" s="693"/>
    </row>
    <row r="61" spans="1:10" ht="15" thickBot="1">
      <c r="A61" s="180">
        <v>56</v>
      </c>
      <c r="B61" s="157"/>
      <c r="C61" s="158" t="s">
        <v>2517</v>
      </c>
      <c r="D61" s="698"/>
      <c r="E61" s="712">
        <f>SUM(E48:E60)</f>
        <v>1146980.3900000001</v>
      </c>
      <c r="F61" s="699"/>
      <c r="G61" s="156"/>
      <c r="H61" s="249">
        <f>SUM(H48:H60)</f>
        <v>1146980.3900000001</v>
      </c>
      <c r="I61" s="155"/>
      <c r="J61" s="153"/>
    </row>
    <row r="62" spans="1:10">
      <c r="A62" s="246">
        <v>57</v>
      </c>
      <c r="B62" s="243">
        <v>7088</v>
      </c>
      <c r="C62" s="700">
        <v>43132</v>
      </c>
      <c r="D62" s="694" t="s">
        <v>1461</v>
      </c>
      <c r="E62" s="708">
        <v>754621.25</v>
      </c>
      <c r="F62" s="687" t="s">
        <v>487</v>
      </c>
      <c r="G62" s="706">
        <v>1</v>
      </c>
      <c r="H62" s="688">
        <f>E62</f>
        <v>754621.25</v>
      </c>
      <c r="I62" s="242"/>
      <c r="J62" s="689"/>
    </row>
    <row r="63" spans="1:10">
      <c r="A63" s="172">
        <v>58</v>
      </c>
      <c r="B63" s="164">
        <v>7088</v>
      </c>
      <c r="C63" s="701">
        <v>43160</v>
      </c>
      <c r="D63" s="695" t="s">
        <v>1461</v>
      </c>
      <c r="E63" s="709">
        <v>803445.15</v>
      </c>
      <c r="F63" s="299" t="s">
        <v>487</v>
      </c>
      <c r="G63" s="690">
        <v>1</v>
      </c>
      <c r="H63" s="327">
        <f t="shared" ref="H63:H74" si="4">E63</f>
        <v>803445.15</v>
      </c>
      <c r="I63" s="162"/>
      <c r="J63" s="160"/>
    </row>
    <row r="64" spans="1:10">
      <c r="A64" s="172">
        <v>59</v>
      </c>
      <c r="B64" s="164">
        <v>7088</v>
      </c>
      <c r="C64" s="701">
        <v>43191</v>
      </c>
      <c r="D64" s="294" t="s">
        <v>1461</v>
      </c>
      <c r="E64" s="709">
        <v>747764.87</v>
      </c>
      <c r="F64" s="299" t="s">
        <v>487</v>
      </c>
      <c r="G64" s="690">
        <v>1</v>
      </c>
      <c r="H64" s="327">
        <f t="shared" si="4"/>
        <v>747764.87</v>
      </c>
      <c r="I64" s="162"/>
      <c r="J64" s="160"/>
    </row>
    <row r="65" spans="1:10">
      <c r="A65" s="172">
        <v>60</v>
      </c>
      <c r="B65" s="164">
        <v>7088</v>
      </c>
      <c r="C65" s="701">
        <v>43221</v>
      </c>
      <c r="D65" s="294" t="s">
        <v>1461</v>
      </c>
      <c r="E65" s="709">
        <v>772327.11</v>
      </c>
      <c r="F65" s="299" t="s">
        <v>487</v>
      </c>
      <c r="G65" s="690">
        <v>1</v>
      </c>
      <c r="H65" s="327">
        <f t="shared" si="4"/>
        <v>772327.11</v>
      </c>
      <c r="I65" s="162"/>
      <c r="J65" s="160"/>
    </row>
    <row r="66" spans="1:10">
      <c r="A66" s="172">
        <v>61</v>
      </c>
      <c r="B66" s="164">
        <v>7088</v>
      </c>
      <c r="C66" s="701">
        <v>43252</v>
      </c>
      <c r="D66" s="294" t="s">
        <v>1461</v>
      </c>
      <c r="E66" s="709">
        <v>707077.26</v>
      </c>
      <c r="F66" s="299" t="s">
        <v>487</v>
      </c>
      <c r="G66" s="690">
        <v>1</v>
      </c>
      <c r="H66" s="327">
        <f t="shared" si="4"/>
        <v>707077.26</v>
      </c>
      <c r="I66" s="162"/>
      <c r="J66" s="160"/>
    </row>
    <row r="67" spans="1:10">
      <c r="A67" s="172">
        <v>62</v>
      </c>
      <c r="B67" s="164">
        <v>7088</v>
      </c>
      <c r="C67" s="701">
        <v>43282</v>
      </c>
      <c r="D67" s="695" t="s">
        <v>1461</v>
      </c>
      <c r="E67" s="709">
        <v>746727.33</v>
      </c>
      <c r="F67" s="299" t="s">
        <v>487</v>
      </c>
      <c r="G67" s="690">
        <v>1</v>
      </c>
      <c r="H67" s="327">
        <f t="shared" si="4"/>
        <v>746727.33</v>
      </c>
      <c r="I67" s="162"/>
      <c r="J67" s="160"/>
    </row>
    <row r="68" spans="1:10">
      <c r="A68" s="172">
        <v>63</v>
      </c>
      <c r="B68" s="164">
        <v>7088</v>
      </c>
      <c r="C68" s="701">
        <v>43313</v>
      </c>
      <c r="D68" s="294" t="s">
        <v>1461</v>
      </c>
      <c r="E68" s="709">
        <v>809595.43</v>
      </c>
      <c r="F68" s="299" t="s">
        <v>487</v>
      </c>
      <c r="G68" s="690">
        <v>1</v>
      </c>
      <c r="H68" s="327">
        <f t="shared" si="4"/>
        <v>809595.43</v>
      </c>
      <c r="I68" s="162"/>
      <c r="J68" s="160"/>
    </row>
    <row r="69" spans="1:10">
      <c r="A69" s="172">
        <v>64</v>
      </c>
      <c r="B69" s="164">
        <v>7088</v>
      </c>
      <c r="C69" s="701">
        <v>43344</v>
      </c>
      <c r="D69" s="294" t="s">
        <v>1461</v>
      </c>
      <c r="E69" s="710">
        <v>785830.27</v>
      </c>
      <c r="F69" s="310" t="s">
        <v>487</v>
      </c>
      <c r="G69" s="690">
        <f>+G68</f>
        <v>1</v>
      </c>
      <c r="H69" s="327">
        <f t="shared" si="4"/>
        <v>785830.27</v>
      </c>
      <c r="I69" s="162"/>
      <c r="J69" s="160"/>
    </row>
    <row r="70" spans="1:10">
      <c r="A70" s="172">
        <v>65</v>
      </c>
      <c r="B70" s="164">
        <v>7088</v>
      </c>
      <c r="C70" s="701">
        <v>43374</v>
      </c>
      <c r="D70" s="294" t="s">
        <v>1461</v>
      </c>
      <c r="E70" s="710">
        <v>707631.73</v>
      </c>
      <c r="F70" s="310" t="s">
        <v>487</v>
      </c>
      <c r="G70" s="690">
        <v>1</v>
      </c>
      <c r="H70" s="327">
        <f t="shared" si="4"/>
        <v>707631.73</v>
      </c>
      <c r="I70" s="162"/>
      <c r="J70" s="160"/>
    </row>
    <row r="71" spans="1:10">
      <c r="A71" s="172">
        <v>66</v>
      </c>
      <c r="B71" s="164">
        <v>7088</v>
      </c>
      <c r="C71" s="701">
        <v>43405</v>
      </c>
      <c r="D71" s="695" t="s">
        <v>1461</v>
      </c>
      <c r="E71" s="710">
        <v>726302.78</v>
      </c>
      <c r="F71" s="697" t="s">
        <v>487</v>
      </c>
      <c r="G71" s="690">
        <v>1</v>
      </c>
      <c r="H71" s="327">
        <f t="shared" si="4"/>
        <v>726302.78</v>
      </c>
      <c r="I71" s="162"/>
      <c r="J71" s="160"/>
    </row>
    <row r="72" spans="1:10">
      <c r="A72" s="172">
        <v>67</v>
      </c>
      <c r="B72" s="164">
        <v>7088</v>
      </c>
      <c r="C72" s="701">
        <v>43435</v>
      </c>
      <c r="D72" s="294" t="s">
        <v>1461</v>
      </c>
      <c r="E72" s="710">
        <v>794057.71</v>
      </c>
      <c r="F72" s="697" t="s">
        <v>487</v>
      </c>
      <c r="G72" s="690">
        <v>1</v>
      </c>
      <c r="H72" s="327">
        <f t="shared" si="4"/>
        <v>794057.71</v>
      </c>
      <c r="I72" s="162"/>
      <c r="J72" s="160"/>
    </row>
    <row r="73" spans="1:10">
      <c r="A73" s="172">
        <v>68</v>
      </c>
      <c r="B73" s="164">
        <v>7088</v>
      </c>
      <c r="C73" s="701">
        <v>43466</v>
      </c>
      <c r="D73" s="294" t="s">
        <v>1461</v>
      </c>
      <c r="E73" s="710">
        <v>829310.46</v>
      </c>
      <c r="F73" s="296" t="s">
        <v>487</v>
      </c>
      <c r="G73" s="690">
        <v>1</v>
      </c>
      <c r="H73" s="327">
        <f t="shared" si="4"/>
        <v>829310.46</v>
      </c>
      <c r="I73" s="162"/>
      <c r="J73" s="160"/>
    </row>
    <row r="74" spans="1:10">
      <c r="A74" s="172">
        <v>69</v>
      </c>
      <c r="B74" s="164">
        <v>7088</v>
      </c>
      <c r="C74" s="684" t="s">
        <v>2489</v>
      </c>
      <c r="D74" s="707">
        <v>43070</v>
      </c>
      <c r="E74" s="711">
        <v>63905</v>
      </c>
      <c r="F74" s="697" t="s">
        <v>487</v>
      </c>
      <c r="G74" s="690">
        <v>1</v>
      </c>
      <c r="H74" s="705">
        <f t="shared" si="4"/>
        <v>63905</v>
      </c>
      <c r="I74" s="692"/>
      <c r="J74" s="693"/>
    </row>
    <row r="75" spans="1:10" ht="15" thickBot="1">
      <c r="A75" s="180">
        <v>70</v>
      </c>
      <c r="B75" s="157"/>
      <c r="C75" s="158" t="s">
        <v>2517</v>
      </c>
      <c r="D75" s="698"/>
      <c r="E75" s="712">
        <f>SUM(E62:E74)</f>
        <v>9248596.3500000015</v>
      </c>
      <c r="F75" s="699"/>
      <c r="G75" s="156"/>
      <c r="H75" s="249">
        <f>SUM(H62:H74)</f>
        <v>9248596.3500000015</v>
      </c>
      <c r="I75" s="155"/>
      <c r="J75" s="153"/>
    </row>
    <row r="76" spans="1:10">
      <c r="A76" s="246">
        <v>71</v>
      </c>
      <c r="B76" s="243">
        <v>45420</v>
      </c>
      <c r="C76" s="700">
        <v>43101</v>
      </c>
      <c r="D76" s="694" t="s">
        <v>2496</v>
      </c>
      <c r="E76" s="708">
        <v>6208.19</v>
      </c>
      <c r="F76" s="687" t="s">
        <v>1097</v>
      </c>
      <c r="G76" s="706">
        <v>1</v>
      </c>
      <c r="H76" s="688">
        <f>E76</f>
        <v>6208.19</v>
      </c>
      <c r="I76" s="242"/>
      <c r="J76" s="689"/>
    </row>
    <row r="77" spans="1:10">
      <c r="A77" s="172">
        <v>72</v>
      </c>
      <c r="B77" s="164">
        <v>45420</v>
      </c>
      <c r="C77" s="701">
        <v>43132</v>
      </c>
      <c r="D77" s="695" t="s">
        <v>2496</v>
      </c>
      <c r="E77" s="709">
        <v>6208.19</v>
      </c>
      <c r="F77" s="299" t="s">
        <v>1097</v>
      </c>
      <c r="G77" s="690">
        <v>1</v>
      </c>
      <c r="H77" s="327">
        <f t="shared" ref="H77:H88" si="5">E77</f>
        <v>6208.19</v>
      </c>
      <c r="I77" s="162"/>
      <c r="J77" s="160"/>
    </row>
    <row r="78" spans="1:10">
      <c r="A78" s="172">
        <v>73</v>
      </c>
      <c r="B78" s="164">
        <v>45420</v>
      </c>
      <c r="C78" s="701">
        <v>43160</v>
      </c>
      <c r="D78" s="294" t="s">
        <v>2496</v>
      </c>
      <c r="E78" s="709">
        <v>6208.19</v>
      </c>
      <c r="F78" s="299" t="s">
        <v>1097</v>
      </c>
      <c r="G78" s="690">
        <v>1</v>
      </c>
      <c r="H78" s="327">
        <f t="shared" si="5"/>
        <v>6208.19</v>
      </c>
      <c r="I78" s="162"/>
      <c r="J78" s="160"/>
    </row>
    <row r="79" spans="1:10">
      <c r="A79" s="172">
        <v>74</v>
      </c>
      <c r="B79" s="164">
        <v>45420</v>
      </c>
      <c r="C79" s="701">
        <v>43191</v>
      </c>
      <c r="D79" s="294" t="s">
        <v>2496</v>
      </c>
      <c r="E79" s="709">
        <v>6208.19</v>
      </c>
      <c r="F79" s="299" t="s">
        <v>1097</v>
      </c>
      <c r="G79" s="690">
        <v>1</v>
      </c>
      <c r="H79" s="327">
        <f t="shared" si="5"/>
        <v>6208.19</v>
      </c>
      <c r="I79" s="162"/>
      <c r="J79" s="160"/>
    </row>
    <row r="80" spans="1:10">
      <c r="A80" s="172">
        <v>75</v>
      </c>
      <c r="B80" s="164">
        <v>45420</v>
      </c>
      <c r="C80" s="701">
        <v>43221</v>
      </c>
      <c r="D80" s="294" t="s">
        <v>2496</v>
      </c>
      <c r="E80" s="709">
        <v>6208.19</v>
      </c>
      <c r="F80" s="299" t="s">
        <v>1097</v>
      </c>
      <c r="G80" s="690">
        <v>1</v>
      </c>
      <c r="H80" s="327">
        <f t="shared" si="5"/>
        <v>6208.19</v>
      </c>
      <c r="I80" s="162"/>
      <c r="J80" s="160"/>
    </row>
    <row r="81" spans="1:10">
      <c r="A81" s="172">
        <v>76</v>
      </c>
      <c r="B81" s="164">
        <v>45420</v>
      </c>
      <c r="C81" s="701">
        <v>43252</v>
      </c>
      <c r="D81" s="294" t="s">
        <v>2496</v>
      </c>
      <c r="E81" s="709">
        <v>6208.19</v>
      </c>
      <c r="F81" s="299" t="s">
        <v>1097</v>
      </c>
      <c r="G81" s="690">
        <v>1</v>
      </c>
      <c r="H81" s="327">
        <f t="shared" si="5"/>
        <v>6208.19</v>
      </c>
      <c r="I81" s="162"/>
      <c r="J81" s="160"/>
    </row>
    <row r="82" spans="1:10">
      <c r="A82" s="172">
        <v>77</v>
      </c>
      <c r="B82" s="164">
        <v>45420</v>
      </c>
      <c r="C82" s="701">
        <v>43282</v>
      </c>
      <c r="D82" s="298" t="s">
        <v>2496</v>
      </c>
      <c r="E82" s="709">
        <v>6208.19</v>
      </c>
      <c r="F82" s="299" t="s">
        <v>1097</v>
      </c>
      <c r="G82" s="690">
        <v>1</v>
      </c>
      <c r="H82" s="327">
        <f t="shared" si="5"/>
        <v>6208.19</v>
      </c>
      <c r="I82" s="162"/>
      <c r="J82" s="160"/>
    </row>
    <row r="83" spans="1:10">
      <c r="A83" s="172">
        <v>78</v>
      </c>
      <c r="B83" s="164">
        <v>45420</v>
      </c>
      <c r="C83" s="701">
        <v>43313</v>
      </c>
      <c r="D83" s="273" t="s">
        <v>2496</v>
      </c>
      <c r="E83" s="710">
        <v>6208.19</v>
      </c>
      <c r="F83" s="310" t="str">
        <f>+F82</f>
        <v>TP</v>
      </c>
      <c r="G83" s="690">
        <f>+G82</f>
        <v>1</v>
      </c>
      <c r="H83" s="327">
        <f t="shared" si="5"/>
        <v>6208.19</v>
      </c>
      <c r="I83" s="162"/>
      <c r="J83" s="160"/>
    </row>
    <row r="84" spans="1:10">
      <c r="A84" s="172">
        <v>79</v>
      </c>
      <c r="B84" s="164">
        <v>45420</v>
      </c>
      <c r="C84" s="701">
        <v>43344</v>
      </c>
      <c r="D84" s="273" t="s">
        <v>2496</v>
      </c>
      <c r="E84" s="710">
        <v>9277.19</v>
      </c>
      <c r="F84" s="310" t="s">
        <v>1097</v>
      </c>
      <c r="G84" s="690">
        <v>1</v>
      </c>
      <c r="H84" s="327">
        <f t="shared" si="5"/>
        <v>9277.19</v>
      </c>
      <c r="I84" s="162"/>
      <c r="J84" s="160"/>
    </row>
    <row r="85" spans="1:10">
      <c r="A85" s="172">
        <v>80</v>
      </c>
      <c r="B85" s="164">
        <v>45420</v>
      </c>
      <c r="C85" s="701">
        <v>43374</v>
      </c>
      <c r="D85" s="325" t="s">
        <v>2496</v>
      </c>
      <c r="E85" s="710">
        <v>8208.19</v>
      </c>
      <c r="F85" s="697" t="s">
        <v>1097</v>
      </c>
      <c r="G85" s="690">
        <v>1</v>
      </c>
      <c r="H85" s="327">
        <f t="shared" si="5"/>
        <v>8208.19</v>
      </c>
      <c r="I85" s="162"/>
      <c r="J85" s="160"/>
    </row>
    <row r="86" spans="1:10">
      <c r="A86" s="172">
        <v>81</v>
      </c>
      <c r="B86" s="164">
        <v>45420</v>
      </c>
      <c r="C86" s="701">
        <v>43405</v>
      </c>
      <c r="D86" s="294" t="s">
        <v>2496</v>
      </c>
      <c r="E86" s="710">
        <v>6208.19</v>
      </c>
      <c r="F86" s="697" t="s">
        <v>1097</v>
      </c>
      <c r="G86" s="690">
        <v>1</v>
      </c>
      <c r="H86" s="327">
        <f t="shared" si="5"/>
        <v>6208.19</v>
      </c>
      <c r="I86" s="162"/>
      <c r="J86" s="160"/>
    </row>
    <row r="87" spans="1:10">
      <c r="A87" s="172">
        <v>82</v>
      </c>
      <c r="B87" s="164">
        <v>45420</v>
      </c>
      <c r="C87" s="701">
        <v>43435</v>
      </c>
      <c r="D87" s="298" t="s">
        <v>2496</v>
      </c>
      <c r="E87" s="710">
        <v>6208.19</v>
      </c>
      <c r="F87" s="296" t="s">
        <v>1097</v>
      </c>
      <c r="G87" s="690">
        <v>1</v>
      </c>
      <c r="H87" s="327">
        <f t="shared" si="5"/>
        <v>6208.19</v>
      </c>
      <c r="I87" s="162"/>
      <c r="J87" s="160"/>
    </row>
    <row r="88" spans="1:10">
      <c r="A88" s="172">
        <v>83</v>
      </c>
      <c r="B88" s="164">
        <v>45420</v>
      </c>
      <c r="C88" s="684" t="s">
        <v>2489</v>
      </c>
      <c r="D88" s="707"/>
      <c r="E88" s="711"/>
      <c r="F88" s="697" t="s">
        <v>1097</v>
      </c>
      <c r="G88" s="690">
        <v>1</v>
      </c>
      <c r="H88" s="705">
        <f t="shared" si="5"/>
        <v>0</v>
      </c>
      <c r="I88" s="692"/>
      <c r="J88" s="693"/>
    </row>
    <row r="89" spans="1:10" ht="15" thickBot="1">
      <c r="A89" s="180">
        <v>84</v>
      </c>
      <c r="B89" s="157"/>
      <c r="C89" s="158" t="s">
        <v>2517</v>
      </c>
      <c r="D89" s="698"/>
      <c r="E89" s="712">
        <f>SUM(E76:E88)</f>
        <v>79567.280000000013</v>
      </c>
      <c r="F89" s="699"/>
      <c r="G89" s="156"/>
      <c r="H89" s="249">
        <f>SUM(H76:H88)</f>
        <v>79567.280000000013</v>
      </c>
      <c r="I89" s="155"/>
      <c r="J89" s="153"/>
    </row>
    <row r="90" spans="1:10">
      <c r="A90" s="246">
        <v>85</v>
      </c>
      <c r="B90" s="243">
        <v>45643</v>
      </c>
      <c r="C90" s="700">
        <v>43132</v>
      </c>
      <c r="D90" s="694" t="s">
        <v>2497</v>
      </c>
      <c r="E90" s="708">
        <v>11317569.859999999</v>
      </c>
      <c r="F90" s="687" t="s">
        <v>1097</v>
      </c>
      <c r="G90" s="706">
        <v>1</v>
      </c>
      <c r="H90" s="688">
        <f>E90</f>
        <v>11317569.859999999</v>
      </c>
      <c r="I90" s="242"/>
      <c r="J90" s="689"/>
    </row>
    <row r="91" spans="1:10">
      <c r="A91" s="172">
        <v>86</v>
      </c>
      <c r="B91" s="164">
        <v>45643</v>
      </c>
      <c r="C91" s="701">
        <v>43160</v>
      </c>
      <c r="D91" s="695" t="s">
        <v>2497</v>
      </c>
      <c r="E91" s="709">
        <v>11038740.550000001</v>
      </c>
      <c r="F91" s="299" t="s">
        <v>1097</v>
      </c>
      <c r="G91" s="690">
        <v>1</v>
      </c>
      <c r="H91" s="327">
        <f t="shared" ref="H91:H101" si="6">E91</f>
        <v>11038740.550000001</v>
      </c>
      <c r="I91" s="162"/>
      <c r="J91" s="160"/>
    </row>
    <row r="92" spans="1:10">
      <c r="A92" s="172">
        <v>87</v>
      </c>
      <c r="B92" s="164">
        <v>45643</v>
      </c>
      <c r="C92" s="701">
        <v>43191</v>
      </c>
      <c r="D92" s="294" t="s">
        <v>2497</v>
      </c>
      <c r="E92" s="709">
        <v>11106665.869999999</v>
      </c>
      <c r="F92" s="299" t="s">
        <v>1097</v>
      </c>
      <c r="G92" s="690">
        <v>1</v>
      </c>
      <c r="H92" s="327">
        <f t="shared" si="6"/>
        <v>11106665.869999999</v>
      </c>
      <c r="I92" s="162"/>
      <c r="J92" s="160"/>
    </row>
    <row r="93" spans="1:10">
      <c r="A93" s="172">
        <v>88</v>
      </c>
      <c r="B93" s="164">
        <v>45643</v>
      </c>
      <c r="C93" s="701">
        <v>43221</v>
      </c>
      <c r="D93" s="294" t="s">
        <v>2497</v>
      </c>
      <c r="E93" s="709">
        <v>11106665.880000001</v>
      </c>
      <c r="F93" s="299" t="s">
        <v>1097</v>
      </c>
      <c r="G93" s="690">
        <v>1</v>
      </c>
      <c r="H93" s="327">
        <f t="shared" si="6"/>
        <v>11106665.880000001</v>
      </c>
      <c r="I93" s="162"/>
      <c r="J93" s="160"/>
    </row>
    <row r="94" spans="1:10">
      <c r="A94" s="172">
        <v>89</v>
      </c>
      <c r="B94" s="164">
        <v>45643</v>
      </c>
      <c r="C94" s="701">
        <v>43252</v>
      </c>
      <c r="D94" s="294" t="s">
        <v>2497</v>
      </c>
      <c r="E94" s="709">
        <v>11106665.77</v>
      </c>
      <c r="F94" s="299" t="s">
        <v>1097</v>
      </c>
      <c r="G94" s="690">
        <v>1</v>
      </c>
      <c r="H94" s="327">
        <f t="shared" si="6"/>
        <v>11106665.77</v>
      </c>
      <c r="I94" s="162"/>
      <c r="J94" s="160"/>
    </row>
    <row r="95" spans="1:10">
      <c r="A95" s="172">
        <v>90</v>
      </c>
      <c r="B95" s="164">
        <v>45643</v>
      </c>
      <c r="C95" s="701">
        <v>43282</v>
      </c>
      <c r="D95" s="294" t="s">
        <v>2497</v>
      </c>
      <c r="E95" s="709">
        <v>11106665.73</v>
      </c>
      <c r="F95" s="299" t="s">
        <v>1097</v>
      </c>
      <c r="G95" s="690">
        <v>1</v>
      </c>
      <c r="H95" s="327">
        <f t="shared" si="6"/>
        <v>11106665.73</v>
      </c>
      <c r="I95" s="162"/>
      <c r="J95" s="160"/>
    </row>
    <row r="96" spans="1:10">
      <c r="A96" s="172">
        <v>91</v>
      </c>
      <c r="B96" s="164">
        <v>45643</v>
      </c>
      <c r="C96" s="701">
        <v>43313</v>
      </c>
      <c r="D96" s="298" t="s">
        <v>2497</v>
      </c>
      <c r="E96" s="709">
        <v>11106663.300000001</v>
      </c>
      <c r="F96" s="299" t="s">
        <v>1097</v>
      </c>
      <c r="G96" s="690">
        <v>1</v>
      </c>
      <c r="H96" s="327">
        <f t="shared" si="6"/>
        <v>11106663.300000001</v>
      </c>
      <c r="I96" s="162"/>
      <c r="J96" s="160"/>
    </row>
    <row r="97" spans="1:10">
      <c r="A97" s="172">
        <v>92</v>
      </c>
      <c r="B97" s="164">
        <v>45643</v>
      </c>
      <c r="C97" s="701">
        <v>43344</v>
      </c>
      <c r="D97" s="273" t="s">
        <v>2497</v>
      </c>
      <c r="E97" s="710">
        <v>11106661.1</v>
      </c>
      <c r="F97" s="310" t="str">
        <f>+F96</f>
        <v>TP</v>
      </c>
      <c r="G97" s="690">
        <f>+G96</f>
        <v>1</v>
      </c>
      <c r="H97" s="327">
        <f t="shared" si="6"/>
        <v>11106661.1</v>
      </c>
      <c r="I97" s="162"/>
      <c r="J97" s="160"/>
    </row>
    <row r="98" spans="1:10">
      <c r="A98" s="172">
        <v>93</v>
      </c>
      <c r="B98" s="164">
        <v>45643</v>
      </c>
      <c r="C98" s="701">
        <v>43374</v>
      </c>
      <c r="D98" s="273" t="s">
        <v>2497</v>
      </c>
      <c r="E98" s="710">
        <v>11106658.65</v>
      </c>
      <c r="F98" s="310" t="s">
        <v>1097</v>
      </c>
      <c r="G98" s="690">
        <v>1</v>
      </c>
      <c r="H98" s="327">
        <f t="shared" si="6"/>
        <v>11106658.65</v>
      </c>
      <c r="I98" s="162"/>
      <c r="J98" s="160"/>
    </row>
    <row r="99" spans="1:10">
      <c r="A99" s="172">
        <v>94</v>
      </c>
      <c r="B99" s="164">
        <v>45643</v>
      </c>
      <c r="C99" s="701">
        <v>43405</v>
      </c>
      <c r="D99" s="325" t="s">
        <v>2497</v>
      </c>
      <c r="E99" s="710">
        <v>11106658.67</v>
      </c>
      <c r="F99" s="697" t="s">
        <v>1097</v>
      </c>
      <c r="G99" s="690">
        <v>1</v>
      </c>
      <c r="H99" s="327">
        <f t="shared" si="6"/>
        <v>11106658.67</v>
      </c>
      <c r="I99" s="162"/>
      <c r="J99" s="160"/>
    </row>
    <row r="100" spans="1:10">
      <c r="A100" s="172">
        <v>95</v>
      </c>
      <c r="B100" s="164">
        <v>45643</v>
      </c>
      <c r="C100" s="701">
        <v>43435</v>
      </c>
      <c r="D100" s="325" t="s">
        <v>2497</v>
      </c>
      <c r="E100" s="710">
        <v>11106661.09</v>
      </c>
      <c r="F100" s="697" t="s">
        <v>1097</v>
      </c>
      <c r="G100" s="690">
        <v>1</v>
      </c>
      <c r="H100" s="327">
        <f t="shared" si="6"/>
        <v>11106661.09</v>
      </c>
      <c r="I100" s="162"/>
      <c r="J100" s="160"/>
    </row>
    <row r="101" spans="1:10">
      <c r="A101" s="172">
        <v>96</v>
      </c>
      <c r="B101" s="164">
        <v>45643</v>
      </c>
      <c r="C101" s="701">
        <v>43466</v>
      </c>
      <c r="D101" s="325" t="s">
        <v>2497</v>
      </c>
      <c r="E101" s="710">
        <v>11106663.449999999</v>
      </c>
      <c r="F101" s="296" t="s">
        <v>1097</v>
      </c>
      <c r="G101" s="690">
        <v>1</v>
      </c>
      <c r="H101" s="327">
        <f t="shared" si="6"/>
        <v>11106663.449999999</v>
      </c>
      <c r="I101" s="162"/>
      <c r="J101" s="160"/>
    </row>
    <row r="102" spans="1:10">
      <c r="A102" s="172">
        <v>97</v>
      </c>
      <c r="B102" s="164"/>
      <c r="C102" s="684" t="s">
        <v>2489</v>
      </c>
      <c r="D102" s="696" t="s">
        <v>2497</v>
      </c>
      <c r="E102" s="711">
        <v>0</v>
      </c>
      <c r="F102" s="697" t="s">
        <v>1097</v>
      </c>
      <c r="G102" s="690">
        <v>1</v>
      </c>
      <c r="H102" s="691">
        <f>E102</f>
        <v>0</v>
      </c>
      <c r="I102" s="692"/>
      <c r="J102" s="693"/>
    </row>
    <row r="103" spans="1:10" ht="15" thickBot="1">
      <c r="A103" s="180">
        <v>98</v>
      </c>
      <c r="B103" s="157"/>
      <c r="C103" s="158" t="s">
        <v>2517</v>
      </c>
      <c r="D103" s="698"/>
      <c r="E103" s="712">
        <f>SUM(E90:E102)</f>
        <v>133422939.92000002</v>
      </c>
      <c r="F103" s="699"/>
      <c r="G103" s="156"/>
      <c r="H103" s="249">
        <f>SUM(H90:H102)</f>
        <v>133422939.92000002</v>
      </c>
      <c r="I103" s="155"/>
      <c r="J103" s="153"/>
    </row>
    <row r="104" spans="1:10">
      <c r="A104" s="246">
        <v>99</v>
      </c>
      <c r="B104" s="243">
        <v>7080</v>
      </c>
      <c r="C104" s="700">
        <v>43132</v>
      </c>
      <c r="D104" s="694" t="s">
        <v>2499</v>
      </c>
      <c r="E104" s="708">
        <v>7276.17</v>
      </c>
      <c r="F104" s="687" t="s">
        <v>487</v>
      </c>
      <c r="G104" s="706">
        <v>1</v>
      </c>
      <c r="H104" s="688">
        <f>E104</f>
        <v>7276.17</v>
      </c>
      <c r="I104" s="242"/>
      <c r="J104" s="689"/>
    </row>
    <row r="105" spans="1:10">
      <c r="A105" s="172">
        <v>100</v>
      </c>
      <c r="B105" s="164">
        <v>7080</v>
      </c>
      <c r="C105" s="701">
        <v>43160</v>
      </c>
      <c r="D105" s="695" t="s">
        <v>2499</v>
      </c>
      <c r="E105" s="709">
        <v>7276.17</v>
      </c>
      <c r="F105" s="299" t="s">
        <v>487</v>
      </c>
      <c r="G105" s="690">
        <v>1</v>
      </c>
      <c r="H105" s="327">
        <f t="shared" ref="H105:H115" si="7">E105</f>
        <v>7276.17</v>
      </c>
      <c r="I105" s="162"/>
      <c r="J105" s="160"/>
    </row>
    <row r="106" spans="1:10">
      <c r="A106" s="172">
        <v>101</v>
      </c>
      <c r="B106" s="164">
        <v>7080</v>
      </c>
      <c r="C106" s="701">
        <v>43191</v>
      </c>
      <c r="D106" s="294" t="s">
        <v>2499</v>
      </c>
      <c r="E106" s="709">
        <v>7276.17</v>
      </c>
      <c r="F106" s="299" t="s">
        <v>487</v>
      </c>
      <c r="G106" s="690">
        <v>1</v>
      </c>
      <c r="H106" s="327">
        <f t="shared" si="7"/>
        <v>7276.17</v>
      </c>
      <c r="I106" s="162"/>
      <c r="J106" s="160"/>
    </row>
    <row r="107" spans="1:10">
      <c r="A107" s="172">
        <v>102</v>
      </c>
      <c r="B107" s="164">
        <v>7080</v>
      </c>
      <c r="C107" s="701">
        <v>43221</v>
      </c>
      <c r="D107" s="695" t="s">
        <v>2499</v>
      </c>
      <c r="E107" s="709">
        <v>7276.17</v>
      </c>
      <c r="F107" s="299" t="s">
        <v>487</v>
      </c>
      <c r="G107" s="690">
        <v>1</v>
      </c>
      <c r="H107" s="327">
        <f t="shared" si="7"/>
        <v>7276.17</v>
      </c>
      <c r="I107" s="162"/>
      <c r="J107" s="160"/>
    </row>
    <row r="108" spans="1:10">
      <c r="A108" s="172">
        <v>103</v>
      </c>
      <c r="B108" s="164">
        <v>7080</v>
      </c>
      <c r="C108" s="701">
        <v>43252</v>
      </c>
      <c r="D108" s="294" t="s">
        <v>2499</v>
      </c>
      <c r="E108" s="709">
        <v>7276.17</v>
      </c>
      <c r="F108" s="299" t="s">
        <v>487</v>
      </c>
      <c r="G108" s="690">
        <v>1</v>
      </c>
      <c r="H108" s="327">
        <f t="shared" si="7"/>
        <v>7276.17</v>
      </c>
      <c r="I108" s="162"/>
      <c r="J108" s="160"/>
    </row>
    <row r="109" spans="1:10">
      <c r="A109" s="172">
        <v>104</v>
      </c>
      <c r="B109" s="164">
        <v>7080</v>
      </c>
      <c r="C109" s="701">
        <v>43282</v>
      </c>
      <c r="D109" s="695" t="s">
        <v>2499</v>
      </c>
      <c r="E109" s="709">
        <v>7276.17</v>
      </c>
      <c r="F109" s="299" t="s">
        <v>487</v>
      </c>
      <c r="G109" s="690">
        <v>1</v>
      </c>
      <c r="H109" s="327">
        <f t="shared" si="7"/>
        <v>7276.17</v>
      </c>
      <c r="I109" s="162"/>
      <c r="J109" s="160"/>
    </row>
    <row r="110" spans="1:10">
      <c r="A110" s="172">
        <v>105</v>
      </c>
      <c r="B110" s="164">
        <v>7080</v>
      </c>
      <c r="C110" s="701">
        <v>43313</v>
      </c>
      <c r="D110" s="294" t="s">
        <v>2499</v>
      </c>
      <c r="E110" s="709">
        <v>7276.17</v>
      </c>
      <c r="F110" s="299" t="s">
        <v>487</v>
      </c>
      <c r="G110" s="690">
        <v>1</v>
      </c>
      <c r="H110" s="327">
        <f t="shared" si="7"/>
        <v>7276.17</v>
      </c>
      <c r="I110" s="162"/>
      <c r="J110" s="160"/>
    </row>
    <row r="111" spans="1:10">
      <c r="A111" s="172">
        <v>106</v>
      </c>
      <c r="B111" s="164">
        <v>7080</v>
      </c>
      <c r="C111" s="701">
        <v>43344</v>
      </c>
      <c r="D111" s="695" t="s">
        <v>2499</v>
      </c>
      <c r="E111" s="710">
        <v>7276.17</v>
      </c>
      <c r="F111" s="310" t="s">
        <v>487</v>
      </c>
      <c r="G111" s="690">
        <f>+G110</f>
        <v>1</v>
      </c>
      <c r="H111" s="327">
        <f t="shared" si="7"/>
        <v>7276.17</v>
      </c>
      <c r="I111" s="162"/>
      <c r="J111" s="160"/>
    </row>
    <row r="112" spans="1:10">
      <c r="A112" s="172">
        <v>107</v>
      </c>
      <c r="B112" s="164">
        <v>7080</v>
      </c>
      <c r="C112" s="701">
        <v>43374</v>
      </c>
      <c r="D112" s="294" t="s">
        <v>2499</v>
      </c>
      <c r="E112" s="710">
        <v>7276.17</v>
      </c>
      <c r="F112" s="310" t="s">
        <v>487</v>
      </c>
      <c r="G112" s="690">
        <v>1</v>
      </c>
      <c r="H112" s="327">
        <f t="shared" si="7"/>
        <v>7276.17</v>
      </c>
      <c r="I112" s="162"/>
      <c r="J112" s="160"/>
    </row>
    <row r="113" spans="1:10">
      <c r="A113" s="172">
        <v>108</v>
      </c>
      <c r="B113" s="164">
        <v>7080</v>
      </c>
      <c r="C113" s="701">
        <v>43405</v>
      </c>
      <c r="D113" s="695" t="s">
        <v>2499</v>
      </c>
      <c r="E113" s="710">
        <v>7276.17</v>
      </c>
      <c r="F113" s="697" t="s">
        <v>487</v>
      </c>
      <c r="G113" s="690">
        <v>1</v>
      </c>
      <c r="H113" s="327">
        <f t="shared" si="7"/>
        <v>7276.17</v>
      </c>
      <c r="I113" s="162"/>
      <c r="J113" s="160"/>
    </row>
    <row r="114" spans="1:10">
      <c r="A114" s="172">
        <v>109</v>
      </c>
      <c r="B114" s="164">
        <v>7080</v>
      </c>
      <c r="C114" s="701">
        <v>43435</v>
      </c>
      <c r="D114" s="294" t="s">
        <v>2499</v>
      </c>
      <c r="E114" s="710">
        <v>7276.17</v>
      </c>
      <c r="F114" s="697" t="s">
        <v>487</v>
      </c>
      <c r="G114" s="690">
        <v>1</v>
      </c>
      <c r="H114" s="327">
        <f t="shared" si="7"/>
        <v>7276.17</v>
      </c>
      <c r="I114" s="162"/>
      <c r="J114" s="160"/>
    </row>
    <row r="115" spans="1:10">
      <c r="A115" s="172">
        <v>110</v>
      </c>
      <c r="B115" s="164">
        <v>7080</v>
      </c>
      <c r="C115" s="701">
        <v>43466</v>
      </c>
      <c r="D115" s="695" t="s">
        <v>2499</v>
      </c>
      <c r="E115" s="710">
        <v>7276.17</v>
      </c>
      <c r="F115" s="296" t="s">
        <v>487</v>
      </c>
      <c r="G115" s="690">
        <v>1</v>
      </c>
      <c r="H115" s="327">
        <f t="shared" si="7"/>
        <v>7276.17</v>
      </c>
      <c r="I115" s="162"/>
      <c r="J115" s="160"/>
    </row>
    <row r="116" spans="1:10">
      <c r="A116" s="172">
        <v>111</v>
      </c>
      <c r="B116" s="164"/>
      <c r="C116" s="684" t="s">
        <v>2489</v>
      </c>
      <c r="D116" s="696"/>
      <c r="E116" s="711">
        <v>0</v>
      </c>
      <c r="F116" s="697" t="s">
        <v>487</v>
      </c>
      <c r="G116" s="690">
        <v>1</v>
      </c>
      <c r="H116" s="691">
        <f>E116</f>
        <v>0</v>
      </c>
      <c r="I116" s="692"/>
      <c r="J116" s="693"/>
    </row>
    <row r="117" spans="1:10" ht="15" thickBot="1">
      <c r="A117" s="180">
        <v>112</v>
      </c>
      <c r="B117" s="157"/>
      <c r="C117" s="158" t="s">
        <v>2517</v>
      </c>
      <c r="D117" s="698"/>
      <c r="E117" s="712">
        <f>SUM(E104:E116)</f>
        <v>87314.04</v>
      </c>
      <c r="F117" s="699"/>
      <c r="G117" s="156"/>
      <c r="H117" s="249">
        <f>SUM(H104:H116)</f>
        <v>87314.04</v>
      </c>
      <c r="I117" s="155"/>
      <c r="J117" s="153"/>
    </row>
    <row r="118" spans="1:10">
      <c r="A118" s="246">
        <v>113</v>
      </c>
      <c r="B118" s="243">
        <v>7089</v>
      </c>
      <c r="C118" s="700">
        <v>43132</v>
      </c>
      <c r="D118" s="694" t="s">
        <v>2500</v>
      </c>
      <c r="E118" s="708">
        <v>7276.17</v>
      </c>
      <c r="F118" s="687" t="s">
        <v>487</v>
      </c>
      <c r="G118" s="706">
        <v>1</v>
      </c>
      <c r="H118" s="688">
        <f>E118</f>
        <v>7276.17</v>
      </c>
      <c r="I118" s="242"/>
      <c r="J118" s="689"/>
    </row>
    <row r="119" spans="1:10">
      <c r="A119" s="172">
        <v>114</v>
      </c>
      <c r="B119" s="164">
        <v>7089</v>
      </c>
      <c r="C119" s="701">
        <v>43160</v>
      </c>
      <c r="D119" s="695" t="s">
        <v>2500</v>
      </c>
      <c r="E119" s="709">
        <v>7276.17</v>
      </c>
      <c r="F119" s="299" t="s">
        <v>487</v>
      </c>
      <c r="G119" s="690">
        <v>1</v>
      </c>
      <c r="H119" s="327">
        <f t="shared" ref="H119:H129" si="8">E119</f>
        <v>7276.17</v>
      </c>
      <c r="I119" s="162"/>
      <c r="J119" s="160"/>
    </row>
    <row r="120" spans="1:10">
      <c r="A120" s="172">
        <v>115</v>
      </c>
      <c r="B120" s="164">
        <v>7089</v>
      </c>
      <c r="C120" s="701">
        <v>43191</v>
      </c>
      <c r="D120" s="695" t="s">
        <v>2500</v>
      </c>
      <c r="E120" s="709">
        <v>7276.17</v>
      </c>
      <c r="F120" s="299" t="s">
        <v>487</v>
      </c>
      <c r="G120" s="690">
        <v>1</v>
      </c>
      <c r="H120" s="327">
        <f t="shared" si="8"/>
        <v>7276.17</v>
      </c>
      <c r="I120" s="162"/>
      <c r="J120" s="160"/>
    </row>
    <row r="121" spans="1:10">
      <c r="A121" s="172">
        <v>116</v>
      </c>
      <c r="B121" s="164">
        <v>7089</v>
      </c>
      <c r="C121" s="701">
        <v>43221</v>
      </c>
      <c r="D121" s="695" t="s">
        <v>2500</v>
      </c>
      <c r="E121" s="709">
        <v>7276.17</v>
      </c>
      <c r="F121" s="299" t="s">
        <v>487</v>
      </c>
      <c r="G121" s="690">
        <v>1</v>
      </c>
      <c r="H121" s="327">
        <f t="shared" si="8"/>
        <v>7276.17</v>
      </c>
      <c r="I121" s="162"/>
      <c r="J121" s="160"/>
    </row>
    <row r="122" spans="1:10">
      <c r="A122" s="172">
        <v>117</v>
      </c>
      <c r="B122" s="164">
        <v>7089</v>
      </c>
      <c r="C122" s="701">
        <v>43252</v>
      </c>
      <c r="D122" s="695" t="s">
        <v>2500</v>
      </c>
      <c r="E122" s="709">
        <v>7276.17</v>
      </c>
      <c r="F122" s="299" t="s">
        <v>487</v>
      </c>
      <c r="G122" s="690">
        <v>1</v>
      </c>
      <c r="H122" s="327">
        <f t="shared" si="8"/>
        <v>7276.17</v>
      </c>
      <c r="I122" s="162"/>
      <c r="J122" s="160"/>
    </row>
    <row r="123" spans="1:10">
      <c r="A123" s="172">
        <v>118</v>
      </c>
      <c r="B123" s="164">
        <v>7089</v>
      </c>
      <c r="C123" s="701">
        <v>43282</v>
      </c>
      <c r="D123" s="695" t="s">
        <v>2500</v>
      </c>
      <c r="E123" s="709">
        <v>7276.17</v>
      </c>
      <c r="F123" s="299" t="s">
        <v>487</v>
      </c>
      <c r="G123" s="690">
        <v>1</v>
      </c>
      <c r="H123" s="327">
        <f t="shared" si="8"/>
        <v>7276.17</v>
      </c>
      <c r="I123" s="162"/>
      <c r="J123" s="160"/>
    </row>
    <row r="124" spans="1:10">
      <c r="A124" s="172">
        <v>119</v>
      </c>
      <c r="B124" s="164">
        <v>7089</v>
      </c>
      <c r="C124" s="701">
        <v>43313</v>
      </c>
      <c r="D124" s="695" t="s">
        <v>2500</v>
      </c>
      <c r="E124" s="709">
        <v>7276.17</v>
      </c>
      <c r="F124" s="299" t="s">
        <v>487</v>
      </c>
      <c r="G124" s="690">
        <v>1</v>
      </c>
      <c r="H124" s="327">
        <f t="shared" si="8"/>
        <v>7276.17</v>
      </c>
      <c r="I124" s="162"/>
      <c r="J124" s="160"/>
    </row>
    <row r="125" spans="1:10">
      <c r="A125" s="172">
        <v>120</v>
      </c>
      <c r="B125" s="164">
        <v>7089</v>
      </c>
      <c r="C125" s="701">
        <v>43344</v>
      </c>
      <c r="D125" s="695" t="s">
        <v>2500</v>
      </c>
      <c r="E125" s="710">
        <v>7276.17</v>
      </c>
      <c r="F125" s="310" t="s">
        <v>487</v>
      </c>
      <c r="G125" s="690">
        <f>+G124</f>
        <v>1</v>
      </c>
      <c r="H125" s="327">
        <f t="shared" si="8"/>
        <v>7276.17</v>
      </c>
      <c r="I125" s="162"/>
      <c r="J125" s="160"/>
    </row>
    <row r="126" spans="1:10">
      <c r="A126" s="172">
        <v>121</v>
      </c>
      <c r="B126" s="164">
        <v>7089</v>
      </c>
      <c r="C126" s="701">
        <v>43374</v>
      </c>
      <c r="D126" s="695" t="s">
        <v>2500</v>
      </c>
      <c r="E126" s="710">
        <v>7276.17</v>
      </c>
      <c r="F126" s="310" t="s">
        <v>487</v>
      </c>
      <c r="G126" s="690">
        <v>1</v>
      </c>
      <c r="H126" s="327">
        <f t="shared" si="8"/>
        <v>7276.17</v>
      </c>
      <c r="I126" s="162"/>
      <c r="J126" s="160"/>
    </row>
    <row r="127" spans="1:10">
      <c r="A127" s="172">
        <v>122</v>
      </c>
      <c r="B127" s="164">
        <v>7089</v>
      </c>
      <c r="C127" s="701">
        <v>43405</v>
      </c>
      <c r="D127" s="695" t="s">
        <v>2500</v>
      </c>
      <c r="E127" s="710">
        <v>7276.17</v>
      </c>
      <c r="F127" s="697" t="s">
        <v>487</v>
      </c>
      <c r="G127" s="690">
        <v>1</v>
      </c>
      <c r="H127" s="327">
        <f t="shared" si="8"/>
        <v>7276.17</v>
      </c>
      <c r="I127" s="162"/>
      <c r="J127" s="160"/>
    </row>
    <row r="128" spans="1:10">
      <c r="A128" s="172">
        <v>123</v>
      </c>
      <c r="B128" s="164">
        <v>7089</v>
      </c>
      <c r="C128" s="701">
        <v>43435</v>
      </c>
      <c r="D128" s="695" t="s">
        <v>2500</v>
      </c>
      <c r="E128" s="710">
        <v>7276.17</v>
      </c>
      <c r="F128" s="697" t="s">
        <v>487</v>
      </c>
      <c r="G128" s="690">
        <v>1</v>
      </c>
      <c r="H128" s="327">
        <f t="shared" si="8"/>
        <v>7276.17</v>
      </c>
      <c r="I128" s="162"/>
      <c r="J128" s="160"/>
    </row>
    <row r="129" spans="1:10">
      <c r="A129" s="172">
        <v>124</v>
      </c>
      <c r="B129" s="164">
        <v>7089</v>
      </c>
      <c r="C129" s="701">
        <v>43466</v>
      </c>
      <c r="D129" s="695" t="s">
        <v>2500</v>
      </c>
      <c r="E129" s="710">
        <v>7276.17</v>
      </c>
      <c r="F129" s="296" t="s">
        <v>487</v>
      </c>
      <c r="G129" s="690">
        <v>1</v>
      </c>
      <c r="H129" s="327">
        <f t="shared" si="8"/>
        <v>7276.17</v>
      </c>
      <c r="I129" s="162"/>
      <c r="J129" s="160"/>
    </row>
    <row r="130" spans="1:10">
      <c r="A130" s="172">
        <v>125</v>
      </c>
      <c r="B130" s="164"/>
      <c r="C130" s="684" t="s">
        <v>2489</v>
      </c>
      <c r="D130" s="696"/>
      <c r="E130" s="711">
        <v>0</v>
      </c>
      <c r="F130" s="697" t="s">
        <v>487</v>
      </c>
      <c r="G130" s="690">
        <v>1</v>
      </c>
      <c r="H130" s="691">
        <f>E130</f>
        <v>0</v>
      </c>
      <c r="I130" s="692"/>
      <c r="J130" s="693"/>
    </row>
    <row r="131" spans="1:10" ht="15" thickBot="1">
      <c r="A131" s="180">
        <v>126</v>
      </c>
      <c r="B131" s="157"/>
      <c r="C131" s="158" t="s">
        <v>2517</v>
      </c>
      <c r="D131" s="698"/>
      <c r="E131" s="712">
        <f>SUM(E118:E130)</f>
        <v>87314.04</v>
      </c>
      <c r="F131" s="699"/>
      <c r="G131" s="156"/>
      <c r="H131" s="249">
        <f>SUM(H118:H130)</f>
        <v>87314.04</v>
      </c>
      <c r="I131" s="155"/>
      <c r="J131" s="153"/>
    </row>
    <row r="132" spans="1:10">
      <c r="A132" s="246">
        <v>127</v>
      </c>
      <c r="B132" s="243">
        <v>7091</v>
      </c>
      <c r="C132" s="700">
        <v>43132</v>
      </c>
      <c r="D132" s="694" t="s">
        <v>2501</v>
      </c>
      <c r="E132" s="708">
        <v>15732.58</v>
      </c>
      <c r="F132" s="687" t="s">
        <v>487</v>
      </c>
      <c r="G132" s="706">
        <v>1</v>
      </c>
      <c r="H132" s="688">
        <f>E132</f>
        <v>15732.58</v>
      </c>
      <c r="I132" s="242"/>
      <c r="J132" s="689"/>
    </row>
    <row r="133" spans="1:10">
      <c r="A133" s="172">
        <v>128</v>
      </c>
      <c r="B133" s="164">
        <v>7091</v>
      </c>
      <c r="C133" s="701">
        <v>43160</v>
      </c>
      <c r="D133" s="695" t="s">
        <v>2501</v>
      </c>
      <c r="E133" s="709">
        <v>15732.58</v>
      </c>
      <c r="F133" s="299" t="s">
        <v>487</v>
      </c>
      <c r="G133" s="690">
        <v>1</v>
      </c>
      <c r="H133" s="327">
        <f t="shared" ref="H133:H143" si="9">E133</f>
        <v>15732.58</v>
      </c>
      <c r="I133" s="162"/>
      <c r="J133" s="160"/>
    </row>
    <row r="134" spans="1:10">
      <c r="A134" s="172">
        <v>129</v>
      </c>
      <c r="B134" s="164">
        <v>7091</v>
      </c>
      <c r="C134" s="701">
        <v>43191</v>
      </c>
      <c r="D134" s="294" t="s">
        <v>2501</v>
      </c>
      <c r="E134" s="709">
        <v>15732.58</v>
      </c>
      <c r="F134" s="299" t="s">
        <v>487</v>
      </c>
      <c r="G134" s="690">
        <v>1</v>
      </c>
      <c r="H134" s="327">
        <f t="shared" si="9"/>
        <v>15732.58</v>
      </c>
      <c r="I134" s="162"/>
      <c r="J134" s="160"/>
    </row>
    <row r="135" spans="1:10">
      <c r="A135" s="172">
        <v>130</v>
      </c>
      <c r="B135" s="164">
        <v>7091</v>
      </c>
      <c r="C135" s="701">
        <v>43221</v>
      </c>
      <c r="D135" s="695" t="s">
        <v>2501</v>
      </c>
      <c r="E135" s="709">
        <v>15732.58</v>
      </c>
      <c r="F135" s="299" t="s">
        <v>487</v>
      </c>
      <c r="G135" s="690">
        <v>1</v>
      </c>
      <c r="H135" s="327">
        <f t="shared" si="9"/>
        <v>15732.58</v>
      </c>
      <c r="I135" s="162"/>
      <c r="J135" s="160"/>
    </row>
    <row r="136" spans="1:10">
      <c r="A136" s="172">
        <v>131</v>
      </c>
      <c r="B136" s="164">
        <v>7091</v>
      </c>
      <c r="C136" s="701">
        <v>43252</v>
      </c>
      <c r="D136" s="294" t="s">
        <v>2501</v>
      </c>
      <c r="E136" s="709">
        <v>15732.58</v>
      </c>
      <c r="F136" s="299" t="s">
        <v>487</v>
      </c>
      <c r="G136" s="690">
        <v>1</v>
      </c>
      <c r="H136" s="327">
        <f t="shared" si="9"/>
        <v>15732.58</v>
      </c>
      <c r="I136" s="162"/>
      <c r="J136" s="160"/>
    </row>
    <row r="137" spans="1:10">
      <c r="A137" s="172">
        <v>132</v>
      </c>
      <c r="B137" s="164">
        <v>7091</v>
      </c>
      <c r="C137" s="701">
        <v>43282</v>
      </c>
      <c r="D137" s="695" t="s">
        <v>2501</v>
      </c>
      <c r="E137" s="709">
        <v>15732.58</v>
      </c>
      <c r="F137" s="299" t="s">
        <v>487</v>
      </c>
      <c r="G137" s="690">
        <v>1</v>
      </c>
      <c r="H137" s="327">
        <f t="shared" si="9"/>
        <v>15732.58</v>
      </c>
      <c r="I137" s="162"/>
      <c r="J137" s="160"/>
    </row>
    <row r="138" spans="1:10">
      <c r="A138" s="172">
        <v>133</v>
      </c>
      <c r="B138" s="164">
        <v>7091</v>
      </c>
      <c r="C138" s="701">
        <v>43313</v>
      </c>
      <c r="D138" s="294" t="s">
        <v>2501</v>
      </c>
      <c r="E138" s="709">
        <v>15732.58</v>
      </c>
      <c r="F138" s="299" t="s">
        <v>487</v>
      </c>
      <c r="G138" s="690">
        <v>1</v>
      </c>
      <c r="H138" s="327">
        <f t="shared" si="9"/>
        <v>15732.58</v>
      </c>
      <c r="I138" s="162"/>
      <c r="J138" s="160"/>
    </row>
    <row r="139" spans="1:10">
      <c r="A139" s="172">
        <v>134</v>
      </c>
      <c r="B139" s="164">
        <v>7091</v>
      </c>
      <c r="C139" s="701">
        <v>43344</v>
      </c>
      <c r="D139" s="695" t="s">
        <v>2501</v>
      </c>
      <c r="E139" s="710">
        <v>15732.58</v>
      </c>
      <c r="F139" s="310" t="s">
        <v>487</v>
      </c>
      <c r="G139" s="690">
        <f>+G138</f>
        <v>1</v>
      </c>
      <c r="H139" s="327">
        <f t="shared" si="9"/>
        <v>15732.58</v>
      </c>
      <c r="I139" s="162"/>
      <c r="J139" s="160"/>
    </row>
    <row r="140" spans="1:10">
      <c r="A140" s="172">
        <v>135</v>
      </c>
      <c r="B140" s="164">
        <v>7091</v>
      </c>
      <c r="C140" s="701">
        <v>43374</v>
      </c>
      <c r="D140" s="294" t="s">
        <v>2501</v>
      </c>
      <c r="E140" s="710">
        <v>15732.58</v>
      </c>
      <c r="F140" s="310" t="s">
        <v>487</v>
      </c>
      <c r="G140" s="690">
        <v>1</v>
      </c>
      <c r="H140" s="327">
        <f t="shared" si="9"/>
        <v>15732.58</v>
      </c>
      <c r="I140" s="162"/>
      <c r="J140" s="160"/>
    </row>
    <row r="141" spans="1:10">
      <c r="A141" s="172">
        <v>136</v>
      </c>
      <c r="B141" s="164">
        <v>7091</v>
      </c>
      <c r="C141" s="701">
        <v>43405</v>
      </c>
      <c r="D141" s="695" t="s">
        <v>2501</v>
      </c>
      <c r="E141" s="710">
        <v>15732.58</v>
      </c>
      <c r="F141" s="697" t="s">
        <v>487</v>
      </c>
      <c r="G141" s="690">
        <v>1</v>
      </c>
      <c r="H141" s="327">
        <f t="shared" si="9"/>
        <v>15732.58</v>
      </c>
      <c r="I141" s="162"/>
      <c r="J141" s="160"/>
    </row>
    <row r="142" spans="1:10">
      <c r="A142" s="172">
        <v>137</v>
      </c>
      <c r="B142" s="164">
        <v>7091</v>
      </c>
      <c r="C142" s="701">
        <v>43435</v>
      </c>
      <c r="D142" s="294" t="s">
        <v>2501</v>
      </c>
      <c r="E142" s="710">
        <v>15732.58</v>
      </c>
      <c r="F142" s="697" t="s">
        <v>487</v>
      </c>
      <c r="G142" s="690">
        <v>1</v>
      </c>
      <c r="H142" s="327">
        <f t="shared" si="9"/>
        <v>15732.58</v>
      </c>
      <c r="I142" s="162"/>
      <c r="J142" s="160"/>
    </row>
    <row r="143" spans="1:10">
      <c r="A143" s="172">
        <v>138</v>
      </c>
      <c r="B143" s="164">
        <v>7091</v>
      </c>
      <c r="C143" s="701">
        <v>43466</v>
      </c>
      <c r="D143" s="695" t="s">
        <v>2501</v>
      </c>
      <c r="E143" s="710">
        <v>15732.58</v>
      </c>
      <c r="F143" s="296" t="s">
        <v>487</v>
      </c>
      <c r="G143" s="690">
        <v>1</v>
      </c>
      <c r="H143" s="327">
        <f t="shared" si="9"/>
        <v>15732.58</v>
      </c>
      <c r="I143" s="162"/>
      <c r="J143" s="160"/>
    </row>
    <row r="144" spans="1:10">
      <c r="A144" s="172">
        <v>139</v>
      </c>
      <c r="B144" s="164"/>
      <c r="C144" s="684" t="s">
        <v>2489</v>
      </c>
      <c r="D144" s="696"/>
      <c r="E144" s="711">
        <v>0</v>
      </c>
      <c r="F144" s="697" t="s">
        <v>487</v>
      </c>
      <c r="G144" s="690">
        <v>1</v>
      </c>
      <c r="H144" s="691">
        <f>E144</f>
        <v>0</v>
      </c>
      <c r="I144" s="692"/>
      <c r="J144" s="693"/>
    </row>
    <row r="145" spans="1:10" ht="15" thickBot="1">
      <c r="A145" s="180">
        <v>140</v>
      </c>
      <c r="B145" s="157"/>
      <c r="C145" s="158" t="s">
        <v>2517</v>
      </c>
      <c r="D145" s="698"/>
      <c r="E145" s="712">
        <f>SUM(E132:E144)</f>
        <v>188790.95999999996</v>
      </c>
      <c r="F145" s="699"/>
      <c r="G145" s="156"/>
      <c r="H145" s="249">
        <f>SUM(H132:H144)</f>
        <v>188790.95999999996</v>
      </c>
      <c r="I145" s="155"/>
      <c r="J145" s="153"/>
    </row>
    <row r="146" spans="1:10">
      <c r="A146" s="498">
        <v>141</v>
      </c>
      <c r="B146" s="355" t="s">
        <v>2494</v>
      </c>
      <c r="C146" s="355" t="s">
        <v>2495</v>
      </c>
      <c r="D146" s="355"/>
      <c r="E146" s="355"/>
      <c r="F146" s="355"/>
      <c r="G146" s="355"/>
      <c r="H146" s="355"/>
      <c r="I146" s="355"/>
      <c r="J146" s="380"/>
    </row>
    <row r="147" spans="1:10">
      <c r="A147" s="444">
        <v>142</v>
      </c>
      <c r="B147" s="356"/>
      <c r="C147" s="356" t="s">
        <v>2526</v>
      </c>
      <c r="D147" s="356"/>
      <c r="E147" s="356"/>
      <c r="F147" s="356"/>
      <c r="G147" s="356"/>
      <c r="H147" s="356"/>
      <c r="I147" s="356"/>
      <c r="J147" s="381"/>
    </row>
    <row r="148" spans="1:10">
      <c r="A148" s="444">
        <v>143</v>
      </c>
      <c r="B148" s="356"/>
      <c r="C148" s="356"/>
      <c r="D148" s="356"/>
      <c r="E148" s="356"/>
      <c r="F148" s="356"/>
      <c r="G148" s="356"/>
      <c r="H148" s="356"/>
      <c r="I148" s="356"/>
      <c r="J148" s="381"/>
    </row>
    <row r="149" spans="1:10">
      <c r="A149" s="444">
        <v>144</v>
      </c>
      <c r="B149" s="356"/>
      <c r="C149" s="356"/>
      <c r="D149" s="356"/>
      <c r="E149" s="356"/>
      <c r="F149" s="356"/>
      <c r="G149" s="356"/>
      <c r="H149" s="356"/>
      <c r="I149" s="356"/>
      <c r="J149" s="381"/>
    </row>
    <row r="150" spans="1:10">
      <c r="A150" s="444">
        <v>145</v>
      </c>
      <c r="B150" s="356"/>
      <c r="C150" s="356"/>
      <c r="D150" s="356"/>
      <c r="E150" s="356"/>
      <c r="F150" s="356"/>
      <c r="G150" s="356"/>
      <c r="H150" s="356"/>
      <c r="I150" s="356"/>
      <c r="J150" s="381"/>
    </row>
    <row r="151" spans="1:10">
      <c r="A151" s="444">
        <v>146</v>
      </c>
      <c r="B151" s="356"/>
      <c r="C151" s="356"/>
      <c r="D151" s="356"/>
      <c r="E151" s="356"/>
      <c r="F151" s="356"/>
      <c r="G151" s="356"/>
      <c r="H151" s="356"/>
      <c r="I151" s="356"/>
      <c r="J151" s="381"/>
    </row>
    <row r="152" spans="1:10" ht="15" thickBot="1">
      <c r="A152" s="713"/>
      <c r="B152" s="379"/>
      <c r="C152" s="379"/>
      <c r="D152" s="379"/>
      <c r="E152" s="379"/>
      <c r="F152" s="379"/>
      <c r="G152" s="379"/>
      <c r="H152" s="379"/>
      <c r="I152" s="379"/>
      <c r="J152" s="383"/>
    </row>
  </sheetData>
  <pageMargins left="0.7" right="0.7" top="0.75" bottom="0.75" header="0.3" footer="0.3"/>
  <pageSetup scale="62" fitToHeight="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38"/>
  <sheetViews>
    <sheetView view="pageBreakPreview" zoomScale="120" zoomScaleNormal="100" zoomScaleSheetLayoutView="120" workbookViewId="0">
      <selection activeCell="A3" sqref="A3"/>
    </sheetView>
  </sheetViews>
  <sheetFormatPr defaultColWidth="12.7265625" defaultRowHeight="13"/>
  <cols>
    <col min="1" max="1" width="12.7265625" style="349"/>
    <col min="2" max="2" width="32.81640625" style="348" customWidth="1"/>
    <col min="3" max="3" width="15.54296875" style="348" bestFit="1" customWidth="1"/>
    <col min="4" max="4" width="5.81640625" style="348" customWidth="1"/>
    <col min="5" max="5" width="12.7265625" style="348"/>
    <col min="6" max="6" width="5.54296875" style="348" customWidth="1"/>
    <col min="7" max="7" width="20.453125" style="348" bestFit="1" customWidth="1"/>
    <col min="8" max="8" width="8.453125" style="348" customWidth="1"/>
    <col min="9" max="9" width="12.7265625" style="348"/>
    <col min="10" max="10" width="7" style="348" customWidth="1"/>
    <col min="11" max="11" width="12.7265625" style="348"/>
    <col min="12" max="12" width="16.26953125" style="348" customWidth="1"/>
    <col min="13" max="16384" width="12.7265625" style="348"/>
  </cols>
  <sheetData>
    <row r="1" spans="1:12">
      <c r="A1" s="354" t="str">
        <f>'Cover Sheets'!A10:D10</f>
        <v>WAPA-UGP 2018 Rate True-up Calculation</v>
      </c>
      <c r="B1" s="443"/>
      <c r="C1" s="355"/>
      <c r="D1" s="355"/>
      <c r="E1" s="355"/>
      <c r="F1" s="355"/>
      <c r="G1" s="355"/>
      <c r="H1" s="355"/>
      <c r="I1" s="355"/>
      <c r="J1" s="355"/>
      <c r="K1" s="355"/>
      <c r="L1" s="380"/>
    </row>
    <row r="2" spans="1:12">
      <c r="A2" s="821" t="s">
        <v>2558</v>
      </c>
      <c r="B2" s="816"/>
      <c r="C2" s="356"/>
      <c r="D2" s="356"/>
      <c r="E2" s="356"/>
      <c r="F2" s="356"/>
      <c r="G2" s="356"/>
      <c r="H2" s="356"/>
      <c r="I2" s="356"/>
      <c r="J2" s="356"/>
      <c r="K2" s="356"/>
      <c r="L2" s="381"/>
    </row>
    <row r="3" spans="1:12">
      <c r="A3" s="821" t="str">
        <f>'Summary-TrueUp'!A3</f>
        <v>12 Months Ending 09/30/2018 True-up</v>
      </c>
      <c r="B3" s="816"/>
      <c r="C3" s="356"/>
      <c r="D3" s="356"/>
      <c r="E3" s="356"/>
      <c r="F3" s="356"/>
      <c r="G3" s="356"/>
      <c r="H3" s="356"/>
      <c r="I3" s="356"/>
      <c r="J3" s="356"/>
      <c r="K3" s="356"/>
      <c r="L3" s="381"/>
    </row>
    <row r="4" spans="1:12">
      <c r="A4" s="444"/>
      <c r="B4" s="445"/>
      <c r="C4" s="445" t="s">
        <v>1243</v>
      </c>
      <c r="D4" s="446"/>
      <c r="E4" s="445" t="s">
        <v>1295</v>
      </c>
      <c r="F4" s="446"/>
      <c r="G4" s="445" t="s">
        <v>957</v>
      </c>
      <c r="H4" s="447"/>
      <c r="I4" s="445" t="s">
        <v>1241</v>
      </c>
      <c r="J4" s="447"/>
      <c r="K4" s="445" t="s">
        <v>961</v>
      </c>
      <c r="L4" s="381"/>
    </row>
    <row r="5" spans="1:12" s="349" customFormat="1" ht="13.5" thickBot="1">
      <c r="A5" s="448" t="s">
        <v>0</v>
      </c>
      <c r="B5" s="362">
        <v>-1</v>
      </c>
      <c r="C5" s="449">
        <v>-2</v>
      </c>
      <c r="D5" s="450"/>
      <c r="E5" s="449">
        <v>-3</v>
      </c>
      <c r="F5" s="450"/>
      <c r="G5" s="362">
        <v>-4</v>
      </c>
      <c r="H5" s="451"/>
      <c r="I5" s="362">
        <v>-5</v>
      </c>
      <c r="J5" s="451"/>
      <c r="K5" s="362">
        <v>-6</v>
      </c>
      <c r="L5" s="452"/>
    </row>
    <row r="6" spans="1:12">
      <c r="A6" s="444">
        <v>1</v>
      </c>
      <c r="B6" s="453" t="s">
        <v>1216</v>
      </c>
      <c r="C6" s="454"/>
      <c r="D6" s="454"/>
      <c r="E6" s="454"/>
      <c r="F6" s="454"/>
      <c r="G6" s="454"/>
      <c r="H6" s="454"/>
      <c r="I6" s="454"/>
      <c r="J6" s="454"/>
      <c r="K6" s="454"/>
      <c r="L6" s="381"/>
    </row>
    <row r="7" spans="1:12">
      <c r="A7" s="444">
        <f t="shared" ref="A7:A20" si="0">A6+1</f>
        <v>2</v>
      </c>
      <c r="B7" s="455" t="s">
        <v>1343</v>
      </c>
      <c r="C7" s="456">
        <f>'WS8-TranFac'!$E$503</f>
        <v>1418477171.8700001</v>
      </c>
      <c r="D7" s="457" t="s">
        <v>1292</v>
      </c>
      <c r="E7" s="456">
        <v>805173862.79999995</v>
      </c>
      <c r="F7" s="457" t="s">
        <v>1289</v>
      </c>
      <c r="G7" s="456">
        <f>152529637+167937303+170713339+352781503+69731078+262772127</f>
        <v>1176464987</v>
      </c>
      <c r="H7" s="457" t="s">
        <v>1285</v>
      </c>
      <c r="I7" s="456">
        <f>560546286-5033104-12362438-276278-12764736</f>
        <v>530109730</v>
      </c>
      <c r="J7" s="457" t="s">
        <v>1273</v>
      </c>
      <c r="K7" s="455">
        <f>C7+E7+G7+I7</f>
        <v>3930225751.6700001</v>
      </c>
      <c r="L7" s="381"/>
    </row>
    <row r="8" spans="1:12">
      <c r="A8" s="444">
        <f t="shared" si="0"/>
        <v>3</v>
      </c>
      <c r="B8" s="455" t="s">
        <v>1342</v>
      </c>
      <c r="C8" s="456">
        <f>'WS8-TranFac'!$I$503</f>
        <v>1351360274.4842072</v>
      </c>
      <c r="D8" s="457" t="s">
        <v>1284</v>
      </c>
      <c r="E8" s="455">
        <f>'WS8-TranFac'!$I$494</f>
        <v>10034426.5875</v>
      </c>
      <c r="F8" s="457" t="s">
        <v>1283</v>
      </c>
      <c r="G8" s="455">
        <f>'WS8-TranFac'!$I$501</f>
        <v>67247253.260000005</v>
      </c>
      <c r="H8" s="457" t="s">
        <v>1282</v>
      </c>
      <c r="I8" s="455">
        <v>0</v>
      </c>
      <c r="J8" s="457"/>
      <c r="K8" s="455">
        <f>C8+E8+G8+I8</f>
        <v>1428641954.3317072</v>
      </c>
      <c r="L8" s="381"/>
    </row>
    <row r="9" spans="1:12">
      <c r="A9" s="444">
        <f t="shared" si="0"/>
        <v>4</v>
      </c>
      <c r="B9" s="455" t="s">
        <v>1341</v>
      </c>
      <c r="C9" s="456">
        <f>'WS8-TranFac'!$G$503</f>
        <v>13555863.331200004</v>
      </c>
      <c r="D9" s="457" t="s">
        <v>1280</v>
      </c>
      <c r="E9" s="455">
        <v>0</v>
      </c>
      <c r="F9" s="457"/>
      <c r="G9" s="456">
        <f>G7-G8</f>
        <v>1109217733.74</v>
      </c>
      <c r="H9" s="457" t="s">
        <v>1340</v>
      </c>
      <c r="I9" s="456">
        <f>I7-I8</f>
        <v>530109730</v>
      </c>
      <c r="J9" s="457" t="s">
        <v>1340</v>
      </c>
      <c r="K9" s="455">
        <f>C9+E9+G9+I9</f>
        <v>1652883327.0711999</v>
      </c>
      <c r="L9" s="381"/>
    </row>
    <row r="10" spans="1:12">
      <c r="A10" s="444">
        <f t="shared" si="0"/>
        <v>5</v>
      </c>
      <c r="B10" s="455" t="s">
        <v>1339</v>
      </c>
      <c r="C10" s="456">
        <f>'WS13-SSCDFac'!$G$41+'WS13-SSCDFac'!$G$48+'WS13-SSCDFac'!$G$53+'WS13-SSCDFac'!$G$97+'WS13-SSCDFac'!$G$130</f>
        <v>13438519.724710001</v>
      </c>
      <c r="D10" s="457" t="s">
        <v>1278</v>
      </c>
      <c r="E10" s="455"/>
      <c r="F10" s="457"/>
      <c r="G10" s="456"/>
      <c r="H10" s="457"/>
      <c r="I10" s="456"/>
      <c r="J10" s="457"/>
      <c r="K10" s="455"/>
      <c r="L10" s="381"/>
    </row>
    <row r="11" spans="1:12">
      <c r="A11" s="444">
        <f t="shared" si="0"/>
        <v>6</v>
      </c>
      <c r="B11" s="455" t="s">
        <v>1338</v>
      </c>
      <c r="C11" s="458">
        <f>C9/C7</f>
        <v>9.5566312944811802E-3</v>
      </c>
      <c r="D11" s="459" t="s">
        <v>1337</v>
      </c>
      <c r="E11" s="458">
        <f>E9/E7</f>
        <v>0</v>
      </c>
      <c r="F11" s="459" t="s">
        <v>1337</v>
      </c>
      <c r="G11" s="458">
        <f>G9/G7</f>
        <v>0.94283956258529944</v>
      </c>
      <c r="H11" s="459" t="s">
        <v>1337</v>
      </c>
      <c r="I11" s="458">
        <f>I9/I7</f>
        <v>1</v>
      </c>
      <c r="J11" s="459" t="s">
        <v>1337</v>
      </c>
      <c r="K11" s="455"/>
      <c r="L11" s="381"/>
    </row>
    <row r="12" spans="1:12">
      <c r="A12" s="444">
        <f t="shared" si="0"/>
        <v>7</v>
      </c>
      <c r="B12" s="455" t="s">
        <v>1336</v>
      </c>
      <c r="C12" s="458">
        <f>C8/C7</f>
        <v>0.95268383678158763</v>
      </c>
      <c r="D12" s="459" t="s">
        <v>1335</v>
      </c>
      <c r="E12" s="458">
        <f>E8/E7</f>
        <v>1.2462434576061851E-2</v>
      </c>
      <c r="F12" s="459" t="s">
        <v>1335</v>
      </c>
      <c r="G12" s="458">
        <f>G8/G7</f>
        <v>5.716043741470056E-2</v>
      </c>
      <c r="H12" s="459" t="s">
        <v>1335</v>
      </c>
      <c r="I12" s="458">
        <f>I8/I7</f>
        <v>0</v>
      </c>
      <c r="J12" s="459" t="s">
        <v>1335</v>
      </c>
      <c r="K12" s="455"/>
      <c r="L12" s="381"/>
    </row>
    <row r="13" spans="1:12">
      <c r="A13" s="444">
        <f t="shared" si="0"/>
        <v>8</v>
      </c>
      <c r="B13" s="455" t="s">
        <v>1334</v>
      </c>
      <c r="C13" s="458">
        <f>C10/C7</f>
        <v>9.4739062363575401E-3</v>
      </c>
      <c r="D13" s="459" t="s">
        <v>1333</v>
      </c>
      <c r="E13" s="458"/>
      <c r="F13" s="459"/>
      <c r="G13" s="458"/>
      <c r="H13" s="459"/>
      <c r="I13" s="458"/>
      <c r="J13" s="459"/>
      <c r="K13" s="455"/>
      <c r="L13" s="381"/>
    </row>
    <row r="14" spans="1:12">
      <c r="A14" s="444">
        <f t="shared" si="0"/>
        <v>9</v>
      </c>
      <c r="B14" s="455" t="s">
        <v>1332</v>
      </c>
      <c r="C14" s="456">
        <f>592635037.67+93127238.49</f>
        <v>685762276.15999997</v>
      </c>
      <c r="D14" s="457" t="s">
        <v>1277</v>
      </c>
      <c r="E14" s="680">
        <f>394281086.89</f>
        <v>394281086.88999999</v>
      </c>
      <c r="F14" s="460" t="s">
        <v>1276</v>
      </c>
      <c r="G14" s="455">
        <f>76278565+100915759+114662499+142004192+35213919+145160657</f>
        <v>614235591</v>
      </c>
      <c r="H14" s="457" t="s">
        <v>1275</v>
      </c>
      <c r="I14" s="456">
        <v>366727469.44999999</v>
      </c>
      <c r="J14" s="457" t="s">
        <v>1290</v>
      </c>
      <c r="K14" s="455">
        <f t="shared" ref="K14:K20" si="1">C14+E14+G14+I14</f>
        <v>2061006423.5</v>
      </c>
      <c r="L14" s="381"/>
    </row>
    <row r="15" spans="1:12">
      <c r="A15" s="444">
        <f t="shared" si="0"/>
        <v>10</v>
      </c>
      <c r="B15" s="455" t="s">
        <v>1331</v>
      </c>
      <c r="C15" s="455">
        <f>C14*C12</f>
        <v>653314636.37218344</v>
      </c>
      <c r="D15" s="457" t="s">
        <v>1330</v>
      </c>
      <c r="E15" s="455">
        <f>E14*E12</f>
        <v>4913702.2499451824</v>
      </c>
      <c r="F15" s="457" t="s">
        <v>1330</v>
      </c>
      <c r="G15" s="455">
        <f>G14*G12</f>
        <v>35109975.057237111</v>
      </c>
      <c r="H15" s="457" t="s">
        <v>1330</v>
      </c>
      <c r="I15" s="455">
        <f>I14*I12</f>
        <v>0</v>
      </c>
      <c r="J15" s="457" t="s">
        <v>1330</v>
      </c>
      <c r="K15" s="455">
        <f t="shared" si="1"/>
        <v>693338313.67936575</v>
      </c>
      <c r="L15" s="381"/>
    </row>
    <row r="16" spans="1:12">
      <c r="A16" s="444">
        <f t="shared" si="0"/>
        <v>11</v>
      </c>
      <c r="B16" s="455" t="s">
        <v>1329</v>
      </c>
      <c r="C16" s="455">
        <f>C14*C$11</f>
        <v>6553577.2289253008</v>
      </c>
      <c r="D16" s="457" t="s">
        <v>1327</v>
      </c>
      <c r="E16" s="455">
        <f>E14*E$11</f>
        <v>0</v>
      </c>
      <c r="F16" s="457" t="s">
        <v>1327</v>
      </c>
      <c r="G16" s="456">
        <f>G14-G15</f>
        <v>579125615.94276285</v>
      </c>
      <c r="H16" s="457" t="s">
        <v>1328</v>
      </c>
      <c r="I16" s="455">
        <f>I11*I14</f>
        <v>366727469.44999999</v>
      </c>
      <c r="J16" s="457" t="s">
        <v>1327</v>
      </c>
      <c r="K16" s="455">
        <f t="shared" si="1"/>
        <v>952406662.62168813</v>
      </c>
      <c r="L16" s="381"/>
    </row>
    <row r="17" spans="1:12">
      <c r="A17" s="444">
        <f t="shared" si="0"/>
        <v>12</v>
      </c>
      <c r="B17" s="461" t="s">
        <v>1326</v>
      </c>
      <c r="C17" s="461">
        <f>C14*C$13</f>
        <v>6496847.5047709653</v>
      </c>
      <c r="D17" s="462"/>
      <c r="E17" s="461"/>
      <c r="F17" s="462"/>
      <c r="G17" s="463"/>
      <c r="H17" s="462"/>
      <c r="I17" s="461"/>
      <c r="J17" s="462"/>
      <c r="K17" s="455">
        <f t="shared" si="1"/>
        <v>6496847.5047709653</v>
      </c>
      <c r="L17" s="381"/>
    </row>
    <row r="18" spans="1:12">
      <c r="A18" s="444">
        <f t="shared" si="0"/>
        <v>13</v>
      </c>
      <c r="B18" s="455" t="s">
        <v>1325</v>
      </c>
      <c r="C18" s="455">
        <f>C8-C15</f>
        <v>698045638.11202371</v>
      </c>
      <c r="D18" s="457" t="s">
        <v>1323</v>
      </c>
      <c r="E18" s="455">
        <f>E8-E15</f>
        <v>5120724.337554818</v>
      </c>
      <c r="F18" s="457" t="s">
        <v>1324</v>
      </c>
      <c r="G18" s="455">
        <f>G8-G15</f>
        <v>32137278.202762894</v>
      </c>
      <c r="H18" s="457" t="s">
        <v>1323</v>
      </c>
      <c r="I18" s="455">
        <f>I8-I15</f>
        <v>0</v>
      </c>
      <c r="J18" s="457" t="s">
        <v>1323</v>
      </c>
      <c r="K18" s="455">
        <f t="shared" si="1"/>
        <v>735303640.65234137</v>
      </c>
      <c r="L18" s="381"/>
    </row>
    <row r="19" spans="1:12">
      <c r="A19" s="444">
        <f t="shared" si="0"/>
        <v>14</v>
      </c>
      <c r="B19" s="455" t="s">
        <v>1322</v>
      </c>
      <c r="C19" s="455">
        <f>C9-C16</f>
        <v>7002286.1022747029</v>
      </c>
      <c r="D19" s="457" t="s">
        <v>1320</v>
      </c>
      <c r="E19" s="455">
        <v>0</v>
      </c>
      <c r="F19" s="457" t="s">
        <v>1321</v>
      </c>
      <c r="G19" s="456">
        <f>G9-G16</f>
        <v>530092117.79723716</v>
      </c>
      <c r="H19" s="457" t="s">
        <v>1320</v>
      </c>
      <c r="I19" s="455">
        <f>I9-I16</f>
        <v>163382260.55000001</v>
      </c>
      <c r="J19" s="457" t="s">
        <v>1320</v>
      </c>
      <c r="K19" s="455">
        <f t="shared" si="1"/>
        <v>700476664.44951177</v>
      </c>
      <c r="L19" s="381"/>
    </row>
    <row r="20" spans="1:12">
      <c r="A20" s="444">
        <f t="shared" si="0"/>
        <v>15</v>
      </c>
      <c r="B20" s="455" t="s">
        <v>1319</v>
      </c>
      <c r="C20" s="455">
        <f>C10-C17</f>
        <v>6941672.2199390354</v>
      </c>
      <c r="D20" s="457" t="s">
        <v>1318</v>
      </c>
      <c r="E20" s="455"/>
      <c r="F20" s="457"/>
      <c r="G20" s="456"/>
      <c r="H20" s="457"/>
      <c r="I20" s="455"/>
      <c r="J20" s="457"/>
      <c r="K20" s="455">
        <f t="shared" si="1"/>
        <v>6941672.2199390354</v>
      </c>
      <c r="L20" s="381"/>
    </row>
    <row r="21" spans="1:12">
      <c r="A21" s="444">
        <f>A19+1</f>
        <v>15</v>
      </c>
      <c r="B21" s="455" t="s">
        <v>2419</v>
      </c>
      <c r="C21" s="455"/>
      <c r="D21" s="455"/>
      <c r="E21" s="455"/>
      <c r="F21" s="455"/>
      <c r="G21" s="455"/>
      <c r="H21" s="455"/>
      <c r="I21" s="455"/>
      <c r="J21" s="455"/>
      <c r="K21" s="455"/>
      <c r="L21" s="381"/>
    </row>
    <row r="22" spans="1:12">
      <c r="A22" s="444">
        <f t="shared" ref="A22:A33" si="2">A21+1</f>
        <v>16</v>
      </c>
      <c r="B22" s="464" t="s">
        <v>1317</v>
      </c>
      <c r="C22" s="455"/>
      <c r="D22" s="455"/>
      <c r="E22" s="455"/>
      <c r="F22" s="455"/>
      <c r="G22" s="455"/>
      <c r="H22" s="455"/>
      <c r="I22" s="455"/>
      <c r="J22" s="455"/>
      <c r="K22" s="455"/>
      <c r="L22" s="381"/>
    </row>
    <row r="23" spans="1:12">
      <c r="A23" s="444">
        <f t="shared" si="2"/>
        <v>17</v>
      </c>
      <c r="B23" s="455" t="s">
        <v>1316</v>
      </c>
      <c r="C23" s="455"/>
      <c r="D23" s="455"/>
      <c r="E23" s="455"/>
      <c r="F23" s="455"/>
      <c r="G23" s="455"/>
      <c r="H23" s="455"/>
      <c r="I23" s="455"/>
      <c r="J23" s="455"/>
      <c r="K23" s="455"/>
      <c r="L23" s="381"/>
    </row>
    <row r="24" spans="1:12">
      <c r="A24" s="444">
        <f t="shared" si="2"/>
        <v>18</v>
      </c>
      <c r="B24" s="455" t="s">
        <v>2421</v>
      </c>
      <c r="C24" s="455"/>
      <c r="D24" s="455"/>
      <c r="E24" s="455"/>
      <c r="F24" s="455"/>
      <c r="G24" s="455"/>
      <c r="H24" s="455"/>
      <c r="I24" s="455"/>
      <c r="J24" s="455"/>
      <c r="K24" s="455"/>
      <c r="L24" s="381"/>
    </row>
    <row r="25" spans="1:12">
      <c r="A25" s="444">
        <f t="shared" si="2"/>
        <v>19</v>
      </c>
      <c r="B25" s="455" t="s">
        <v>2420</v>
      </c>
      <c r="C25" s="455"/>
      <c r="D25" s="455"/>
      <c r="E25" s="455"/>
      <c r="F25" s="455"/>
      <c r="G25" s="455"/>
      <c r="H25" s="455"/>
      <c r="I25" s="455"/>
      <c r="J25" s="455"/>
      <c r="K25" s="465"/>
      <c r="L25" s="381"/>
    </row>
    <row r="26" spans="1:12">
      <c r="A26" s="444">
        <f t="shared" si="2"/>
        <v>20</v>
      </c>
      <c r="B26" s="455" t="s">
        <v>2422</v>
      </c>
      <c r="C26" s="455"/>
      <c r="D26" s="455"/>
      <c r="E26" s="455"/>
      <c r="F26" s="455"/>
      <c r="G26" s="455"/>
      <c r="H26" s="455"/>
      <c r="I26" s="455"/>
      <c r="J26" s="455"/>
      <c r="K26" s="455"/>
      <c r="L26" s="381"/>
    </row>
    <row r="27" spans="1:12">
      <c r="A27" s="444">
        <f t="shared" si="2"/>
        <v>21</v>
      </c>
      <c r="B27" s="455" t="s">
        <v>2423</v>
      </c>
      <c r="C27" s="455"/>
      <c r="D27" s="455"/>
      <c r="E27" s="455"/>
      <c r="F27" s="455"/>
      <c r="G27" s="455"/>
      <c r="H27" s="455"/>
      <c r="I27" s="455"/>
      <c r="J27" s="455"/>
      <c r="K27" s="455"/>
      <c r="L27" s="381"/>
    </row>
    <row r="28" spans="1:12">
      <c r="A28" s="444">
        <f t="shared" si="2"/>
        <v>22</v>
      </c>
      <c r="B28" s="356" t="s">
        <v>1315</v>
      </c>
      <c r="C28" s="455"/>
      <c r="D28" s="455"/>
      <c r="E28" s="455"/>
      <c r="F28" s="455"/>
      <c r="G28" s="455"/>
      <c r="H28" s="455"/>
      <c r="I28" s="455"/>
      <c r="J28" s="455"/>
      <c r="K28" s="455"/>
      <c r="L28" s="381"/>
    </row>
    <row r="29" spans="1:12">
      <c r="A29" s="444">
        <f t="shared" si="2"/>
        <v>23</v>
      </c>
      <c r="B29" s="464" t="s">
        <v>1314</v>
      </c>
      <c r="C29" s="455"/>
      <c r="D29" s="455"/>
      <c r="E29" s="455"/>
      <c r="F29" s="455"/>
      <c r="G29" s="455"/>
      <c r="H29" s="455"/>
      <c r="I29" s="455"/>
      <c r="J29" s="455"/>
      <c r="K29" s="455"/>
      <c r="L29" s="381"/>
    </row>
    <row r="30" spans="1:12">
      <c r="A30" s="444">
        <f t="shared" si="2"/>
        <v>24</v>
      </c>
      <c r="B30" s="464" t="s">
        <v>1313</v>
      </c>
      <c r="C30" s="455"/>
      <c r="D30" s="455"/>
      <c r="E30" s="455"/>
      <c r="F30" s="455"/>
      <c r="G30" s="455"/>
      <c r="H30" s="455"/>
      <c r="I30" s="455"/>
      <c r="J30" s="455"/>
      <c r="K30" s="455"/>
      <c r="L30" s="381"/>
    </row>
    <row r="31" spans="1:12">
      <c r="A31" s="444">
        <f t="shared" si="2"/>
        <v>25</v>
      </c>
      <c r="B31" s="455" t="s">
        <v>1312</v>
      </c>
      <c r="C31" s="455"/>
      <c r="D31" s="455"/>
      <c r="E31" s="455"/>
      <c r="F31" s="455"/>
      <c r="G31" s="455"/>
      <c r="H31" s="455"/>
      <c r="I31" s="455"/>
      <c r="J31" s="455"/>
      <c r="K31" s="455"/>
      <c r="L31" s="381"/>
    </row>
    <row r="32" spans="1:12">
      <c r="A32" s="444">
        <f t="shared" si="2"/>
        <v>26</v>
      </c>
      <c r="B32" s="455" t="s">
        <v>1311</v>
      </c>
      <c r="C32" s="455"/>
      <c r="D32" s="455"/>
      <c r="E32" s="455"/>
      <c r="F32" s="455"/>
      <c r="G32" s="455"/>
      <c r="H32" s="455"/>
      <c r="I32" s="455"/>
      <c r="J32" s="455"/>
      <c r="K32" s="455"/>
      <c r="L32" s="381"/>
    </row>
    <row r="33" spans="1:12" ht="13.5" thickBot="1">
      <c r="A33" s="448">
        <f t="shared" si="2"/>
        <v>27</v>
      </c>
      <c r="B33" s="466" t="s">
        <v>2522</v>
      </c>
      <c r="C33" s="466"/>
      <c r="D33" s="466"/>
      <c r="E33" s="466"/>
      <c r="F33" s="466"/>
      <c r="G33" s="466"/>
      <c r="H33" s="466"/>
      <c r="I33" s="466"/>
      <c r="J33" s="466"/>
      <c r="K33" s="466"/>
      <c r="L33" s="383"/>
    </row>
    <row r="34" spans="1:12">
      <c r="A34" s="354" t="str">
        <f>A1</f>
        <v>WAPA-UGP 2018 Rate True-up Calculation</v>
      </c>
      <c r="B34" s="443"/>
      <c r="C34" s="355"/>
      <c r="D34" s="355"/>
      <c r="E34" s="355"/>
      <c r="F34" s="355"/>
      <c r="G34" s="355"/>
      <c r="H34" s="355"/>
      <c r="I34" s="355"/>
      <c r="J34" s="355"/>
      <c r="K34" s="355"/>
      <c r="L34" s="380"/>
    </row>
    <row r="35" spans="1:12">
      <c r="A35" s="444"/>
      <c r="B35" s="445"/>
      <c r="C35" s="445" t="s">
        <v>1243</v>
      </c>
      <c r="D35" s="446"/>
      <c r="E35" s="445" t="s">
        <v>1295</v>
      </c>
      <c r="F35" s="446"/>
      <c r="G35" s="445" t="s">
        <v>957</v>
      </c>
      <c r="H35" s="447"/>
      <c r="I35" s="445" t="s">
        <v>1241</v>
      </c>
      <c r="J35" s="447"/>
      <c r="K35" s="445" t="s">
        <v>961</v>
      </c>
      <c r="L35" s="381"/>
    </row>
    <row r="36" spans="1:12" s="349" customFormat="1" ht="13.5" thickBot="1">
      <c r="A36" s="448" t="s">
        <v>0</v>
      </c>
      <c r="B36" s="362">
        <v>-1</v>
      </c>
      <c r="C36" s="449">
        <v>-2</v>
      </c>
      <c r="D36" s="450"/>
      <c r="E36" s="449">
        <v>-3</v>
      </c>
      <c r="F36" s="450"/>
      <c r="G36" s="362">
        <v>-4</v>
      </c>
      <c r="H36" s="451"/>
      <c r="I36" s="362">
        <v>-5</v>
      </c>
      <c r="J36" s="451"/>
      <c r="K36" s="362">
        <v>-6</v>
      </c>
      <c r="L36" s="452"/>
    </row>
    <row r="37" spans="1:12">
      <c r="A37" s="444">
        <v>1</v>
      </c>
      <c r="B37" s="453" t="s">
        <v>1310</v>
      </c>
      <c r="C37" s="454"/>
      <c r="D37" s="454"/>
      <c r="E37" s="454"/>
      <c r="F37" s="454"/>
      <c r="G37" s="454"/>
      <c r="H37" s="454"/>
      <c r="I37" s="454"/>
      <c r="J37" s="454"/>
      <c r="K37" s="454"/>
      <c r="L37" s="381"/>
    </row>
    <row r="38" spans="1:12">
      <c r="A38" s="444">
        <f>A37+1</f>
        <v>2</v>
      </c>
      <c r="B38" s="461" t="s">
        <v>1309</v>
      </c>
      <c r="C38" s="461">
        <f>24747584.55+7150216.58</f>
        <v>31897801.130000003</v>
      </c>
      <c r="D38" s="462" t="s">
        <v>1292</v>
      </c>
      <c r="E38" s="467">
        <f>19115399.03</f>
        <v>19115399.030000001</v>
      </c>
      <c r="F38" s="468" t="s">
        <v>1289</v>
      </c>
      <c r="G38" s="463">
        <f>2139553+1456929+6120290+1165689+2501715+1734162</f>
        <v>15118338</v>
      </c>
      <c r="H38" s="468" t="s">
        <v>1285</v>
      </c>
      <c r="I38" s="467">
        <v>3224032.68</v>
      </c>
      <c r="J38" s="468" t="s">
        <v>1284</v>
      </c>
      <c r="K38" s="461">
        <f>SUM(C38:I38)</f>
        <v>69355570.840000004</v>
      </c>
      <c r="L38" s="469"/>
    </row>
    <row r="39" spans="1:12">
      <c r="A39" s="444">
        <f>A38+1</f>
        <v>3</v>
      </c>
      <c r="B39" s="455" t="s">
        <v>1308</v>
      </c>
      <c r="C39" s="455">
        <f>C38*C12</f>
        <v>30388519.565424465</v>
      </c>
      <c r="D39" s="457"/>
      <c r="E39" s="455">
        <f>E38*E12</f>
        <v>238224.40980669117</v>
      </c>
      <c r="F39" s="457"/>
      <c r="G39" s="430">
        <f>G38*G12</f>
        <v>864170.81306328927</v>
      </c>
      <c r="H39" s="457"/>
      <c r="I39" s="455">
        <f>I38*I12</f>
        <v>0</v>
      </c>
      <c r="J39" s="457"/>
      <c r="K39" s="455">
        <f>SUM(C39:I39)</f>
        <v>31490914.788294446</v>
      </c>
      <c r="L39" s="469"/>
    </row>
    <row r="40" spans="1:12">
      <c r="A40" s="444">
        <f>A39+1</f>
        <v>4</v>
      </c>
      <c r="B40" s="455" t="s">
        <v>1307</v>
      </c>
      <c r="C40" s="455">
        <f>C38*C11</f>
        <v>304835.5245040952</v>
      </c>
      <c r="D40" s="457"/>
      <c r="E40" s="455">
        <v>0</v>
      </c>
      <c r="F40" s="457"/>
      <c r="G40" s="456">
        <f>G38-G39</f>
        <v>14254167.18693671</v>
      </c>
      <c r="H40" s="457"/>
      <c r="I40" s="455">
        <f>I38*I11</f>
        <v>3224032.68</v>
      </c>
      <c r="J40" s="457"/>
      <c r="K40" s="455">
        <f>SUM(C40:I40)</f>
        <v>17783035.391440805</v>
      </c>
      <c r="L40" s="469"/>
    </row>
    <row r="41" spans="1:12">
      <c r="A41" s="444">
        <f>A40+1</f>
        <v>5</v>
      </c>
      <c r="B41" s="455" t="s">
        <v>1306</v>
      </c>
      <c r="C41" s="455">
        <f>C38*C13</f>
        <v>302196.77705159964</v>
      </c>
      <c r="D41" s="457"/>
      <c r="E41" s="455"/>
      <c r="F41" s="457"/>
      <c r="G41" s="456"/>
      <c r="H41" s="457"/>
      <c r="I41" s="455"/>
      <c r="J41" s="457"/>
      <c r="K41" s="455">
        <f>SUM(C41:I41)</f>
        <v>302196.77705159964</v>
      </c>
      <c r="L41" s="469"/>
    </row>
    <row r="42" spans="1:12">
      <c r="A42" s="444">
        <f>A40+1</f>
        <v>5</v>
      </c>
      <c r="B42" s="470" t="s">
        <v>1305</v>
      </c>
      <c r="C42" s="455"/>
      <c r="D42" s="455"/>
      <c r="E42" s="455"/>
      <c r="F42" s="455"/>
      <c r="G42" s="455"/>
      <c r="H42" s="455"/>
      <c r="I42" s="455"/>
      <c r="J42" s="455"/>
      <c r="K42" s="455"/>
      <c r="L42" s="469"/>
    </row>
    <row r="43" spans="1:12">
      <c r="A43" s="444">
        <f t="shared" ref="A43:A51" si="3">A42+1</f>
        <v>6</v>
      </c>
      <c r="B43" s="470" t="s">
        <v>1304</v>
      </c>
      <c r="C43" s="455"/>
      <c r="D43" s="455"/>
      <c r="E43" s="455"/>
      <c r="F43" s="455"/>
      <c r="G43" s="455"/>
      <c r="H43" s="455"/>
      <c r="I43" s="455"/>
      <c r="J43" s="455"/>
      <c r="K43" s="455"/>
      <c r="L43" s="469"/>
    </row>
    <row r="44" spans="1:12">
      <c r="A44" s="444">
        <f t="shared" si="3"/>
        <v>7</v>
      </c>
      <c r="B44" s="455" t="s">
        <v>1303</v>
      </c>
      <c r="C44" s="455"/>
      <c r="D44" s="455"/>
      <c r="E44" s="455"/>
      <c r="F44" s="455"/>
      <c r="G44" s="455"/>
      <c r="H44" s="455"/>
      <c r="I44" s="455"/>
      <c r="J44" s="455"/>
      <c r="K44" s="455"/>
      <c r="L44" s="469"/>
    </row>
    <row r="45" spans="1:12">
      <c r="A45" s="444">
        <f t="shared" si="3"/>
        <v>8</v>
      </c>
      <c r="B45" s="455" t="s">
        <v>1302</v>
      </c>
      <c r="C45" s="455"/>
      <c r="D45" s="455"/>
      <c r="E45" s="455"/>
      <c r="F45" s="455"/>
      <c r="G45" s="455"/>
      <c r="H45" s="455"/>
      <c r="I45" s="455"/>
      <c r="J45" s="455"/>
      <c r="K45" s="455"/>
      <c r="L45" s="469"/>
    </row>
    <row r="46" spans="1:12">
      <c r="A46" s="444">
        <f t="shared" si="3"/>
        <v>9</v>
      </c>
      <c r="B46" s="470" t="s">
        <v>1301</v>
      </c>
      <c r="C46" s="455"/>
      <c r="D46" s="455"/>
      <c r="E46" s="455"/>
      <c r="F46" s="455"/>
      <c r="G46" s="455"/>
      <c r="H46" s="455"/>
      <c r="I46" s="455"/>
      <c r="J46" s="455"/>
      <c r="K46" s="455"/>
      <c r="L46" s="469"/>
    </row>
    <row r="47" spans="1:12">
      <c r="A47" s="444">
        <f t="shared" si="3"/>
        <v>10</v>
      </c>
      <c r="B47" s="470" t="s">
        <v>1300</v>
      </c>
      <c r="C47" s="455"/>
      <c r="D47" s="455"/>
      <c r="E47" s="455"/>
      <c r="F47" s="455"/>
      <c r="G47" s="455"/>
      <c r="H47" s="455"/>
      <c r="I47" s="455"/>
      <c r="J47" s="455"/>
      <c r="K47" s="455"/>
      <c r="L47" s="469"/>
    </row>
    <row r="48" spans="1:12">
      <c r="A48" s="444">
        <f t="shared" si="3"/>
        <v>11</v>
      </c>
      <c r="B48" s="470" t="s">
        <v>1299</v>
      </c>
      <c r="C48" s="455"/>
      <c r="D48" s="455"/>
      <c r="E48" s="455"/>
      <c r="F48" s="455"/>
      <c r="G48" s="455"/>
      <c r="H48" s="455"/>
      <c r="I48" s="455"/>
      <c r="J48" s="455"/>
      <c r="K48" s="455"/>
      <c r="L48" s="469"/>
    </row>
    <row r="49" spans="1:12">
      <c r="A49" s="444">
        <f t="shared" si="3"/>
        <v>12</v>
      </c>
      <c r="B49" s="470" t="s">
        <v>1298</v>
      </c>
      <c r="C49" s="455"/>
      <c r="D49" s="455"/>
      <c r="E49" s="455"/>
      <c r="F49" s="455"/>
      <c r="G49" s="455"/>
      <c r="H49" s="455"/>
      <c r="I49" s="455"/>
      <c r="J49" s="455"/>
      <c r="K49" s="455"/>
      <c r="L49" s="469"/>
    </row>
    <row r="50" spans="1:12">
      <c r="A50" s="444">
        <f t="shared" si="3"/>
        <v>13</v>
      </c>
      <c r="B50" s="470" t="s">
        <v>1297</v>
      </c>
      <c r="C50" s="455"/>
      <c r="D50" s="455"/>
      <c r="E50" s="455"/>
      <c r="F50" s="455"/>
      <c r="G50" s="455"/>
      <c r="H50" s="455"/>
      <c r="I50" s="455"/>
      <c r="J50" s="455"/>
      <c r="K50" s="455"/>
      <c r="L50" s="469"/>
    </row>
    <row r="51" spans="1:12" ht="13.5" thickBot="1">
      <c r="A51" s="448">
        <f t="shared" si="3"/>
        <v>14</v>
      </c>
      <c r="B51" s="471" t="s">
        <v>1296</v>
      </c>
      <c r="C51" s="466"/>
      <c r="D51" s="466"/>
      <c r="E51" s="466"/>
      <c r="F51" s="466"/>
      <c r="G51" s="466"/>
      <c r="H51" s="466"/>
      <c r="I51" s="466"/>
      <c r="J51" s="466"/>
      <c r="K51" s="466"/>
      <c r="L51" s="472"/>
    </row>
    <row r="52" spans="1:12">
      <c r="A52" s="354" t="str">
        <f>A1</f>
        <v>WAPA-UGP 2018 Rate True-up Calculation</v>
      </c>
      <c r="B52" s="443"/>
      <c r="C52" s="355"/>
      <c r="D52" s="355"/>
      <c r="E52" s="355"/>
      <c r="F52" s="355"/>
      <c r="G52" s="355"/>
      <c r="H52" s="355"/>
      <c r="I52" s="355"/>
      <c r="J52" s="355"/>
      <c r="K52" s="355"/>
      <c r="L52" s="380"/>
    </row>
    <row r="53" spans="1:12">
      <c r="A53" s="444"/>
      <c r="B53" s="445"/>
      <c r="C53" s="445" t="s">
        <v>1243</v>
      </c>
      <c r="D53" s="446"/>
      <c r="E53" s="445" t="s">
        <v>1295</v>
      </c>
      <c r="F53" s="446"/>
      <c r="G53" s="445" t="s">
        <v>957</v>
      </c>
      <c r="H53" s="447"/>
      <c r="I53" s="445" t="s">
        <v>1241</v>
      </c>
      <c r="J53" s="447"/>
      <c r="K53" s="445" t="s">
        <v>961</v>
      </c>
      <c r="L53" s="381"/>
    </row>
    <row r="54" spans="1:12" s="349" customFormat="1" ht="13.5" thickBot="1">
      <c r="A54" s="448" t="s">
        <v>0</v>
      </c>
      <c r="B54" s="362">
        <v>-1</v>
      </c>
      <c r="C54" s="449">
        <v>-2</v>
      </c>
      <c r="D54" s="450"/>
      <c r="E54" s="449">
        <v>-3</v>
      </c>
      <c r="F54" s="450"/>
      <c r="G54" s="362">
        <v>-4</v>
      </c>
      <c r="H54" s="451"/>
      <c r="I54" s="362">
        <v>-5</v>
      </c>
      <c r="J54" s="451"/>
      <c r="K54" s="362">
        <v>-6</v>
      </c>
      <c r="L54" s="452"/>
    </row>
    <row r="55" spans="1:12">
      <c r="A55" s="444">
        <v>1</v>
      </c>
      <c r="B55" s="453" t="s">
        <v>1294</v>
      </c>
      <c r="C55" s="454"/>
      <c r="D55" s="454"/>
      <c r="E55" s="454"/>
      <c r="F55" s="454"/>
      <c r="G55" s="454"/>
      <c r="H55" s="454"/>
      <c r="I55" s="454"/>
      <c r="J55" s="454"/>
      <c r="K55" s="454"/>
      <c r="L55" s="469"/>
    </row>
    <row r="56" spans="1:12">
      <c r="A56" s="444">
        <f t="shared" ref="A56:A77" si="4">A55+1</f>
        <v>2</v>
      </c>
      <c r="B56" s="473" t="s">
        <v>1293</v>
      </c>
      <c r="C56" s="455"/>
      <c r="D56" s="455"/>
      <c r="E56" s="455"/>
      <c r="F56" s="455"/>
      <c r="G56" s="455"/>
      <c r="H56" s="455"/>
      <c r="I56" s="455"/>
      <c r="J56" s="455"/>
      <c r="K56" s="455"/>
      <c r="L56" s="469"/>
    </row>
    <row r="57" spans="1:12">
      <c r="A57" s="444">
        <f t="shared" si="4"/>
        <v>3</v>
      </c>
      <c r="B57" s="455" t="s">
        <v>2332</v>
      </c>
      <c r="C57" s="455">
        <f>363576829+71842675+602173+339381810+112882562+2582544</f>
        <v>890868593</v>
      </c>
      <c r="D57" s="457" t="s">
        <v>1292</v>
      </c>
      <c r="E57" s="455">
        <f>262341710+8786658+141709127+1660014</f>
        <v>414497509</v>
      </c>
      <c r="F57" s="457" t="s">
        <v>1292</v>
      </c>
      <c r="G57" s="455">
        <f>521555771+107661984</f>
        <v>629217755</v>
      </c>
      <c r="H57" s="457" t="s">
        <v>1292</v>
      </c>
      <c r="I57" s="455">
        <f>154441912+65126585</f>
        <v>219568497</v>
      </c>
      <c r="J57" s="457" t="s">
        <v>1292</v>
      </c>
      <c r="K57" s="455">
        <f>SUM(C57:I57)</f>
        <v>2154152354</v>
      </c>
      <c r="L57" s="469"/>
    </row>
    <row r="58" spans="1:12">
      <c r="A58" s="444">
        <f t="shared" si="4"/>
        <v>4</v>
      </c>
      <c r="B58" s="473" t="s">
        <v>1291</v>
      </c>
      <c r="C58" s="455"/>
      <c r="D58" s="457"/>
      <c r="E58" s="455"/>
      <c r="F58" s="457"/>
      <c r="G58" s="455"/>
      <c r="H58" s="457"/>
      <c r="I58" s="455"/>
      <c r="J58" s="457"/>
      <c r="K58" s="455"/>
      <c r="L58" s="469"/>
    </row>
    <row r="59" spans="1:12">
      <c r="A59" s="444">
        <f t="shared" si="4"/>
        <v>5</v>
      </c>
      <c r="B59" s="455" t="s">
        <v>2333</v>
      </c>
      <c r="C59" s="455">
        <f>18993530+15664221+1517427-1303614+2821.86+4578197+5730700-348643-181473.76</f>
        <v>44653166.100000001</v>
      </c>
      <c r="D59" s="457" t="s">
        <v>1290</v>
      </c>
      <c r="E59" s="455">
        <f>19197702+8321295-902450.64</f>
        <v>26616546.359999999</v>
      </c>
      <c r="F59" s="457" t="s">
        <v>1290</v>
      </c>
      <c r="G59" s="455">
        <f>18849555+3010530-1004292</f>
        <v>20855793</v>
      </c>
      <c r="H59" s="457" t="s">
        <v>1289</v>
      </c>
      <c r="I59" s="455">
        <f>5448769+3290371-371406</f>
        <v>8367734</v>
      </c>
      <c r="J59" s="457" t="s">
        <v>1289</v>
      </c>
      <c r="K59" s="455">
        <f>SUM(C59:I59)</f>
        <v>100493239.46000001</v>
      </c>
      <c r="L59" s="469"/>
    </row>
    <row r="60" spans="1:12">
      <c r="A60" s="444">
        <f t="shared" si="4"/>
        <v>6</v>
      </c>
      <c r="B60" s="455" t="s">
        <v>1288</v>
      </c>
      <c r="C60" s="474">
        <f>C59/C57</f>
        <v>5.0123179165661752E-2</v>
      </c>
      <c r="D60" s="475" t="s">
        <v>1287</v>
      </c>
      <c r="E60" s="474">
        <f>E59/E57</f>
        <v>6.421400800263917E-2</v>
      </c>
      <c r="F60" s="475" t="s">
        <v>1287</v>
      </c>
      <c r="G60" s="474">
        <f>G59/G57</f>
        <v>3.3145588843086604E-2</v>
      </c>
      <c r="H60" s="475" t="s">
        <v>1287</v>
      </c>
      <c r="I60" s="474">
        <f>I59/I57</f>
        <v>3.810990244197008E-2</v>
      </c>
      <c r="J60" s="475" t="s">
        <v>1287</v>
      </c>
      <c r="K60" s="476"/>
      <c r="L60" s="469"/>
    </row>
    <row r="61" spans="1:12">
      <c r="A61" s="444">
        <f t="shared" si="4"/>
        <v>7</v>
      </c>
      <c r="B61" s="455" t="s">
        <v>1286</v>
      </c>
      <c r="C61" s="477">
        <f>C8/(C8+E8+G8)</f>
        <v>0.9459054946460318</v>
      </c>
      <c r="D61" s="459" t="s">
        <v>1285</v>
      </c>
      <c r="E61" s="477">
        <f>E8/(C8+E8+G8)</f>
        <v>7.0237518624419251E-3</v>
      </c>
      <c r="F61" s="459" t="s">
        <v>1284</v>
      </c>
      <c r="G61" s="477">
        <f>G8/(C8+E8+G8)</f>
        <v>4.7070753491526188E-2</v>
      </c>
      <c r="H61" s="459" t="s">
        <v>1283</v>
      </c>
      <c r="I61" s="477">
        <v>0</v>
      </c>
      <c r="J61" s="459" t="s">
        <v>1282</v>
      </c>
      <c r="K61" s="476"/>
      <c r="L61" s="469"/>
    </row>
    <row r="62" spans="1:12">
      <c r="A62" s="444">
        <f t="shared" si="4"/>
        <v>8</v>
      </c>
      <c r="B62" s="455" t="s">
        <v>1281</v>
      </c>
      <c r="C62" s="476"/>
      <c r="D62" s="475"/>
      <c r="E62" s="476"/>
      <c r="F62" s="475"/>
      <c r="G62" s="476"/>
      <c r="H62" s="475"/>
      <c r="I62" s="476"/>
      <c r="J62" s="475"/>
      <c r="K62" s="474">
        <f>C60*C61+E60*E61+G60*G61+I60*I61</f>
        <v>4.942300168199476E-2</v>
      </c>
      <c r="L62" s="478" t="s">
        <v>1280</v>
      </c>
    </row>
    <row r="63" spans="1:12">
      <c r="A63" s="444">
        <f t="shared" si="4"/>
        <v>9</v>
      </c>
      <c r="B63" s="455" t="s">
        <v>1279</v>
      </c>
      <c r="C63" s="477">
        <f>C9/(C9+E9+G9+I9)</f>
        <v>8.2013431372800517E-3</v>
      </c>
      <c r="D63" s="459" t="s">
        <v>1278</v>
      </c>
      <c r="E63" s="477">
        <v>0</v>
      </c>
      <c r="F63" s="475" t="s">
        <v>1277</v>
      </c>
      <c r="G63" s="477">
        <f>G9/(C9+G9+I9)</f>
        <v>0.67108047832115325</v>
      </c>
      <c r="H63" s="459" t="s">
        <v>1276</v>
      </c>
      <c r="I63" s="477">
        <f>I9/(C9+G9+I9)</f>
        <v>0.32071817854156676</v>
      </c>
      <c r="J63" s="459" t="s">
        <v>1275</v>
      </c>
      <c r="K63" s="476"/>
      <c r="L63" s="469"/>
    </row>
    <row r="64" spans="1:12">
      <c r="A64" s="444">
        <f t="shared" si="4"/>
        <v>10</v>
      </c>
      <c r="B64" s="455" t="s">
        <v>1274</v>
      </c>
      <c r="C64" s="476"/>
      <c r="D64" s="475"/>
      <c r="E64" s="476"/>
      <c r="F64" s="476"/>
      <c r="G64" s="479"/>
      <c r="H64" s="479"/>
      <c r="I64" s="479"/>
      <c r="J64" s="475"/>
      <c r="K64" s="474">
        <f>C60*C63+E60*E63+G60*G63+I60*I63</f>
        <v>3.4876973502109249E-2</v>
      </c>
      <c r="L64" s="478" t="s">
        <v>1273</v>
      </c>
    </row>
    <row r="65" spans="1:12">
      <c r="A65" s="444">
        <f t="shared" si="4"/>
        <v>11</v>
      </c>
      <c r="B65" s="455" t="s">
        <v>1272</v>
      </c>
      <c r="C65" s="455"/>
      <c r="D65" s="455"/>
      <c r="E65" s="455"/>
      <c r="F65" s="455"/>
      <c r="G65" s="455"/>
      <c r="H65" s="455"/>
      <c r="I65" s="455"/>
      <c r="J65" s="455"/>
      <c r="K65" s="455"/>
      <c r="L65" s="469"/>
    </row>
    <row r="66" spans="1:12">
      <c r="A66" s="444">
        <f t="shared" si="4"/>
        <v>12</v>
      </c>
      <c r="B66" s="455" t="s">
        <v>1271</v>
      </c>
      <c r="C66" s="455"/>
      <c r="D66" s="455"/>
      <c r="E66" s="455"/>
      <c r="F66" s="455"/>
      <c r="G66" s="455"/>
      <c r="H66" s="455"/>
      <c r="I66" s="455"/>
      <c r="J66" s="455"/>
      <c r="K66" s="455"/>
      <c r="L66" s="469"/>
    </row>
    <row r="67" spans="1:12">
      <c r="A67" s="444">
        <f t="shared" si="4"/>
        <v>13</v>
      </c>
      <c r="B67" s="455" t="s">
        <v>1270</v>
      </c>
      <c r="C67" s="455"/>
      <c r="D67" s="455"/>
      <c r="E67" s="455"/>
      <c r="F67" s="455"/>
      <c r="G67" s="455"/>
      <c r="H67" s="455"/>
      <c r="I67" s="455"/>
      <c r="J67" s="455"/>
      <c r="K67" s="455"/>
      <c r="L67" s="469"/>
    </row>
    <row r="68" spans="1:12">
      <c r="A68" s="444">
        <f t="shared" si="4"/>
        <v>14</v>
      </c>
      <c r="B68" s="455" t="s">
        <v>1269</v>
      </c>
      <c r="C68" s="455"/>
      <c r="D68" s="455"/>
      <c r="E68" s="455"/>
      <c r="F68" s="455"/>
      <c r="G68" s="455"/>
      <c r="H68" s="455"/>
      <c r="I68" s="455"/>
      <c r="J68" s="455"/>
      <c r="K68" s="455"/>
      <c r="L68" s="469"/>
    </row>
    <row r="69" spans="1:12">
      <c r="A69" s="444">
        <f t="shared" si="4"/>
        <v>15</v>
      </c>
      <c r="B69" s="455" t="s">
        <v>1268</v>
      </c>
      <c r="C69" s="455"/>
      <c r="D69" s="455"/>
      <c r="E69" s="455"/>
      <c r="F69" s="455"/>
      <c r="G69" s="455"/>
      <c r="H69" s="455"/>
      <c r="I69" s="455"/>
      <c r="J69" s="455"/>
      <c r="K69" s="455"/>
      <c r="L69" s="469"/>
    </row>
    <row r="70" spans="1:12">
      <c r="A70" s="444">
        <f t="shared" si="4"/>
        <v>16</v>
      </c>
      <c r="B70" s="455" t="s">
        <v>1267</v>
      </c>
      <c r="C70" s="455"/>
      <c r="D70" s="455"/>
      <c r="E70" s="455"/>
      <c r="F70" s="455"/>
      <c r="G70" s="455"/>
      <c r="H70" s="455"/>
      <c r="I70" s="455"/>
      <c r="J70" s="455"/>
      <c r="K70" s="455"/>
      <c r="L70" s="469"/>
    </row>
    <row r="71" spans="1:12">
      <c r="A71" s="444">
        <f t="shared" si="4"/>
        <v>17</v>
      </c>
      <c r="B71" s="455" t="s">
        <v>1266</v>
      </c>
      <c r="C71" s="455"/>
      <c r="D71" s="455"/>
      <c r="E71" s="455"/>
      <c r="F71" s="455"/>
      <c r="G71" s="455"/>
      <c r="H71" s="455"/>
      <c r="I71" s="455"/>
      <c r="J71" s="455"/>
      <c r="K71" s="455"/>
      <c r="L71" s="469"/>
    </row>
    <row r="72" spans="1:12">
      <c r="A72" s="444">
        <f t="shared" si="4"/>
        <v>18</v>
      </c>
      <c r="B72" s="455" t="s">
        <v>1265</v>
      </c>
      <c r="C72" s="455"/>
      <c r="D72" s="455"/>
      <c r="E72" s="455"/>
      <c r="F72" s="455"/>
      <c r="G72" s="455"/>
      <c r="H72" s="455"/>
      <c r="I72" s="455"/>
      <c r="J72" s="455"/>
      <c r="K72" s="455"/>
      <c r="L72" s="469"/>
    </row>
    <row r="73" spans="1:12">
      <c r="A73" s="444">
        <f t="shared" si="4"/>
        <v>19</v>
      </c>
      <c r="B73" s="455" t="s">
        <v>1264</v>
      </c>
      <c r="C73" s="455"/>
      <c r="D73" s="455"/>
      <c r="E73" s="455"/>
      <c r="F73" s="455"/>
      <c r="G73" s="455"/>
      <c r="H73" s="455"/>
      <c r="I73" s="455"/>
      <c r="J73" s="455"/>
      <c r="K73" s="455"/>
      <c r="L73" s="469"/>
    </row>
    <row r="74" spans="1:12">
      <c r="A74" s="444">
        <f t="shared" si="4"/>
        <v>20</v>
      </c>
      <c r="B74" s="455" t="s">
        <v>1263</v>
      </c>
      <c r="C74" s="455"/>
      <c r="D74" s="455"/>
      <c r="E74" s="455"/>
      <c r="F74" s="455"/>
      <c r="G74" s="455"/>
      <c r="H74" s="455"/>
      <c r="I74" s="455"/>
      <c r="J74" s="455"/>
      <c r="K74" s="455"/>
      <c r="L74" s="469"/>
    </row>
    <row r="75" spans="1:12">
      <c r="A75" s="444">
        <f t="shared" si="4"/>
        <v>21</v>
      </c>
      <c r="B75" s="455" t="s">
        <v>1262</v>
      </c>
      <c r="C75" s="455"/>
      <c r="D75" s="455"/>
      <c r="E75" s="455"/>
      <c r="F75" s="455"/>
      <c r="G75" s="455"/>
      <c r="H75" s="455"/>
      <c r="I75" s="455"/>
      <c r="J75" s="455"/>
      <c r="K75" s="455"/>
      <c r="L75" s="469"/>
    </row>
    <row r="76" spans="1:12">
      <c r="A76" s="444">
        <f t="shared" si="4"/>
        <v>22</v>
      </c>
      <c r="B76" s="455" t="s">
        <v>1261</v>
      </c>
      <c r="C76" s="455"/>
      <c r="D76" s="455"/>
      <c r="E76" s="455"/>
      <c r="F76" s="455"/>
      <c r="G76" s="455"/>
      <c r="H76" s="455"/>
      <c r="I76" s="455"/>
      <c r="J76" s="455"/>
      <c r="K76" s="455"/>
      <c r="L76" s="469"/>
    </row>
    <row r="77" spans="1:12" ht="13.5" thickBot="1">
      <c r="A77" s="448">
        <f t="shared" si="4"/>
        <v>23</v>
      </c>
      <c r="B77" s="466" t="s">
        <v>1260</v>
      </c>
      <c r="C77" s="466"/>
      <c r="D77" s="466"/>
      <c r="E77" s="466"/>
      <c r="F77" s="466"/>
      <c r="G77" s="466"/>
      <c r="H77" s="466"/>
      <c r="I77" s="466"/>
      <c r="J77" s="466"/>
      <c r="K77" s="466"/>
      <c r="L77" s="472"/>
    </row>
    <row r="78" spans="1:12">
      <c r="A78" s="354" t="str">
        <f>A1</f>
        <v>WAPA-UGP 2018 Rate True-up Calculation</v>
      </c>
      <c r="B78" s="443"/>
      <c r="C78" s="355"/>
      <c r="D78" s="355"/>
      <c r="E78" s="355"/>
      <c r="F78" s="355"/>
      <c r="G78" s="355"/>
      <c r="H78" s="355"/>
      <c r="I78" s="355"/>
      <c r="J78" s="355"/>
      <c r="K78" s="355"/>
      <c r="L78" s="380"/>
    </row>
    <row r="79" spans="1:12">
      <c r="A79" s="444"/>
      <c r="B79" s="445"/>
      <c r="C79" s="445" t="s">
        <v>1243</v>
      </c>
      <c r="D79" s="446"/>
      <c r="E79" s="445" t="s">
        <v>1242</v>
      </c>
      <c r="F79" s="446"/>
      <c r="G79" s="445" t="s">
        <v>957</v>
      </c>
      <c r="H79" s="447"/>
      <c r="I79" s="445" t="s">
        <v>1241</v>
      </c>
      <c r="J79" s="447"/>
      <c r="K79" s="445" t="s">
        <v>961</v>
      </c>
      <c r="L79" s="381"/>
    </row>
    <row r="80" spans="1:12" s="349" customFormat="1" ht="13.5" thickBot="1">
      <c r="A80" s="448" t="s">
        <v>0</v>
      </c>
      <c r="B80" s="362">
        <v>-1</v>
      </c>
      <c r="C80" s="449">
        <v>-2</v>
      </c>
      <c r="D80" s="450"/>
      <c r="E80" s="449">
        <v>-3</v>
      </c>
      <c r="F80" s="450"/>
      <c r="G80" s="362">
        <v>-4</v>
      </c>
      <c r="H80" s="451"/>
      <c r="I80" s="362">
        <v>-5</v>
      </c>
      <c r="J80" s="451"/>
      <c r="K80" s="362">
        <v>-6</v>
      </c>
      <c r="L80" s="452"/>
    </row>
    <row r="81" spans="1:12">
      <c r="A81" s="444">
        <v>1</v>
      </c>
      <c r="B81" s="453" t="s">
        <v>1259</v>
      </c>
      <c r="C81" s="480"/>
      <c r="D81" s="480"/>
      <c r="E81" s="480"/>
      <c r="F81" s="480"/>
      <c r="G81" s="480"/>
      <c r="H81" s="455"/>
      <c r="I81" s="455"/>
      <c r="J81" s="455"/>
      <c r="K81" s="455"/>
      <c r="L81" s="469"/>
    </row>
    <row r="82" spans="1:12">
      <c r="A82" s="444">
        <f t="shared" ref="A82:A106" si="5">A81+1</f>
        <v>2</v>
      </c>
      <c r="B82" s="481" t="s">
        <v>1258</v>
      </c>
      <c r="C82" s="481" t="s">
        <v>1257</v>
      </c>
      <c r="D82" s="356"/>
      <c r="E82" s="481" t="s">
        <v>1256</v>
      </c>
      <c r="F82" s="482"/>
      <c r="G82" s="481" t="s">
        <v>1239</v>
      </c>
      <c r="H82" s="356"/>
      <c r="I82" s="481" t="s">
        <v>1255</v>
      </c>
      <c r="J82" s="356"/>
      <c r="K82" s="481" t="s">
        <v>980</v>
      </c>
      <c r="L82" s="381"/>
    </row>
    <row r="83" spans="1:12">
      <c r="A83" s="444">
        <f t="shared" si="5"/>
        <v>3</v>
      </c>
      <c r="B83" s="483">
        <v>1411</v>
      </c>
      <c r="C83" s="430">
        <f>2501555.58+401627.16</f>
        <v>2903182.74</v>
      </c>
      <c r="D83" s="356"/>
      <c r="E83" s="430">
        <f>1888410.63</f>
        <v>1888410.63</v>
      </c>
      <c r="F83" s="356"/>
      <c r="G83" s="430">
        <v>0</v>
      </c>
      <c r="H83" s="356"/>
      <c r="I83" s="430">
        <v>0</v>
      </c>
      <c r="J83" s="356"/>
      <c r="K83" s="430">
        <f t="shared" ref="K83:K96" si="6">SUM(C83:I83)</f>
        <v>4791593.37</v>
      </c>
      <c r="L83" s="381"/>
    </row>
    <row r="84" spans="1:12">
      <c r="A84" s="444">
        <f t="shared" si="5"/>
        <v>4</v>
      </c>
      <c r="B84" s="483">
        <v>1412</v>
      </c>
      <c r="C84" s="430">
        <f>12317638.27+2046920.02</f>
        <v>14364558.289999999</v>
      </c>
      <c r="D84" s="356"/>
      <c r="E84" s="430">
        <f>4504781.74</f>
        <v>4504781.74</v>
      </c>
      <c r="F84" s="356"/>
      <c r="G84" s="430">
        <v>0</v>
      </c>
      <c r="H84" s="356"/>
      <c r="I84" s="430">
        <v>0</v>
      </c>
      <c r="J84" s="356"/>
      <c r="K84" s="430">
        <f t="shared" si="6"/>
        <v>18869340.030000001</v>
      </c>
      <c r="L84" s="381"/>
    </row>
    <row r="85" spans="1:12">
      <c r="A85" s="444">
        <f t="shared" si="5"/>
        <v>5</v>
      </c>
      <c r="B85" s="483">
        <v>1415</v>
      </c>
      <c r="C85" s="430">
        <f>-377.23-4254.69</f>
        <v>-4631.92</v>
      </c>
      <c r="D85" s="356"/>
      <c r="E85" s="430">
        <f>-12908.94</f>
        <v>-12908.94</v>
      </c>
      <c r="F85" s="356"/>
      <c r="G85" s="430">
        <v>0</v>
      </c>
      <c r="H85" s="356"/>
      <c r="I85" s="430">
        <v>0</v>
      </c>
      <c r="J85" s="356"/>
      <c r="K85" s="430">
        <f t="shared" si="6"/>
        <v>-17540.86</v>
      </c>
      <c r="L85" s="381"/>
    </row>
    <row r="86" spans="1:12">
      <c r="A86" s="444">
        <f t="shared" si="5"/>
        <v>6</v>
      </c>
      <c r="B86" s="483">
        <v>1416</v>
      </c>
      <c r="C86" s="430">
        <f>338131.43+36549.88</f>
        <v>374681.31</v>
      </c>
      <c r="D86" s="356"/>
      <c r="E86" s="430">
        <f>186521.88</f>
        <v>186521.88</v>
      </c>
      <c r="F86" s="356"/>
      <c r="G86" s="430">
        <v>0</v>
      </c>
      <c r="H86" s="356"/>
      <c r="I86" s="430">
        <v>0</v>
      </c>
      <c r="J86" s="356"/>
      <c r="K86" s="430">
        <f t="shared" si="6"/>
        <v>561203.18999999994</v>
      </c>
      <c r="L86" s="381"/>
    </row>
    <row r="87" spans="1:12">
      <c r="A87" s="444">
        <f t="shared" si="5"/>
        <v>7</v>
      </c>
      <c r="B87" s="483">
        <v>1421</v>
      </c>
      <c r="C87" s="430">
        <f>1155009.93+179726.06</f>
        <v>1334735.99</v>
      </c>
      <c r="D87" s="356"/>
      <c r="E87" s="430">
        <f>873141.88</f>
        <v>873141.88</v>
      </c>
      <c r="F87" s="356"/>
      <c r="G87" s="430">
        <v>0</v>
      </c>
      <c r="H87" s="356"/>
      <c r="I87" s="430">
        <v>0</v>
      </c>
      <c r="J87" s="356"/>
      <c r="K87" s="430">
        <f t="shared" si="6"/>
        <v>2207877.87</v>
      </c>
      <c r="L87" s="381"/>
    </row>
    <row r="88" spans="1:12">
      <c r="A88" s="444">
        <f t="shared" si="5"/>
        <v>8</v>
      </c>
      <c r="B88" s="483">
        <v>1422</v>
      </c>
      <c r="C88" s="430">
        <f>678912.43+115570.64</f>
        <v>794483.07000000007</v>
      </c>
      <c r="D88" s="356"/>
      <c r="E88" s="430">
        <f>1298.09</f>
        <v>1298.0899999999999</v>
      </c>
      <c r="F88" s="356"/>
      <c r="G88" s="430">
        <v>0</v>
      </c>
      <c r="H88" s="356"/>
      <c r="I88" s="430">
        <v>0</v>
      </c>
      <c r="J88" s="356"/>
      <c r="K88" s="430">
        <f t="shared" si="6"/>
        <v>795781.16</v>
      </c>
      <c r="L88" s="381"/>
    </row>
    <row r="89" spans="1:12">
      <c r="A89" s="444">
        <f t="shared" si="5"/>
        <v>9</v>
      </c>
      <c r="B89" s="483">
        <v>1425</v>
      </c>
      <c r="C89" s="430">
        <f>-10267.81-3268.27</f>
        <v>-13536.08</v>
      </c>
      <c r="D89" s="356"/>
      <c r="E89" s="430">
        <f>-13851.95</f>
        <v>-13851.95</v>
      </c>
      <c r="F89" s="356"/>
      <c r="G89" s="430">
        <v>0</v>
      </c>
      <c r="H89" s="356"/>
      <c r="I89" s="430">
        <v>0</v>
      </c>
      <c r="J89" s="356"/>
      <c r="K89" s="430">
        <f t="shared" si="6"/>
        <v>-27388.03</v>
      </c>
      <c r="L89" s="381"/>
    </row>
    <row r="90" spans="1:12">
      <c r="A90" s="444">
        <f t="shared" si="5"/>
        <v>10</v>
      </c>
      <c r="B90" s="483">
        <v>1426</v>
      </c>
      <c r="C90" s="430">
        <f>8434.23+135.72</f>
        <v>8569.9499999999989</v>
      </c>
      <c r="D90" s="356"/>
      <c r="E90" s="430">
        <v>0</v>
      </c>
      <c r="F90" s="356"/>
      <c r="G90" s="430">
        <v>0</v>
      </c>
      <c r="H90" s="356"/>
      <c r="I90" s="430">
        <v>0</v>
      </c>
      <c r="J90" s="356"/>
      <c r="K90" s="430">
        <f t="shared" si="6"/>
        <v>8569.9499999999989</v>
      </c>
      <c r="L90" s="381"/>
    </row>
    <row r="91" spans="1:12">
      <c r="A91" s="444">
        <f t="shared" si="5"/>
        <v>11</v>
      </c>
      <c r="B91" s="483">
        <v>1431</v>
      </c>
      <c r="C91" s="430">
        <v>0</v>
      </c>
      <c r="D91" s="356"/>
      <c r="E91" s="430">
        <v>0</v>
      </c>
      <c r="F91" s="356"/>
      <c r="G91" s="430">
        <v>0</v>
      </c>
      <c r="H91" s="356"/>
      <c r="I91" s="430">
        <v>0</v>
      </c>
      <c r="J91" s="356"/>
      <c r="K91" s="430">
        <f>SUM(C91:I91)</f>
        <v>0</v>
      </c>
      <c r="L91" s="381"/>
    </row>
    <row r="92" spans="1:12">
      <c r="A92" s="444">
        <f t="shared" si="5"/>
        <v>12</v>
      </c>
      <c r="B92" s="483">
        <v>1432</v>
      </c>
      <c r="C92" s="430">
        <v>0</v>
      </c>
      <c r="D92" s="356"/>
      <c r="E92" s="430">
        <v>0</v>
      </c>
      <c r="F92" s="356"/>
      <c r="G92" s="430">
        <v>0</v>
      </c>
      <c r="H92" s="356"/>
      <c r="I92" s="430">
        <v>0</v>
      </c>
      <c r="J92" s="356"/>
      <c r="K92" s="430">
        <f t="shared" si="6"/>
        <v>0</v>
      </c>
      <c r="L92" s="381"/>
    </row>
    <row r="93" spans="1:12">
      <c r="A93" s="444">
        <f t="shared" si="5"/>
        <v>13</v>
      </c>
      <c r="B93" s="483">
        <v>1441</v>
      </c>
      <c r="C93" s="430">
        <v>0</v>
      </c>
      <c r="D93" s="356"/>
      <c r="E93" s="430">
        <f>2374139.55</f>
        <v>2374139.5499999998</v>
      </c>
      <c r="F93" s="356"/>
      <c r="G93" s="430">
        <v>0</v>
      </c>
      <c r="H93" s="356"/>
      <c r="I93" s="430">
        <v>0</v>
      </c>
      <c r="J93" s="356"/>
      <c r="K93" s="430">
        <f t="shared" si="6"/>
        <v>2374139.5499999998</v>
      </c>
      <c r="L93" s="381"/>
    </row>
    <row r="94" spans="1:12">
      <c r="A94" s="444">
        <f t="shared" si="5"/>
        <v>14</v>
      </c>
      <c r="B94" s="484">
        <v>1442</v>
      </c>
      <c r="C94" s="467">
        <v>0</v>
      </c>
      <c r="D94" s="485"/>
      <c r="E94" s="467">
        <f>112518.65</f>
        <v>112518.65</v>
      </c>
      <c r="F94" s="485"/>
      <c r="G94" s="467">
        <v>0</v>
      </c>
      <c r="H94" s="485"/>
      <c r="I94" s="467">
        <v>0</v>
      </c>
      <c r="J94" s="485"/>
      <c r="K94" s="467">
        <f t="shared" si="6"/>
        <v>112518.65</v>
      </c>
      <c r="L94" s="381"/>
    </row>
    <row r="95" spans="1:12">
      <c r="A95" s="444">
        <f t="shared" si="5"/>
        <v>15</v>
      </c>
      <c r="B95" s="486" t="s">
        <v>1254</v>
      </c>
      <c r="C95" s="487">
        <f>SUM(C83:C94)</f>
        <v>19762043.349999998</v>
      </c>
      <c r="D95" s="356"/>
      <c r="E95" s="487">
        <f>SUM(E83:E94)</f>
        <v>9914051.5299999993</v>
      </c>
      <c r="F95" s="356"/>
      <c r="G95" s="487">
        <f>SUM(G83:G94)</f>
        <v>0</v>
      </c>
      <c r="H95" s="356"/>
      <c r="I95" s="487">
        <f>SUM(I83:I94)</f>
        <v>0</v>
      </c>
      <c r="J95" s="356"/>
      <c r="K95" s="487">
        <f t="shared" si="6"/>
        <v>29676094.879999995</v>
      </c>
      <c r="L95" s="381"/>
    </row>
    <row r="96" spans="1:12">
      <c r="A96" s="444">
        <f t="shared" si="5"/>
        <v>16</v>
      </c>
      <c r="B96" s="486" t="s">
        <v>1253</v>
      </c>
      <c r="C96" s="487">
        <f>C95*C12</f>
        <v>18826979.281322058</v>
      </c>
      <c r="D96" s="356"/>
      <c r="E96" s="487">
        <f>E95*E12</f>
        <v>123553.21857633088</v>
      </c>
      <c r="F96" s="356"/>
      <c r="G96" s="487">
        <v>0</v>
      </c>
      <c r="H96" s="356"/>
      <c r="I96" s="487">
        <v>0</v>
      </c>
      <c r="J96" s="356"/>
      <c r="K96" s="487">
        <f t="shared" si="6"/>
        <v>18950532.499898389</v>
      </c>
      <c r="L96" s="381"/>
    </row>
    <row r="97" spans="1:12">
      <c r="A97" s="444">
        <f t="shared" si="5"/>
        <v>17</v>
      </c>
      <c r="B97" s="486" t="s">
        <v>1252</v>
      </c>
      <c r="C97" s="487">
        <f>C95*C11</f>
        <v>188858.56192150369</v>
      </c>
      <c r="D97" s="356"/>
      <c r="E97" s="487">
        <v>0</v>
      </c>
      <c r="F97" s="487"/>
      <c r="G97" s="487">
        <f>I95-I96</f>
        <v>0</v>
      </c>
      <c r="H97" s="356"/>
      <c r="I97" s="356">
        <v>0</v>
      </c>
      <c r="J97" s="356"/>
      <c r="K97" s="487">
        <f>SUM(C97:G97)</f>
        <v>188858.56192150369</v>
      </c>
      <c r="L97" s="381"/>
    </row>
    <row r="98" spans="1:12">
      <c r="A98" s="444">
        <f t="shared" si="5"/>
        <v>18</v>
      </c>
      <c r="B98" s="486" t="s">
        <v>1251</v>
      </c>
      <c r="C98" s="487">
        <f>C95*C13</f>
        <v>187223.74573673302</v>
      </c>
      <c r="D98" s="356"/>
      <c r="E98" s="487">
        <v>0</v>
      </c>
      <c r="F98" s="487"/>
      <c r="G98" s="487">
        <v>0</v>
      </c>
      <c r="H98" s="356"/>
      <c r="I98" s="356">
        <v>0</v>
      </c>
      <c r="J98" s="356"/>
      <c r="K98" s="487">
        <f>SUM(C98:G98)</f>
        <v>187223.74573673302</v>
      </c>
      <c r="L98" s="381"/>
    </row>
    <row r="99" spans="1:12">
      <c r="A99" s="444">
        <f t="shared" si="5"/>
        <v>19</v>
      </c>
      <c r="B99" s="488" t="s">
        <v>1250</v>
      </c>
      <c r="C99" s="487"/>
      <c r="D99" s="356"/>
      <c r="E99" s="487"/>
      <c r="F99" s="487"/>
      <c r="G99" s="487"/>
      <c r="H99" s="356"/>
      <c r="I99" s="356"/>
      <c r="J99" s="356"/>
      <c r="K99" s="487"/>
      <c r="L99" s="381"/>
    </row>
    <row r="100" spans="1:12">
      <c r="A100" s="444">
        <f t="shared" si="5"/>
        <v>20</v>
      </c>
      <c r="B100" s="488" t="s">
        <v>1249</v>
      </c>
      <c r="C100" s="487"/>
      <c r="D100" s="356"/>
      <c r="E100" s="487"/>
      <c r="F100" s="487"/>
      <c r="G100" s="487"/>
      <c r="H100" s="356"/>
      <c r="I100" s="356"/>
      <c r="J100" s="356"/>
      <c r="K100" s="487"/>
      <c r="L100" s="381"/>
    </row>
    <row r="101" spans="1:12">
      <c r="A101" s="444">
        <f t="shared" si="5"/>
        <v>21</v>
      </c>
      <c r="B101" s="488" t="s">
        <v>1248</v>
      </c>
      <c r="C101" s="487"/>
      <c r="D101" s="356"/>
      <c r="E101" s="487"/>
      <c r="F101" s="487"/>
      <c r="G101" s="487"/>
      <c r="H101" s="356"/>
      <c r="I101" s="356"/>
      <c r="J101" s="356"/>
      <c r="K101" s="487"/>
      <c r="L101" s="381"/>
    </row>
    <row r="102" spans="1:12">
      <c r="A102" s="444">
        <f t="shared" si="5"/>
        <v>22</v>
      </c>
      <c r="B102" s="488" t="s">
        <v>1247</v>
      </c>
      <c r="C102" s="487"/>
      <c r="D102" s="356"/>
      <c r="E102" s="487"/>
      <c r="F102" s="487"/>
      <c r="G102" s="487"/>
      <c r="H102" s="356"/>
      <c r="I102" s="356"/>
      <c r="J102" s="356"/>
      <c r="K102" s="487"/>
      <c r="L102" s="381"/>
    </row>
    <row r="103" spans="1:12">
      <c r="A103" s="444">
        <f t="shared" si="5"/>
        <v>23</v>
      </c>
      <c r="B103" s="488" t="s">
        <v>1245</v>
      </c>
      <c r="C103" s="487"/>
      <c r="D103" s="356"/>
      <c r="E103" s="487"/>
      <c r="F103" s="487"/>
      <c r="G103" s="487"/>
      <c r="H103" s="356"/>
      <c r="I103" s="356"/>
      <c r="J103" s="356"/>
      <c r="K103" s="487"/>
      <c r="L103" s="381"/>
    </row>
    <row r="104" spans="1:12">
      <c r="A104" s="444">
        <f t="shared" si="5"/>
        <v>24</v>
      </c>
      <c r="B104" s="488" t="s">
        <v>1246</v>
      </c>
      <c r="C104" s="487"/>
      <c r="D104" s="356"/>
      <c r="E104" s="487"/>
      <c r="F104" s="487"/>
      <c r="G104" s="487"/>
      <c r="H104" s="356"/>
      <c r="I104" s="356"/>
      <c r="J104" s="356"/>
      <c r="K104" s="487"/>
      <c r="L104" s="381"/>
    </row>
    <row r="105" spans="1:12">
      <c r="A105" s="444">
        <f t="shared" si="5"/>
        <v>25</v>
      </c>
      <c r="B105" s="488" t="s">
        <v>1245</v>
      </c>
      <c r="C105" s="487"/>
      <c r="D105" s="356"/>
      <c r="E105" s="487"/>
      <c r="F105" s="487"/>
      <c r="G105" s="487"/>
      <c r="H105" s="356"/>
      <c r="I105" s="356"/>
      <c r="J105" s="356"/>
      <c r="K105" s="487"/>
      <c r="L105" s="381"/>
    </row>
    <row r="106" spans="1:12" ht="13.5" thickBot="1">
      <c r="A106" s="448">
        <f t="shared" si="5"/>
        <v>26</v>
      </c>
      <c r="B106" s="489" t="s">
        <v>1244</v>
      </c>
      <c r="C106" s="490"/>
      <c r="D106" s="379"/>
      <c r="E106" s="490"/>
      <c r="F106" s="490"/>
      <c r="G106" s="490"/>
      <c r="H106" s="379"/>
      <c r="I106" s="379"/>
      <c r="J106" s="379"/>
      <c r="K106" s="490"/>
      <c r="L106" s="383"/>
    </row>
    <row r="107" spans="1:12">
      <c r="A107" s="354" t="str">
        <f>A1</f>
        <v>WAPA-UGP 2018 Rate True-up Calculation</v>
      </c>
      <c r="B107" s="443"/>
      <c r="C107" s="355"/>
      <c r="D107" s="355"/>
      <c r="E107" s="355"/>
      <c r="F107" s="355"/>
      <c r="G107" s="355"/>
      <c r="H107" s="355"/>
      <c r="I107" s="355"/>
      <c r="J107" s="355"/>
      <c r="K107" s="355"/>
      <c r="L107" s="380"/>
    </row>
    <row r="108" spans="1:12">
      <c r="A108" s="444"/>
      <c r="B108" s="445"/>
      <c r="C108" s="445" t="s">
        <v>1243</v>
      </c>
      <c r="D108" s="446"/>
      <c r="E108" s="445" t="s">
        <v>1242</v>
      </c>
      <c r="F108" s="446"/>
      <c r="G108" s="445" t="s">
        <v>957</v>
      </c>
      <c r="H108" s="447"/>
      <c r="I108" s="445" t="s">
        <v>1241</v>
      </c>
      <c r="J108" s="447"/>
      <c r="K108" s="445" t="s">
        <v>961</v>
      </c>
      <c r="L108" s="381"/>
    </row>
    <row r="109" spans="1:12" s="349" customFormat="1" ht="13.5" thickBot="1">
      <c r="A109" s="448" t="s">
        <v>0</v>
      </c>
      <c r="B109" s="362">
        <v>-1</v>
      </c>
      <c r="C109" s="449">
        <v>-2</v>
      </c>
      <c r="D109" s="450"/>
      <c r="E109" s="449">
        <v>-3</v>
      </c>
      <c r="F109" s="450"/>
      <c r="G109" s="362">
        <v>-4</v>
      </c>
      <c r="H109" s="451"/>
      <c r="I109" s="362">
        <v>-5</v>
      </c>
      <c r="J109" s="451"/>
      <c r="K109" s="362">
        <v>-6</v>
      </c>
      <c r="L109" s="452"/>
    </row>
    <row r="110" spans="1:12">
      <c r="A110" s="498">
        <v>1</v>
      </c>
      <c r="B110" s="499" t="s">
        <v>1240</v>
      </c>
      <c r="C110" s="500"/>
      <c r="D110" s="500"/>
      <c r="E110" s="500"/>
      <c r="F110" s="500"/>
      <c r="G110" s="500"/>
      <c r="H110" s="355"/>
      <c r="I110" s="355"/>
      <c r="J110" s="355"/>
      <c r="K110" s="355"/>
      <c r="L110" s="380"/>
    </row>
    <row r="111" spans="1:12">
      <c r="A111" s="444">
        <f t="shared" ref="A111:A134" si="7">A110+1</f>
        <v>2</v>
      </c>
      <c r="B111" s="481"/>
      <c r="C111" s="491" t="s">
        <v>2296</v>
      </c>
      <c r="D111" s="356"/>
      <c r="E111" s="491" t="s">
        <v>2297</v>
      </c>
      <c r="F111" s="356"/>
      <c r="G111" s="491" t="s">
        <v>1239</v>
      </c>
      <c r="H111" s="356"/>
      <c r="I111" s="491" t="s">
        <v>1238</v>
      </c>
      <c r="J111" s="356"/>
      <c r="K111" s="491" t="s">
        <v>980</v>
      </c>
      <c r="L111" s="381"/>
    </row>
    <row r="112" spans="1:12">
      <c r="A112" s="444">
        <f t="shared" si="7"/>
        <v>3</v>
      </c>
      <c r="B112" s="481" t="s">
        <v>1237</v>
      </c>
      <c r="C112" s="470">
        <f>175904301.28+12282315.45</f>
        <v>188186616.72999999</v>
      </c>
      <c r="D112" s="356"/>
      <c r="E112" s="470">
        <f>78180143.23</f>
        <v>78180143.230000004</v>
      </c>
      <c r="F112" s="356"/>
      <c r="G112" s="470">
        <f>7387237+8981375+8757921+6041294+7109940+8465763</f>
        <v>46743530</v>
      </c>
      <c r="H112" s="356"/>
      <c r="I112" s="470">
        <f>42616977.9</f>
        <v>42616977.899999999</v>
      </c>
      <c r="J112" s="356"/>
      <c r="K112" s="470">
        <f>SUM(C112:I112)</f>
        <v>355727267.85999995</v>
      </c>
      <c r="L112" s="381"/>
    </row>
    <row r="113" spans="1:12">
      <c r="A113" s="444">
        <f t="shared" si="7"/>
        <v>4</v>
      </c>
      <c r="B113" s="492" t="s">
        <v>1236</v>
      </c>
      <c r="C113" s="470"/>
      <c r="D113" s="356"/>
      <c r="E113" s="470"/>
      <c r="F113" s="356"/>
      <c r="G113" s="470"/>
      <c r="H113" s="356"/>
      <c r="I113" s="470"/>
      <c r="J113" s="356"/>
      <c r="K113" s="470"/>
      <c r="L113" s="381"/>
    </row>
    <row r="114" spans="1:12">
      <c r="A114" s="444">
        <f t="shared" si="7"/>
        <v>5</v>
      </c>
      <c r="B114" s="492" t="s">
        <v>1235</v>
      </c>
      <c r="C114" s="470">
        <f>16979809.85+84608670.23</f>
        <v>101588480.08000001</v>
      </c>
      <c r="D114" s="356"/>
      <c r="E114" s="470">
        <f>15381796.54+6927236.28</f>
        <v>22309032.82</v>
      </c>
      <c r="F114" s="356"/>
      <c r="G114" s="470"/>
      <c r="H114" s="356"/>
      <c r="I114" s="470"/>
      <c r="J114" s="356"/>
      <c r="K114" s="470">
        <f>SUM(C114:I114)</f>
        <v>123897512.90000001</v>
      </c>
      <c r="L114" s="381"/>
    </row>
    <row r="115" spans="1:12">
      <c r="A115" s="444">
        <f t="shared" si="7"/>
        <v>6</v>
      </c>
      <c r="B115" s="492" t="s">
        <v>1234</v>
      </c>
      <c r="C115" s="516">
        <f>C95</f>
        <v>19762043.349999998</v>
      </c>
      <c r="D115" s="356"/>
      <c r="E115" s="470">
        <f>E95</f>
        <v>9914051.5299999993</v>
      </c>
      <c r="F115" s="356"/>
      <c r="G115" s="470"/>
      <c r="H115" s="356"/>
      <c r="I115" s="470"/>
      <c r="J115" s="356"/>
      <c r="K115" s="470">
        <f>SUM(C115:I115)</f>
        <v>29676094.879999995</v>
      </c>
      <c r="L115" s="381"/>
    </row>
    <row r="116" spans="1:12">
      <c r="A116" s="444">
        <f t="shared" si="7"/>
        <v>7</v>
      </c>
      <c r="B116" s="492" t="s">
        <v>1233</v>
      </c>
      <c r="C116" s="470">
        <f>330344.62+0</f>
        <v>330344.62</v>
      </c>
      <c r="D116" s="356"/>
      <c r="E116" s="470">
        <v>0</v>
      </c>
      <c r="F116" s="356"/>
      <c r="G116" s="470"/>
      <c r="H116" s="356"/>
      <c r="I116" s="470"/>
      <c r="J116" s="356"/>
      <c r="K116" s="470">
        <f>SUM(C116:I116)</f>
        <v>330344.62</v>
      </c>
      <c r="L116" s="381"/>
    </row>
    <row r="117" spans="1:12">
      <c r="A117" s="444"/>
      <c r="B117" s="492" t="s">
        <v>2585</v>
      </c>
      <c r="C117" s="470">
        <v>0</v>
      </c>
      <c r="D117" s="356"/>
      <c r="E117" s="470">
        <v>0</v>
      </c>
      <c r="F117" s="356"/>
      <c r="G117" s="470"/>
      <c r="H117" s="356"/>
      <c r="I117" s="470"/>
      <c r="J117" s="356"/>
      <c r="K117" s="470">
        <f>SUM(C117:I117)</f>
        <v>0</v>
      </c>
      <c r="L117" s="381"/>
    </row>
    <row r="118" spans="1:12">
      <c r="A118" s="444">
        <f>A116+1</f>
        <v>8</v>
      </c>
      <c r="B118" s="492" t="s">
        <v>1232</v>
      </c>
      <c r="C118" s="470"/>
      <c r="D118" s="356"/>
      <c r="E118" s="470"/>
      <c r="F118" s="356"/>
      <c r="G118" s="470"/>
      <c r="H118" s="356"/>
      <c r="I118" s="470"/>
      <c r="J118" s="356"/>
      <c r="K118" s="470"/>
      <c r="L118" s="381"/>
    </row>
    <row r="119" spans="1:12">
      <c r="A119" s="444">
        <f t="shared" si="7"/>
        <v>9</v>
      </c>
      <c r="B119" s="492" t="s">
        <v>1231</v>
      </c>
      <c r="C119" s="470">
        <f>684755+196345</f>
        <v>881100</v>
      </c>
      <c r="D119" s="356"/>
      <c r="E119" s="470">
        <f>393283</f>
        <v>393283</v>
      </c>
      <c r="F119" s="356"/>
      <c r="G119" s="470"/>
      <c r="H119" s="356"/>
      <c r="I119" s="470"/>
      <c r="J119" s="356"/>
      <c r="K119" s="470">
        <f>SUM(C119:I119)</f>
        <v>1274383</v>
      </c>
      <c r="L119" s="381"/>
    </row>
    <row r="120" spans="1:12">
      <c r="A120" s="444">
        <f t="shared" si="7"/>
        <v>10</v>
      </c>
      <c r="B120" s="492" t="s">
        <v>1230</v>
      </c>
      <c r="C120" s="470">
        <f>107655+33060</f>
        <v>140715</v>
      </c>
      <c r="D120" s="356"/>
      <c r="E120" s="470">
        <f>66757</f>
        <v>66757</v>
      </c>
      <c r="F120" s="356"/>
      <c r="G120" s="470"/>
      <c r="H120" s="356"/>
      <c r="I120" s="470"/>
      <c r="J120" s="356"/>
      <c r="K120" s="470">
        <f>SUM(C120:I120)</f>
        <v>207472</v>
      </c>
      <c r="L120" s="381"/>
    </row>
    <row r="121" spans="1:12">
      <c r="A121" s="444">
        <f t="shared" si="7"/>
        <v>11</v>
      </c>
      <c r="B121" s="493" t="s">
        <v>1229</v>
      </c>
      <c r="C121" s="494">
        <f>8354409.05+2523668.91</f>
        <v>10878077.960000001</v>
      </c>
      <c r="D121" s="495"/>
      <c r="E121" s="494">
        <v>0</v>
      </c>
      <c r="F121" s="495"/>
      <c r="G121" s="494"/>
      <c r="H121" s="495"/>
      <c r="I121" s="494"/>
      <c r="J121" s="495"/>
      <c r="K121" s="494">
        <f>SUM(C121:I121)</f>
        <v>10878077.960000001</v>
      </c>
      <c r="L121" s="381"/>
    </row>
    <row r="122" spans="1:12">
      <c r="A122" s="444">
        <f t="shared" si="7"/>
        <v>12</v>
      </c>
      <c r="B122" s="496" t="s">
        <v>1228</v>
      </c>
      <c r="C122" s="497">
        <f>C112-C114-C115-C116-C117+C119+C120</f>
        <v>67527563.679999977</v>
      </c>
      <c r="D122" s="356"/>
      <c r="E122" s="497">
        <f>E112-E114-E115-E116+E119+E120</f>
        <v>46417098.880000003</v>
      </c>
      <c r="F122" s="497"/>
      <c r="G122" s="497">
        <f>G112-G114-G115-G116+G119+G120</f>
        <v>46743530</v>
      </c>
      <c r="H122" s="497"/>
      <c r="I122" s="497">
        <f>I112-I114-I115-I116+I119+I120</f>
        <v>42616977.899999999</v>
      </c>
      <c r="J122" s="356"/>
      <c r="K122" s="497">
        <f>K112-K114-K115-K116+K119+K120</f>
        <v>203305170.45999995</v>
      </c>
      <c r="L122" s="381"/>
    </row>
    <row r="123" spans="1:12">
      <c r="A123" s="444">
        <f t="shared" si="7"/>
        <v>13</v>
      </c>
      <c r="B123" s="496" t="s">
        <v>1227</v>
      </c>
      <c r="C123" s="497">
        <f>C122*C12</f>
        <v>64332418.455175363</v>
      </c>
      <c r="D123" s="356"/>
      <c r="E123" s="497">
        <f>E122*E12</f>
        <v>578470.05800259381</v>
      </c>
      <c r="F123" s="356"/>
      <c r="G123" s="497">
        <f>G122*G12</f>
        <v>2671880.6211071783</v>
      </c>
      <c r="H123" s="356"/>
      <c r="I123" s="497">
        <f>I122*I12</f>
        <v>0</v>
      </c>
      <c r="J123" s="356"/>
      <c r="K123" s="497">
        <f>SUM(C123:I123)</f>
        <v>67582769.134285137</v>
      </c>
      <c r="L123" s="381"/>
    </row>
    <row r="124" spans="1:12">
      <c r="A124" s="444">
        <f t="shared" si="7"/>
        <v>14</v>
      </c>
      <c r="B124" s="496" t="s">
        <v>1226</v>
      </c>
      <c r="C124" s="497">
        <f>C122*C11</f>
        <v>645336.02830435848</v>
      </c>
      <c r="D124" s="356"/>
      <c r="E124" s="497">
        <v>0</v>
      </c>
      <c r="F124" s="356"/>
      <c r="G124" s="470">
        <f>G122*G11</f>
        <v>44071649.378892824</v>
      </c>
      <c r="H124" s="356"/>
      <c r="I124" s="470">
        <f>I122*I11</f>
        <v>42616977.899999999</v>
      </c>
      <c r="J124" s="356"/>
      <c r="K124" s="497">
        <f>SUM(C124:I124)</f>
        <v>87333963.307197183</v>
      </c>
      <c r="L124" s="381"/>
    </row>
    <row r="125" spans="1:12">
      <c r="A125" s="444">
        <f t="shared" si="7"/>
        <v>15</v>
      </c>
      <c r="B125" s="470" t="s">
        <v>1225</v>
      </c>
      <c r="C125" s="470"/>
      <c r="D125" s="470"/>
      <c r="E125" s="470"/>
      <c r="F125" s="470"/>
      <c r="G125" s="470"/>
      <c r="H125" s="356"/>
      <c r="I125" s="356"/>
      <c r="J125" s="356"/>
      <c r="K125" s="356"/>
      <c r="L125" s="381"/>
    </row>
    <row r="126" spans="1:12">
      <c r="A126" s="444">
        <f t="shared" si="7"/>
        <v>16</v>
      </c>
      <c r="B126" s="470" t="s">
        <v>1224</v>
      </c>
      <c r="C126" s="470"/>
      <c r="D126" s="470"/>
      <c r="E126" s="470"/>
      <c r="F126" s="470"/>
      <c r="G126" s="470"/>
      <c r="H126" s="356"/>
      <c r="I126" s="356"/>
      <c r="J126" s="356"/>
      <c r="K126" s="356"/>
      <c r="L126" s="381"/>
    </row>
    <row r="127" spans="1:12">
      <c r="A127" s="444">
        <f t="shared" si="7"/>
        <v>17</v>
      </c>
      <c r="B127" s="470" t="s">
        <v>1223</v>
      </c>
      <c r="C127" s="470"/>
      <c r="D127" s="470"/>
      <c r="E127" s="470"/>
      <c r="F127" s="470"/>
      <c r="G127" s="470"/>
      <c r="H127" s="356"/>
      <c r="I127" s="356"/>
      <c r="J127" s="356"/>
      <c r="K127" s="356"/>
      <c r="L127" s="381"/>
    </row>
    <row r="128" spans="1:12">
      <c r="A128" s="444">
        <f t="shared" si="7"/>
        <v>18</v>
      </c>
      <c r="B128" s="470" t="s">
        <v>1222</v>
      </c>
      <c r="C128" s="470"/>
      <c r="D128" s="470"/>
      <c r="E128" s="470"/>
      <c r="F128" s="470"/>
      <c r="G128" s="470"/>
      <c r="H128" s="356"/>
      <c r="I128" s="356"/>
      <c r="J128" s="356"/>
      <c r="K128" s="356"/>
      <c r="L128" s="381"/>
    </row>
    <row r="129" spans="1:12">
      <c r="A129" s="444">
        <f t="shared" si="7"/>
        <v>19</v>
      </c>
      <c r="B129" s="470" t="s">
        <v>1221</v>
      </c>
      <c r="C129" s="470"/>
      <c r="D129" s="470"/>
      <c r="E129" s="470"/>
      <c r="F129" s="470"/>
      <c r="G129" s="470"/>
      <c r="H129" s="356"/>
      <c r="I129" s="356"/>
      <c r="J129" s="356"/>
      <c r="K129" s="356"/>
      <c r="L129" s="381"/>
    </row>
    <row r="130" spans="1:12">
      <c r="A130" s="444">
        <f t="shared" si="7"/>
        <v>20</v>
      </c>
      <c r="B130" s="470" t="s">
        <v>1220</v>
      </c>
      <c r="C130" s="470"/>
      <c r="D130" s="470"/>
      <c r="E130" s="470"/>
      <c r="F130" s="470"/>
      <c r="G130" s="470"/>
      <c r="H130" s="356"/>
      <c r="I130" s="356"/>
      <c r="J130" s="356"/>
      <c r="K130" s="356"/>
      <c r="L130" s="381"/>
    </row>
    <row r="131" spans="1:12">
      <c r="A131" s="444">
        <f t="shared" si="7"/>
        <v>21</v>
      </c>
      <c r="B131" s="470" t="s">
        <v>1219</v>
      </c>
      <c r="C131" s="470"/>
      <c r="D131" s="470"/>
      <c r="E131" s="470"/>
      <c r="F131" s="470"/>
      <c r="G131" s="470"/>
      <c r="H131" s="356"/>
      <c r="I131" s="356"/>
      <c r="J131" s="356"/>
      <c r="K131" s="356"/>
      <c r="L131" s="381"/>
    </row>
    <row r="132" spans="1:12">
      <c r="A132" s="444">
        <f t="shared" si="7"/>
        <v>22</v>
      </c>
      <c r="B132" s="470" t="s">
        <v>1218</v>
      </c>
      <c r="C132" s="470"/>
      <c r="D132" s="470"/>
      <c r="E132" s="470"/>
      <c r="F132" s="470"/>
      <c r="G132" s="470"/>
      <c r="H132" s="356"/>
      <c r="I132" s="356"/>
      <c r="J132" s="356"/>
      <c r="K132" s="356"/>
      <c r="L132" s="381"/>
    </row>
    <row r="133" spans="1:12">
      <c r="A133" s="444">
        <f t="shared" si="7"/>
        <v>23</v>
      </c>
      <c r="B133" s="470" t="s">
        <v>1217</v>
      </c>
      <c r="C133" s="470"/>
      <c r="D133" s="470"/>
      <c r="E133" s="470"/>
      <c r="F133" s="470"/>
      <c r="G133" s="470"/>
      <c r="H133" s="356"/>
      <c r="I133" s="356"/>
      <c r="J133" s="356"/>
      <c r="K133" s="356"/>
      <c r="L133" s="381"/>
    </row>
    <row r="134" spans="1:12" ht="13.5" thickBot="1">
      <c r="A134" s="448">
        <f t="shared" si="7"/>
        <v>24</v>
      </c>
      <c r="B134" s="471" t="s">
        <v>1216</v>
      </c>
      <c r="C134" s="471"/>
      <c r="D134" s="471"/>
      <c r="E134" s="471"/>
      <c r="F134" s="471"/>
      <c r="G134" s="471"/>
      <c r="H134" s="379"/>
      <c r="I134" s="379"/>
      <c r="J134" s="379"/>
      <c r="K134" s="379"/>
      <c r="L134" s="383"/>
    </row>
    <row r="135" spans="1:12">
      <c r="C135" s="350"/>
      <c r="D135" s="350"/>
      <c r="E135" s="350"/>
      <c r="F135" s="350"/>
      <c r="G135" s="350"/>
    </row>
    <row r="136" spans="1:12">
      <c r="B136" s="350"/>
      <c r="C136" s="350"/>
      <c r="D136" s="350"/>
      <c r="E136" s="350"/>
      <c r="F136" s="350"/>
      <c r="G136" s="350"/>
    </row>
    <row r="137" spans="1:12">
      <c r="C137" s="350"/>
      <c r="D137" s="350"/>
      <c r="E137" s="350"/>
      <c r="F137" s="350"/>
      <c r="G137" s="350"/>
    </row>
    <row r="138" spans="1:12">
      <c r="B138" s="350"/>
      <c r="C138" s="350"/>
      <c r="D138" s="350"/>
      <c r="E138" s="350"/>
      <c r="F138" s="350"/>
      <c r="G138" s="350"/>
    </row>
  </sheetData>
  <pageMargins left="0.7" right="0.7" top="0.75" bottom="0.75" header="0.3" footer="0.3"/>
  <pageSetup scale="75" fitToHeight="0" orientation="landscape" r:id="rId1"/>
  <headerFooter>
    <oddFooter>&amp;R&amp;A</oddFooter>
  </headerFooter>
  <rowBreaks count="4" manualBreakCount="4">
    <brk id="33" max="16383" man="1"/>
    <brk id="51" max="16383" man="1"/>
    <brk id="77" max="16383" man="1"/>
    <brk id="106"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Normal="100" zoomScaleSheetLayoutView="100" workbookViewId="0">
      <selection activeCell="A2" sqref="A2"/>
    </sheetView>
  </sheetViews>
  <sheetFormatPr defaultColWidth="13.1796875" defaultRowHeight="14.5"/>
  <cols>
    <col min="1" max="1" width="9.7265625" style="351" customWidth="1"/>
    <col min="2" max="2" width="22.26953125" style="351" customWidth="1"/>
    <col min="3" max="3" width="14.81640625" style="351" customWidth="1"/>
    <col min="4" max="4" width="16.7265625" style="351" customWidth="1"/>
    <col min="5" max="11" width="13.1796875" style="351"/>
    <col min="12" max="12" width="13.81640625" style="351" bestFit="1" customWidth="1"/>
    <col min="13" max="16384" width="13.1796875" style="351"/>
  </cols>
  <sheetData>
    <row r="1" spans="1:13">
      <c r="A1" s="702" t="str">
        <f>'Cover Sheets'!A10:D10</f>
        <v>WAPA-UGP 2018 Rate True-up Calculation</v>
      </c>
      <c r="B1" s="714"/>
      <c r="C1" s="398"/>
      <c r="D1" s="398"/>
      <c r="E1" s="398"/>
      <c r="F1" s="398"/>
      <c r="G1" s="398"/>
      <c r="H1" s="398"/>
      <c r="I1" s="398"/>
      <c r="J1" s="398"/>
      <c r="K1" s="398"/>
      <c r="L1" s="398"/>
      <c r="M1" s="398"/>
    </row>
    <row r="2" spans="1:13">
      <c r="A2" s="816" t="s">
        <v>2559</v>
      </c>
      <c r="B2" s="714"/>
      <c r="C2" s="398"/>
      <c r="D2" s="398"/>
      <c r="E2" s="398"/>
      <c r="F2" s="398"/>
      <c r="G2" s="398"/>
      <c r="H2" s="398"/>
      <c r="I2" s="398"/>
      <c r="J2" s="398"/>
      <c r="K2" s="398"/>
      <c r="L2" s="398"/>
      <c r="M2" s="398"/>
    </row>
    <row r="3" spans="1:13">
      <c r="A3" s="703" t="str">
        <f>'Summary-TrueUp'!A3</f>
        <v>12 Months Ending 09/30/2018 True-up</v>
      </c>
      <c r="B3" s="398"/>
      <c r="C3" s="398"/>
      <c r="D3" s="398"/>
      <c r="E3" s="398"/>
      <c r="F3" s="398"/>
      <c r="G3" s="398"/>
      <c r="H3" s="398"/>
      <c r="I3" s="398"/>
      <c r="J3" s="398"/>
      <c r="K3" s="398"/>
      <c r="L3" s="398"/>
      <c r="M3" s="398"/>
    </row>
    <row r="4" spans="1:13" ht="39.5">
      <c r="A4" s="703"/>
      <c r="B4" s="358" t="s">
        <v>2503</v>
      </c>
      <c r="C4" s="359" t="s">
        <v>2504</v>
      </c>
      <c r="D4" s="358" t="s">
        <v>2505</v>
      </c>
      <c r="E4" s="358" t="s">
        <v>2525</v>
      </c>
      <c r="F4" s="358" t="s">
        <v>2506</v>
      </c>
      <c r="G4" s="358" t="s">
        <v>2507</v>
      </c>
      <c r="H4" s="358" t="s">
        <v>2508</v>
      </c>
      <c r="I4" s="358" t="s">
        <v>2509</v>
      </c>
      <c r="J4" s="358" t="s">
        <v>2510</v>
      </c>
      <c r="K4" s="358" t="s">
        <v>2511</v>
      </c>
      <c r="L4" s="358" t="s">
        <v>2510</v>
      </c>
      <c r="M4" s="358" t="s">
        <v>2512</v>
      </c>
    </row>
    <row r="5" spans="1:13">
      <c r="A5" s="715" t="s">
        <v>1385</v>
      </c>
      <c r="B5" s="716">
        <v>-1</v>
      </c>
      <c r="C5" s="716">
        <v>-2</v>
      </c>
      <c r="D5" s="716">
        <v>-3</v>
      </c>
      <c r="E5" s="716">
        <v>-4</v>
      </c>
      <c r="F5" s="716">
        <v>-5</v>
      </c>
      <c r="G5" s="716">
        <v>-6</v>
      </c>
      <c r="H5" s="716">
        <v>-7</v>
      </c>
      <c r="I5" s="716">
        <v>-8</v>
      </c>
      <c r="J5" s="716">
        <v>-9</v>
      </c>
      <c r="K5" s="716">
        <v>-10</v>
      </c>
      <c r="L5" s="716">
        <v>-11</v>
      </c>
      <c r="M5" s="716">
        <v>-12</v>
      </c>
    </row>
    <row r="6" spans="1:13">
      <c r="A6" s="717">
        <v>1</v>
      </c>
      <c r="B6" s="718"/>
      <c r="C6" s="719" t="s">
        <v>8</v>
      </c>
      <c r="D6" s="720">
        <v>0</v>
      </c>
      <c r="E6" s="721"/>
      <c r="F6" s="720"/>
      <c r="G6" s="722"/>
      <c r="H6" s="723"/>
      <c r="I6" s="722"/>
      <c r="J6" s="721"/>
      <c r="K6" s="720"/>
      <c r="L6" s="724">
        <f>J6*K6</f>
        <v>0</v>
      </c>
      <c r="M6" s="725">
        <f>L6+G6+I6+H6</f>
        <v>0</v>
      </c>
    </row>
    <row r="7" spans="1:13">
      <c r="A7" s="717">
        <f t="shared" ref="A7:A19" si="0">A6+1</f>
        <v>2</v>
      </c>
      <c r="B7" s="726"/>
      <c r="C7" s="722"/>
      <c r="D7" s="406"/>
      <c r="E7" s="406"/>
      <c r="F7" s="406"/>
      <c r="G7" s="406"/>
      <c r="H7" s="406"/>
      <c r="I7" s="406"/>
      <c r="J7" s="406"/>
      <c r="K7" s="406"/>
      <c r="L7" s="406"/>
      <c r="M7" s="406"/>
    </row>
    <row r="8" spans="1:13">
      <c r="A8" s="717">
        <f t="shared" si="0"/>
        <v>3</v>
      </c>
      <c r="B8" s="726"/>
      <c r="C8" s="722"/>
      <c r="D8" s="406"/>
      <c r="E8" s="406"/>
      <c r="F8" s="406"/>
      <c r="G8" s="406"/>
      <c r="H8" s="406"/>
      <c r="I8" s="406"/>
      <c r="J8" s="406"/>
      <c r="K8" s="406"/>
      <c r="L8" s="406"/>
      <c r="M8" s="406"/>
    </row>
    <row r="9" spans="1:13">
      <c r="A9" s="717">
        <f t="shared" si="0"/>
        <v>4</v>
      </c>
      <c r="B9" s="726"/>
      <c r="C9" s="722"/>
      <c r="D9" s="406"/>
      <c r="E9" s="406"/>
      <c r="F9" s="406"/>
      <c r="G9" s="406"/>
      <c r="H9" s="406"/>
      <c r="I9" s="406"/>
      <c r="J9" s="406"/>
      <c r="K9" s="406"/>
      <c r="L9" s="406"/>
      <c r="M9" s="406"/>
    </row>
    <row r="10" spans="1:13">
      <c r="A10" s="717">
        <f t="shared" si="0"/>
        <v>5</v>
      </c>
      <c r="B10" s="726"/>
      <c r="C10" s="722"/>
      <c r="D10" s="727"/>
      <c r="E10" s="727"/>
      <c r="F10" s="727"/>
      <c r="G10" s="727"/>
      <c r="H10" s="727"/>
      <c r="I10" s="727"/>
      <c r="J10" s="727"/>
      <c r="K10" s="727"/>
      <c r="L10" s="727"/>
      <c r="M10" s="727"/>
    </row>
    <row r="11" spans="1:13">
      <c r="A11" s="717">
        <f t="shared" si="0"/>
        <v>6</v>
      </c>
      <c r="B11" s="726"/>
      <c r="C11" s="406"/>
      <c r="D11" s="406"/>
      <c r="E11" s="406"/>
      <c r="F11" s="406"/>
      <c r="G11" s="406"/>
      <c r="H11" s="406"/>
      <c r="I11" s="406"/>
      <c r="J11" s="406"/>
      <c r="K11" s="406"/>
      <c r="L11" s="406"/>
      <c r="M11" s="406"/>
    </row>
    <row r="12" spans="1:13">
      <c r="A12" s="717">
        <f t="shared" si="0"/>
        <v>7</v>
      </c>
      <c r="B12" s="718"/>
      <c r="C12" s="728"/>
      <c r="D12" s="406"/>
      <c r="E12" s="406"/>
      <c r="F12" s="406"/>
      <c r="G12" s="406"/>
      <c r="H12" s="406"/>
      <c r="I12" s="406"/>
      <c r="J12" s="406"/>
      <c r="K12" s="406"/>
      <c r="L12" s="406"/>
      <c r="M12" s="406"/>
    </row>
    <row r="13" spans="1:13">
      <c r="A13" s="717">
        <f t="shared" si="0"/>
        <v>8</v>
      </c>
      <c r="B13" s="718"/>
      <c r="C13" s="722"/>
      <c r="D13" s="406"/>
      <c r="E13" s="406"/>
      <c r="F13" s="406"/>
      <c r="G13" s="406"/>
      <c r="H13" s="406"/>
      <c r="I13" s="406"/>
      <c r="J13" s="406"/>
      <c r="K13" s="406"/>
      <c r="L13" s="406"/>
      <c r="M13" s="406"/>
    </row>
    <row r="14" spans="1:13">
      <c r="A14" s="717">
        <f t="shared" si="0"/>
        <v>9</v>
      </c>
      <c r="B14" s="718"/>
      <c r="C14" s="722"/>
      <c r="D14" s="406"/>
      <c r="E14" s="406"/>
      <c r="F14" s="406"/>
      <c r="G14" s="406"/>
      <c r="H14" s="406"/>
      <c r="I14" s="406"/>
      <c r="J14" s="406"/>
      <c r="K14" s="406"/>
      <c r="L14" s="406"/>
      <c r="M14" s="406"/>
    </row>
    <row r="15" spans="1:13">
      <c r="A15" s="717">
        <f t="shared" si="0"/>
        <v>10</v>
      </c>
      <c r="B15" s="726"/>
      <c r="C15" s="728"/>
      <c r="D15" s="729"/>
      <c r="E15" s="729"/>
      <c r="F15" s="729"/>
      <c r="G15" s="729"/>
      <c r="H15" s="729"/>
      <c r="I15" s="729"/>
      <c r="J15" s="729"/>
      <c r="K15" s="729"/>
      <c r="L15" s="729"/>
      <c r="M15" s="729"/>
    </row>
    <row r="16" spans="1:13">
      <c r="A16" s="717">
        <f t="shared" si="0"/>
        <v>11</v>
      </c>
      <c r="B16" s="718"/>
      <c r="C16" s="722"/>
      <c r="D16" s="406"/>
      <c r="E16" s="406"/>
      <c r="F16" s="406"/>
      <c r="G16" s="406"/>
      <c r="H16" s="406"/>
      <c r="I16" s="406"/>
      <c r="J16" s="406"/>
      <c r="K16" s="406"/>
      <c r="L16" s="406"/>
      <c r="M16" s="406"/>
    </row>
    <row r="17" spans="1:13">
      <c r="A17" s="717">
        <f t="shared" si="0"/>
        <v>12</v>
      </c>
      <c r="B17" s="730"/>
      <c r="C17" s="731"/>
      <c r="D17" s="425"/>
      <c r="E17" s="425"/>
      <c r="F17" s="425"/>
      <c r="G17" s="425"/>
      <c r="H17" s="425"/>
      <c r="I17" s="425"/>
      <c r="J17" s="425"/>
      <c r="K17" s="425"/>
      <c r="L17" s="425"/>
      <c r="M17" s="425"/>
    </row>
    <row r="18" spans="1:13">
      <c r="A18" s="717">
        <f t="shared" si="0"/>
        <v>13</v>
      </c>
      <c r="B18" s="730"/>
      <c r="C18" s="731"/>
      <c r="D18" s="425"/>
      <c r="E18" s="425"/>
      <c r="F18" s="425"/>
      <c r="G18" s="425"/>
      <c r="H18" s="425"/>
      <c r="I18" s="425"/>
      <c r="J18" s="425"/>
      <c r="K18" s="425"/>
      <c r="L18" s="425"/>
      <c r="M18" s="425"/>
    </row>
    <row r="19" spans="1:13">
      <c r="A19" s="783">
        <f t="shared" si="0"/>
        <v>14</v>
      </c>
      <c r="B19" s="784" t="s">
        <v>980</v>
      </c>
      <c r="C19" s="785"/>
      <c r="D19" s="786"/>
      <c r="E19" s="786"/>
      <c r="F19" s="786"/>
      <c r="G19" s="786"/>
      <c r="H19" s="786"/>
      <c r="I19" s="786"/>
      <c r="J19" s="786"/>
      <c r="K19" s="786"/>
      <c r="L19" s="786"/>
      <c r="M19" s="786"/>
    </row>
    <row r="20" spans="1:13">
      <c r="A20" s="732"/>
      <c r="B20" s="733"/>
      <c r="C20" s="733"/>
      <c r="D20" s="733"/>
    </row>
  </sheetData>
  <pageMargins left="0.7" right="0.7" top="0.75" bottom="0.75" header="0.3" footer="0.3"/>
  <pageSetup scale="66"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110" zoomScaleNormal="100" zoomScaleSheetLayoutView="110" workbookViewId="0">
      <selection activeCell="G19" sqref="G19"/>
    </sheetView>
  </sheetViews>
  <sheetFormatPr defaultColWidth="13.1796875" defaultRowHeight="14.5"/>
  <cols>
    <col min="1" max="1" width="23.54296875" style="351" bestFit="1" customWidth="1"/>
    <col min="2" max="2" width="22.26953125" style="351" customWidth="1"/>
    <col min="3" max="3" width="14.81640625" style="351" customWidth="1"/>
    <col min="4" max="4" width="16.7265625" style="351" customWidth="1"/>
    <col min="5" max="16384" width="13.1796875" style="351"/>
  </cols>
  <sheetData>
    <row r="1" spans="1:13">
      <c r="A1" s="702" t="str">
        <f>'Cover Sheets'!A10:D10</f>
        <v>WAPA-UGP 2018 Rate True-up Calculation</v>
      </c>
      <c r="B1" s="714"/>
      <c r="C1" s="398"/>
      <c r="D1" s="398"/>
      <c r="E1" s="398"/>
      <c r="F1" s="398"/>
      <c r="G1" s="398"/>
      <c r="H1" s="398"/>
      <c r="I1" s="398"/>
      <c r="J1" s="398"/>
      <c r="K1" s="398"/>
      <c r="L1" s="398"/>
      <c r="M1" s="734"/>
    </row>
    <row r="2" spans="1:13">
      <c r="A2" s="816" t="s">
        <v>2560</v>
      </c>
      <c r="B2" s="714"/>
      <c r="C2" s="398"/>
      <c r="D2" s="398"/>
      <c r="E2" s="398"/>
      <c r="F2" s="398"/>
      <c r="G2" s="398"/>
      <c r="H2" s="398"/>
      <c r="I2" s="398"/>
      <c r="J2" s="398"/>
      <c r="K2" s="398"/>
      <c r="L2" s="398"/>
      <c r="M2" s="734"/>
    </row>
    <row r="3" spans="1:13">
      <c r="A3" s="703" t="str">
        <f>'Summary-TrueUp'!A3</f>
        <v>12 Months Ending 09/30/2018 True-up</v>
      </c>
      <c r="B3" s="398"/>
      <c r="C3" s="398"/>
      <c r="D3" s="398"/>
      <c r="E3" s="398"/>
      <c r="F3" s="398"/>
      <c r="G3" s="398"/>
      <c r="H3" s="398"/>
      <c r="I3" s="398"/>
      <c r="J3" s="398"/>
      <c r="K3" s="398"/>
      <c r="L3" s="398"/>
      <c r="M3" s="734"/>
    </row>
    <row r="4" spans="1:13" ht="39.5">
      <c r="A4" s="703"/>
      <c r="B4" s="358" t="s">
        <v>2503</v>
      </c>
      <c r="C4" s="359" t="s">
        <v>2504</v>
      </c>
      <c r="D4" s="358" t="s">
        <v>2505</v>
      </c>
      <c r="E4" s="358" t="s">
        <v>2525</v>
      </c>
      <c r="F4" s="358" t="s">
        <v>2506</v>
      </c>
      <c r="G4" s="358" t="s">
        <v>2507</v>
      </c>
      <c r="H4" s="358" t="s">
        <v>2508</v>
      </c>
      <c r="I4" s="358" t="s">
        <v>2509</v>
      </c>
      <c r="J4" s="358" t="s">
        <v>2510</v>
      </c>
      <c r="K4" s="358" t="s">
        <v>2511</v>
      </c>
      <c r="L4" s="358" t="s">
        <v>2510</v>
      </c>
      <c r="M4" s="358" t="s">
        <v>2512</v>
      </c>
    </row>
    <row r="5" spans="1:13">
      <c r="A5" s="715" t="s">
        <v>1385</v>
      </c>
      <c r="B5" s="716">
        <v>-1</v>
      </c>
      <c r="C5" s="716">
        <v>-2</v>
      </c>
      <c r="D5" s="716">
        <v>-3</v>
      </c>
      <c r="E5" s="716">
        <v>-4</v>
      </c>
      <c r="F5" s="716">
        <v>-5</v>
      </c>
      <c r="G5" s="716">
        <v>-6</v>
      </c>
      <c r="H5" s="716">
        <v>-7</v>
      </c>
      <c r="I5" s="716">
        <v>-8</v>
      </c>
      <c r="J5" s="716">
        <v>-9</v>
      </c>
      <c r="K5" s="716">
        <v>-10</v>
      </c>
      <c r="L5" s="716">
        <v>-11</v>
      </c>
      <c r="M5" s="716">
        <v>-12</v>
      </c>
    </row>
    <row r="6" spans="1:13">
      <c r="A6" s="717">
        <v>1</v>
      </c>
      <c r="B6" s="718"/>
      <c r="C6" s="719"/>
      <c r="D6" s="720"/>
      <c r="E6" s="722"/>
      <c r="F6" s="720"/>
      <c r="G6" s="722"/>
      <c r="H6" s="723"/>
      <c r="I6" s="722"/>
      <c r="J6" s="721"/>
      <c r="K6" s="720"/>
      <c r="L6" s="724">
        <f>J6*K6</f>
        <v>0</v>
      </c>
      <c r="M6" s="725">
        <f>L6+H6+G6+I6</f>
        <v>0</v>
      </c>
    </row>
    <row r="7" spans="1:13">
      <c r="A7" s="717">
        <f t="shared" ref="A7:A19" si="0">A6+1</f>
        <v>2</v>
      </c>
      <c r="B7" s="726"/>
      <c r="C7" s="722"/>
      <c r="D7" s="406"/>
      <c r="E7" s="406"/>
      <c r="F7" s="406"/>
      <c r="G7" s="406"/>
      <c r="H7" s="406"/>
      <c r="I7" s="406"/>
      <c r="J7" s="406"/>
      <c r="K7" s="406"/>
      <c r="L7" s="406"/>
      <c r="M7" s="734"/>
    </row>
    <row r="8" spans="1:13">
      <c r="A8" s="717">
        <f t="shared" si="0"/>
        <v>3</v>
      </c>
      <c r="B8" s="726"/>
      <c r="C8" s="722"/>
      <c r="D8" s="406"/>
      <c r="E8" s="406"/>
      <c r="F8" s="406"/>
      <c r="G8" s="406"/>
      <c r="H8" s="406"/>
      <c r="I8" s="406"/>
      <c r="J8" s="406"/>
      <c r="K8" s="406"/>
      <c r="L8" s="406"/>
      <c r="M8" s="734"/>
    </row>
    <row r="9" spans="1:13">
      <c r="A9" s="717">
        <f t="shared" si="0"/>
        <v>4</v>
      </c>
      <c r="B9" s="726"/>
      <c r="C9" s="722"/>
      <c r="D9" s="406"/>
      <c r="E9" s="406"/>
      <c r="F9" s="406"/>
      <c r="G9" s="406"/>
      <c r="H9" s="406"/>
      <c r="I9" s="406"/>
      <c r="J9" s="406"/>
      <c r="K9" s="406"/>
      <c r="L9" s="406"/>
      <c r="M9" s="734"/>
    </row>
    <row r="10" spans="1:13">
      <c r="A10" s="717">
        <f t="shared" si="0"/>
        <v>5</v>
      </c>
      <c r="B10" s="726"/>
      <c r="C10" s="722"/>
      <c r="D10" s="727"/>
      <c r="E10" s="727"/>
      <c r="F10" s="727"/>
      <c r="G10" s="727"/>
      <c r="H10" s="727"/>
      <c r="I10" s="727"/>
      <c r="J10" s="727"/>
      <c r="K10" s="727"/>
      <c r="L10" s="727"/>
      <c r="M10" s="734"/>
    </row>
    <row r="11" spans="1:13">
      <c r="A11" s="717">
        <f t="shared" si="0"/>
        <v>6</v>
      </c>
      <c r="B11" s="726"/>
      <c r="C11" s="406"/>
      <c r="D11" s="406"/>
      <c r="E11" s="406"/>
      <c r="F11" s="406"/>
      <c r="G11" s="406"/>
      <c r="H11" s="406"/>
      <c r="I11" s="406"/>
      <c r="J11" s="406"/>
      <c r="K11" s="406"/>
      <c r="L11" s="406"/>
      <c r="M11" s="734"/>
    </row>
    <row r="12" spans="1:13">
      <c r="A12" s="717">
        <f t="shared" si="0"/>
        <v>7</v>
      </c>
      <c r="B12" s="718"/>
      <c r="C12" s="728"/>
      <c r="D12" s="406"/>
      <c r="E12" s="406"/>
      <c r="F12" s="406"/>
      <c r="G12" s="406"/>
      <c r="H12" s="406"/>
      <c r="I12" s="406"/>
      <c r="J12" s="406"/>
      <c r="K12" s="406"/>
      <c r="L12" s="406"/>
      <c r="M12" s="734"/>
    </row>
    <row r="13" spans="1:13">
      <c r="A13" s="717">
        <f t="shared" si="0"/>
        <v>8</v>
      </c>
      <c r="B13" s="718"/>
      <c r="C13" s="722"/>
      <c r="D13" s="406"/>
      <c r="E13" s="406"/>
      <c r="F13" s="406"/>
      <c r="G13" s="406"/>
      <c r="H13" s="406"/>
      <c r="I13" s="406"/>
      <c r="J13" s="406"/>
      <c r="K13" s="406"/>
      <c r="L13" s="406"/>
      <c r="M13" s="734"/>
    </row>
    <row r="14" spans="1:13">
      <c r="A14" s="717">
        <f t="shared" si="0"/>
        <v>9</v>
      </c>
      <c r="B14" s="718"/>
      <c r="C14" s="722"/>
      <c r="D14" s="406"/>
      <c r="E14" s="406"/>
      <c r="F14" s="406"/>
      <c r="G14" s="406"/>
      <c r="H14" s="406"/>
      <c r="I14" s="406"/>
      <c r="J14" s="406"/>
      <c r="K14" s="406"/>
      <c r="L14" s="406"/>
      <c r="M14" s="734"/>
    </row>
    <row r="15" spans="1:13">
      <c r="A15" s="717">
        <f t="shared" si="0"/>
        <v>10</v>
      </c>
      <c r="B15" s="726"/>
      <c r="C15" s="728"/>
      <c r="D15" s="729"/>
      <c r="E15" s="729"/>
      <c r="F15" s="729"/>
      <c r="G15" s="729"/>
      <c r="H15" s="729"/>
      <c r="I15" s="729"/>
      <c r="J15" s="729"/>
      <c r="K15" s="729"/>
      <c r="L15" s="729"/>
      <c r="M15" s="734"/>
    </row>
    <row r="16" spans="1:13">
      <c r="A16" s="717">
        <f t="shared" si="0"/>
        <v>11</v>
      </c>
      <c r="B16" s="718"/>
      <c r="C16" s="722"/>
      <c r="D16" s="406"/>
      <c r="E16" s="406"/>
      <c r="F16" s="406"/>
      <c r="G16" s="406"/>
      <c r="H16" s="406"/>
      <c r="I16" s="406"/>
      <c r="J16" s="406"/>
      <c r="K16" s="406"/>
      <c r="L16" s="406"/>
      <c r="M16" s="734"/>
    </row>
    <row r="17" spans="1:13">
      <c r="A17" s="717">
        <f t="shared" si="0"/>
        <v>12</v>
      </c>
      <c r="B17" s="730"/>
      <c r="C17" s="731"/>
      <c r="D17" s="425"/>
      <c r="E17" s="425"/>
      <c r="F17" s="425"/>
      <c r="G17" s="425"/>
      <c r="H17" s="425"/>
      <c r="I17" s="425"/>
      <c r="J17" s="425"/>
      <c r="K17" s="425"/>
      <c r="L17" s="425"/>
      <c r="M17" s="734"/>
    </row>
    <row r="18" spans="1:13">
      <c r="A18" s="717">
        <f t="shared" si="0"/>
        <v>13</v>
      </c>
      <c r="B18" s="730"/>
      <c r="C18" s="731"/>
      <c r="D18" s="425"/>
      <c r="E18" s="425"/>
      <c r="F18" s="425"/>
      <c r="G18" s="425"/>
      <c r="H18" s="425"/>
      <c r="I18" s="425"/>
      <c r="J18" s="425"/>
      <c r="K18" s="425"/>
      <c r="L18" s="425"/>
      <c r="M18" s="734"/>
    </row>
    <row r="19" spans="1:13">
      <c r="A19" s="783">
        <f t="shared" si="0"/>
        <v>14</v>
      </c>
      <c r="B19" s="784"/>
      <c r="C19" s="785"/>
      <c r="D19" s="786"/>
      <c r="E19" s="786"/>
      <c r="F19" s="786"/>
      <c r="G19" s="786"/>
      <c r="H19" s="786"/>
      <c r="I19" s="786"/>
      <c r="J19" s="786"/>
      <c r="K19" s="786"/>
      <c r="L19" s="786"/>
      <c r="M19" s="787"/>
    </row>
    <row r="20" spans="1:13">
      <c r="A20" s="732"/>
      <c r="B20" s="733"/>
      <c r="C20" s="733"/>
      <c r="D20" s="733"/>
    </row>
  </sheetData>
  <pageMargins left="0.7" right="0.7" top="0.75" bottom="0.75" header="0.3" footer="0.3"/>
  <pageSetup scale="62"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A4" sqref="A4"/>
    </sheetView>
  </sheetViews>
  <sheetFormatPr defaultColWidth="9.1796875" defaultRowHeight="13"/>
  <cols>
    <col min="1" max="1" width="22.1796875" style="353" customWidth="1"/>
    <col min="2" max="2" width="19.26953125" style="353" bestFit="1" customWidth="1"/>
    <col min="3" max="3" width="76.1796875" style="353" bestFit="1" customWidth="1"/>
    <col min="4" max="4" width="27.81640625" style="353" hidden="1" customWidth="1"/>
    <col min="5" max="5" width="22" style="751" customWidth="1"/>
    <col min="6" max="6" width="16.54296875" style="353" customWidth="1"/>
    <col min="7" max="7" width="15" style="546" customWidth="1"/>
    <col min="8" max="8" width="17.1796875" style="353" customWidth="1"/>
    <col min="9" max="9" width="16.453125" style="547" customWidth="1"/>
    <col min="10" max="10" width="12.7265625" style="353" bestFit="1" customWidth="1"/>
    <col min="11" max="11" width="11.54296875" style="353" bestFit="1" customWidth="1"/>
    <col min="12" max="16384" width="9.1796875" style="353"/>
  </cols>
  <sheetData>
    <row r="1" spans="1:14">
      <c r="A1" s="735" t="str">
        <f>'Cover Sheets'!A10:D10</f>
        <v>WAPA-UGP 2018 Rate True-up Calculation</v>
      </c>
      <c r="B1" s="380"/>
      <c r="C1" s="355"/>
      <c r="D1" s="355"/>
      <c r="E1" s="736"/>
      <c r="F1" s="355"/>
      <c r="G1" s="553"/>
      <c r="H1" s="355"/>
      <c r="I1" s="554"/>
    </row>
    <row r="2" spans="1:14">
      <c r="A2" s="821" t="s">
        <v>2561</v>
      </c>
      <c r="B2" s="381"/>
      <c r="C2" s="356"/>
      <c r="D2" s="356"/>
      <c r="E2" s="552"/>
      <c r="F2" s="356"/>
      <c r="G2" s="537"/>
      <c r="H2" s="356"/>
      <c r="I2" s="538"/>
    </row>
    <row r="3" spans="1:14">
      <c r="A3" s="737" t="str">
        <f>'Summary-TrueUp'!A3</f>
        <v>12 Months Ending 09/30/2018 True-up</v>
      </c>
      <c r="B3" s="381"/>
      <c r="C3" s="356"/>
      <c r="D3" s="356"/>
      <c r="E3" s="552"/>
      <c r="F3" s="356"/>
      <c r="G3" s="537"/>
      <c r="H3" s="356"/>
      <c r="I3" s="538"/>
    </row>
    <row r="4" spans="1:14" s="3" customFormat="1" ht="52">
      <c r="A4" s="738" t="s">
        <v>2523</v>
      </c>
      <c r="B4" s="739" t="s">
        <v>1</v>
      </c>
      <c r="C4" s="427" t="s">
        <v>2</v>
      </c>
      <c r="D4" s="427" t="s">
        <v>1388</v>
      </c>
      <c r="E4" s="549" t="s">
        <v>4</v>
      </c>
      <c r="F4" s="549" t="s">
        <v>2513</v>
      </c>
      <c r="G4" s="550" t="s">
        <v>2514</v>
      </c>
      <c r="H4" s="550" t="s">
        <v>2515</v>
      </c>
      <c r="I4" s="551" t="s">
        <v>2516</v>
      </c>
      <c r="J4" s="8"/>
      <c r="N4" s="8"/>
    </row>
    <row r="5" spans="1:14" ht="13.5" thickBot="1">
      <c r="A5" s="740"/>
      <c r="B5" s="741"/>
      <c r="C5" s="433"/>
      <c r="D5" s="433" t="s">
        <v>2388</v>
      </c>
      <c r="E5" s="434">
        <v>0</v>
      </c>
      <c r="F5" s="434">
        <v>0</v>
      </c>
      <c r="G5" s="435">
        <v>0</v>
      </c>
      <c r="H5" s="435">
        <v>0</v>
      </c>
      <c r="I5" s="436">
        <f>I21+G21</f>
        <v>0</v>
      </c>
      <c r="J5" s="704"/>
      <c r="L5" s="11"/>
      <c r="M5" s="11"/>
      <c r="N5" s="15"/>
    </row>
    <row r="6" spans="1:14">
      <c r="A6" s="437"/>
      <c r="B6" s="742"/>
      <c r="C6" s="743"/>
      <c r="D6" s="439" t="s">
        <v>2517</v>
      </c>
      <c r="E6" s="744">
        <f>SUM(E5:E5)</f>
        <v>0</v>
      </c>
      <c r="F6" s="441">
        <f>SUM(F5:F5)</f>
        <v>0</v>
      </c>
      <c r="G6" s="442">
        <f>SUM(G5:G5)</f>
        <v>0</v>
      </c>
      <c r="H6" s="441">
        <v>0</v>
      </c>
      <c r="I6" s="503">
        <f>SUM(I5)</f>
        <v>0</v>
      </c>
      <c r="J6" s="14"/>
      <c r="K6" s="704"/>
      <c r="L6" s="11"/>
      <c r="M6" s="11"/>
      <c r="N6" s="15"/>
    </row>
    <row r="7" spans="1:14" ht="44.25" customHeight="1">
      <c r="A7" s="533" t="s">
        <v>2524</v>
      </c>
      <c r="B7" s="745" t="s">
        <v>1</v>
      </c>
      <c r="C7" s="746" t="s">
        <v>2</v>
      </c>
      <c r="D7" s="427" t="s">
        <v>2391</v>
      </c>
      <c r="E7" s="747" t="s">
        <v>2396</v>
      </c>
      <c r="F7" s="534" t="s">
        <v>2518</v>
      </c>
      <c r="G7" s="535" t="s">
        <v>2519</v>
      </c>
      <c r="H7" s="445" t="s">
        <v>2520</v>
      </c>
      <c r="I7" s="548" t="s">
        <v>2521</v>
      </c>
    </row>
    <row r="8" spans="1:14">
      <c r="A8" s="515"/>
      <c r="B8" s="748"/>
      <c r="C8" s="515"/>
      <c r="D8" s="428" t="s">
        <v>1390</v>
      </c>
      <c r="E8" s="432"/>
      <c r="F8" s="536">
        <v>0.33</v>
      </c>
      <c r="G8" s="537">
        <f t="shared" ref="G8:G20" si="0">F8*E8</f>
        <v>0</v>
      </c>
      <c r="H8" s="536">
        <v>0.67</v>
      </c>
      <c r="I8" s="538">
        <f>E8*H8</f>
        <v>0</v>
      </c>
    </row>
    <row r="9" spans="1:14">
      <c r="A9" s="515"/>
      <c r="B9" s="748"/>
      <c r="C9" s="515"/>
      <c r="D9" s="428" t="s">
        <v>1392</v>
      </c>
      <c r="E9" s="432"/>
      <c r="F9" s="536">
        <v>0.33</v>
      </c>
      <c r="G9" s="537">
        <f t="shared" si="0"/>
        <v>0</v>
      </c>
      <c r="H9" s="536">
        <v>0.67</v>
      </c>
      <c r="I9" s="538">
        <f t="shared" ref="I9:I20" si="1">E9*H9</f>
        <v>0</v>
      </c>
    </row>
    <row r="10" spans="1:14">
      <c r="A10" s="515"/>
      <c r="B10" s="748"/>
      <c r="C10" s="515"/>
      <c r="D10" s="428" t="s">
        <v>1392</v>
      </c>
      <c r="E10" s="432"/>
      <c r="F10" s="536">
        <v>0.33</v>
      </c>
      <c r="G10" s="537">
        <f t="shared" si="0"/>
        <v>0</v>
      </c>
      <c r="H10" s="536">
        <v>0.67</v>
      </c>
      <c r="I10" s="538">
        <f t="shared" si="1"/>
        <v>0</v>
      </c>
    </row>
    <row r="11" spans="1:14">
      <c r="A11" s="515"/>
      <c r="B11" s="748"/>
      <c r="C11" s="515"/>
      <c r="D11" s="428" t="s">
        <v>1395</v>
      </c>
      <c r="E11" s="432"/>
      <c r="F11" s="536">
        <v>0.33</v>
      </c>
      <c r="G11" s="537">
        <f t="shared" si="0"/>
        <v>0</v>
      </c>
      <c r="H11" s="536">
        <v>0.67</v>
      </c>
      <c r="I11" s="538">
        <f t="shared" si="1"/>
        <v>0</v>
      </c>
    </row>
    <row r="12" spans="1:14">
      <c r="A12" s="515"/>
      <c r="B12" s="748"/>
      <c r="C12" s="515"/>
      <c r="D12" s="428" t="s">
        <v>1390</v>
      </c>
      <c r="E12" s="432"/>
      <c r="F12" s="536">
        <v>0.33</v>
      </c>
      <c r="G12" s="537">
        <f t="shared" si="0"/>
        <v>0</v>
      </c>
      <c r="H12" s="536">
        <v>0.67</v>
      </c>
      <c r="I12" s="538">
        <f t="shared" si="1"/>
        <v>0</v>
      </c>
    </row>
    <row r="13" spans="1:14">
      <c r="A13" s="515"/>
      <c r="B13" s="748"/>
      <c r="C13" s="515"/>
      <c r="D13" s="428" t="s">
        <v>2305</v>
      </c>
      <c r="E13" s="432"/>
      <c r="F13" s="536">
        <v>0.33</v>
      </c>
      <c r="G13" s="537">
        <f t="shared" si="0"/>
        <v>0</v>
      </c>
      <c r="H13" s="536">
        <v>0.67</v>
      </c>
      <c r="I13" s="538">
        <f t="shared" si="1"/>
        <v>0</v>
      </c>
    </row>
    <row r="14" spans="1:14">
      <c r="A14" s="515"/>
      <c r="B14" s="748"/>
      <c r="C14" s="515"/>
      <c r="D14" s="428" t="s">
        <v>2305</v>
      </c>
      <c r="E14" s="432"/>
      <c r="F14" s="536">
        <v>0</v>
      </c>
      <c r="G14" s="537">
        <f t="shared" si="0"/>
        <v>0</v>
      </c>
      <c r="H14" s="536">
        <v>1</v>
      </c>
      <c r="I14" s="538">
        <f t="shared" si="1"/>
        <v>0</v>
      </c>
    </row>
    <row r="15" spans="1:14">
      <c r="A15" s="515"/>
      <c r="B15" s="748"/>
      <c r="C15" s="515"/>
      <c r="D15" s="428" t="s">
        <v>1397</v>
      </c>
      <c r="E15" s="432"/>
      <c r="F15" s="536">
        <v>0</v>
      </c>
      <c r="G15" s="537">
        <f t="shared" si="0"/>
        <v>0</v>
      </c>
      <c r="H15" s="536">
        <v>1</v>
      </c>
      <c r="I15" s="538">
        <f t="shared" si="1"/>
        <v>0</v>
      </c>
    </row>
    <row r="16" spans="1:14">
      <c r="A16" s="515"/>
      <c r="B16" s="748"/>
      <c r="C16" s="515"/>
      <c r="D16" s="428" t="s">
        <v>1392</v>
      </c>
      <c r="E16" s="432"/>
      <c r="F16" s="536">
        <v>0</v>
      </c>
      <c r="G16" s="537">
        <f t="shared" si="0"/>
        <v>0</v>
      </c>
      <c r="H16" s="536">
        <v>1</v>
      </c>
      <c r="I16" s="538">
        <f t="shared" si="1"/>
        <v>0</v>
      </c>
    </row>
    <row r="17" spans="1:9">
      <c r="A17" s="515"/>
      <c r="B17" s="748"/>
      <c r="C17" s="515"/>
      <c r="D17" s="428" t="s">
        <v>1399</v>
      </c>
      <c r="E17" s="432"/>
      <c r="F17" s="536">
        <v>0</v>
      </c>
      <c r="G17" s="537">
        <f t="shared" si="0"/>
        <v>0</v>
      </c>
      <c r="H17" s="536">
        <v>1</v>
      </c>
      <c r="I17" s="538">
        <f t="shared" si="1"/>
        <v>0</v>
      </c>
    </row>
    <row r="18" spans="1:9">
      <c r="A18" s="515"/>
      <c r="B18" s="748"/>
      <c r="C18" s="515"/>
      <c r="D18" s="428" t="s">
        <v>1400</v>
      </c>
      <c r="E18" s="432"/>
      <c r="F18" s="536">
        <v>0</v>
      </c>
      <c r="G18" s="537">
        <f t="shared" si="0"/>
        <v>0</v>
      </c>
      <c r="H18" s="536">
        <v>1</v>
      </c>
      <c r="I18" s="538">
        <f t="shared" si="1"/>
        <v>0</v>
      </c>
    </row>
    <row r="19" spans="1:9">
      <c r="A19" s="515"/>
      <c r="B19" s="748"/>
      <c r="C19" s="515"/>
      <c r="D19" s="428" t="s">
        <v>1402</v>
      </c>
      <c r="E19" s="432"/>
      <c r="F19" s="536">
        <v>0</v>
      </c>
      <c r="G19" s="537">
        <f t="shared" si="0"/>
        <v>0</v>
      </c>
      <c r="H19" s="536">
        <v>1</v>
      </c>
      <c r="I19" s="538">
        <f t="shared" si="1"/>
        <v>0</v>
      </c>
    </row>
    <row r="20" spans="1:9">
      <c r="A20" s="515"/>
      <c r="B20" s="748"/>
      <c r="C20" s="515"/>
      <c r="D20" s="428" t="s">
        <v>1403</v>
      </c>
      <c r="E20" s="432"/>
      <c r="F20" s="536">
        <v>0</v>
      </c>
      <c r="G20" s="537">
        <f t="shared" si="0"/>
        <v>0</v>
      </c>
      <c r="H20" s="536">
        <v>1</v>
      </c>
      <c r="I20" s="538">
        <f t="shared" si="1"/>
        <v>0</v>
      </c>
    </row>
    <row r="21" spans="1:9" ht="13.5" thickBot="1">
      <c r="A21" s="515"/>
      <c r="B21" s="748"/>
      <c r="C21" s="749" t="s">
        <v>961</v>
      </c>
      <c r="D21" s="539"/>
      <c r="E21" s="750">
        <f>SUM(E8:E20)</f>
        <v>0</v>
      </c>
      <c r="F21" s="540">
        <v>0</v>
      </c>
      <c r="G21" s="502">
        <f>SUM(G8:G20)</f>
        <v>0</v>
      </c>
      <c r="H21" s="540"/>
      <c r="I21" s="438">
        <f>SUM(I8:I20)</f>
        <v>0</v>
      </c>
    </row>
    <row r="22" spans="1:9" ht="13.5" thickTop="1">
      <c r="B22" s="541"/>
    </row>
  </sheetData>
  <pageMargins left="0.7" right="0.7" top="0.75" bottom="0.75" header="0.3" footer="0.3"/>
  <pageSetup scale="59"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83"/>
  <sheetViews>
    <sheetView view="pageBreakPreview" zoomScale="110" zoomScaleNormal="90" zoomScaleSheetLayoutView="110" zoomScalePageLayoutView="90" workbookViewId="0"/>
  </sheetViews>
  <sheetFormatPr defaultColWidth="9.1796875" defaultRowHeight="13" outlineLevelRow="2"/>
  <cols>
    <col min="1" max="2" width="9.1796875" style="11"/>
    <col min="3" max="3" width="8" style="17" customWidth="1"/>
    <col min="4" max="4" width="42.81640625" style="12" customWidth="1"/>
    <col min="5" max="5" width="16.1796875" style="13" customWidth="1"/>
    <col min="6" max="6" width="18.26953125" style="13" customWidth="1"/>
    <col min="7" max="8" width="14.7265625" style="13" customWidth="1"/>
    <col min="9" max="9" width="23.54296875" style="14" customWidth="1"/>
    <col min="10" max="10" width="20.7265625" style="17" customWidth="1"/>
    <col min="11" max="11" width="13.54296875" style="12" bestFit="1" customWidth="1"/>
    <col min="12" max="12" width="12.1796875" style="11" customWidth="1"/>
    <col min="13" max="13" width="12" style="11" customWidth="1"/>
    <col min="14" max="15" width="9.1796875" style="12" customWidth="1"/>
    <col min="16" max="16" width="12.453125" style="12" bestFit="1" customWidth="1"/>
    <col min="17" max="16384" width="9.1796875" style="12"/>
  </cols>
  <sheetData>
    <row r="1" spans="1:13" s="3" customFormat="1">
      <c r="A1" s="1" t="str">
        <f>'Cover Sheets'!A10:D10</f>
        <v>WAPA-UGP 2018 Rate True-up Calculation</v>
      </c>
      <c r="B1" s="1"/>
      <c r="C1" s="2"/>
      <c r="E1" s="4"/>
      <c r="F1" s="4"/>
      <c r="G1" s="4"/>
      <c r="H1" s="4"/>
      <c r="I1" s="5"/>
    </row>
    <row r="2" spans="1:13" s="3" customFormat="1">
      <c r="A2" s="1" t="s">
        <v>2562</v>
      </c>
      <c r="B2" s="1"/>
      <c r="C2" s="2"/>
      <c r="E2" s="4"/>
      <c r="F2" s="4"/>
      <c r="G2" s="4"/>
      <c r="H2" s="4"/>
      <c r="I2" s="5"/>
    </row>
    <row r="3" spans="1:13" s="6" customFormat="1">
      <c r="A3" s="1" t="str">
        <f>'Summary-TrueUp'!A3</f>
        <v>12 Months Ending 09/30/2018 True-up</v>
      </c>
      <c r="B3" s="1"/>
      <c r="C3" s="3"/>
      <c r="E3" s="4"/>
      <c r="F3" s="4"/>
      <c r="G3" s="4"/>
      <c r="H3" s="4"/>
      <c r="I3" s="7"/>
      <c r="J3" s="3"/>
      <c r="K3" s="3"/>
      <c r="L3" s="3"/>
      <c r="M3" s="3"/>
    </row>
    <row r="4" spans="1:13" s="3" customFormat="1" ht="27.75" customHeight="1">
      <c r="A4" s="3" t="s">
        <v>0</v>
      </c>
      <c r="C4" s="8" t="s">
        <v>1</v>
      </c>
      <c r="D4" s="9" t="s">
        <v>2</v>
      </c>
      <c r="E4" s="10" t="s">
        <v>4</v>
      </c>
      <c r="F4" s="10" t="s">
        <v>5</v>
      </c>
      <c r="G4" s="10" t="s">
        <v>6</v>
      </c>
      <c r="H4" s="10" t="s">
        <v>2502</v>
      </c>
      <c r="I4" s="520" t="s">
        <v>2436</v>
      </c>
      <c r="J4" s="8" t="s">
        <v>7</v>
      </c>
      <c r="M4" s="8"/>
    </row>
    <row r="5" spans="1:13" ht="13.5" customHeight="1" outlineLevel="2">
      <c r="A5" s="11">
        <v>1</v>
      </c>
      <c r="B5" s="11" t="s">
        <v>8</v>
      </c>
      <c r="C5" s="12" t="s">
        <v>9</v>
      </c>
      <c r="D5" s="12" t="s">
        <v>10</v>
      </c>
      <c r="E5" s="13">
        <v>133157.92000000001</v>
      </c>
      <c r="F5" s="14">
        <v>0</v>
      </c>
      <c r="G5" s="14">
        <v>0</v>
      </c>
      <c r="H5" s="14"/>
      <c r="I5" s="14">
        <f t="shared" ref="I5:I36" si="0">SUM(E5:G5)</f>
        <v>133157.92000000001</v>
      </c>
      <c r="J5" s="12"/>
      <c r="K5" s="11"/>
      <c r="M5" s="15"/>
    </row>
    <row r="6" spans="1:13" outlineLevel="2">
      <c r="A6" s="11">
        <f t="shared" ref="A6:A69" si="1">A5+1</f>
        <v>2</v>
      </c>
      <c r="B6" s="11" t="s">
        <v>8</v>
      </c>
      <c r="C6" s="12" t="s">
        <v>12</v>
      </c>
      <c r="D6" s="12" t="s">
        <v>13</v>
      </c>
      <c r="E6" s="13">
        <v>96623.18</v>
      </c>
      <c r="F6" s="14">
        <v>0</v>
      </c>
      <c r="G6" s="14">
        <v>0</v>
      </c>
      <c r="H6" s="14"/>
      <c r="I6" s="14">
        <f t="shared" si="0"/>
        <v>96623.18</v>
      </c>
      <c r="J6" s="12"/>
      <c r="K6" s="11"/>
      <c r="M6" s="15"/>
    </row>
    <row r="7" spans="1:13" ht="12.75" customHeight="1" outlineLevel="2">
      <c r="A7" s="11">
        <f t="shared" si="1"/>
        <v>3</v>
      </c>
      <c r="B7" s="11" t="s">
        <v>8</v>
      </c>
      <c r="C7" s="12" t="s">
        <v>14</v>
      </c>
      <c r="D7" s="12" t="s">
        <v>15</v>
      </c>
      <c r="E7" s="13">
        <v>459778.46</v>
      </c>
      <c r="F7" s="14">
        <v>0</v>
      </c>
      <c r="G7" s="14">
        <v>0</v>
      </c>
      <c r="H7" s="14"/>
      <c r="I7" s="14">
        <f t="shared" si="0"/>
        <v>459778.46</v>
      </c>
      <c r="J7" s="12"/>
      <c r="K7" s="11"/>
      <c r="M7" s="15"/>
    </row>
    <row r="8" spans="1:13" outlineLevel="2">
      <c r="A8" s="11">
        <f t="shared" si="1"/>
        <v>4</v>
      </c>
      <c r="B8" s="11" t="s">
        <v>8</v>
      </c>
      <c r="C8" s="16" t="s">
        <v>16</v>
      </c>
      <c r="D8" s="12" t="s">
        <v>17</v>
      </c>
      <c r="E8" s="13">
        <v>357312.09</v>
      </c>
      <c r="F8" s="14">
        <v>0</v>
      </c>
      <c r="G8" s="14">
        <v>0</v>
      </c>
      <c r="H8" s="14"/>
      <c r="I8" s="14">
        <f t="shared" si="0"/>
        <v>357312.09</v>
      </c>
      <c r="J8" s="16"/>
      <c r="K8" s="11"/>
      <c r="M8" s="15"/>
    </row>
    <row r="9" spans="1:13" outlineLevel="2">
      <c r="A9" s="11">
        <f t="shared" si="1"/>
        <v>5</v>
      </c>
      <c r="B9" s="11" t="s">
        <v>8</v>
      </c>
      <c r="C9" s="17" t="s">
        <v>18</v>
      </c>
      <c r="D9" s="12" t="s">
        <v>19</v>
      </c>
      <c r="E9" s="13">
        <v>5076896.62</v>
      </c>
      <c r="F9" s="14">
        <v>0</v>
      </c>
      <c r="G9" s="14">
        <v>0</v>
      </c>
      <c r="H9" s="14"/>
      <c r="I9" s="14">
        <f t="shared" si="0"/>
        <v>5076896.62</v>
      </c>
      <c r="K9" s="11"/>
      <c r="M9" s="15"/>
    </row>
    <row r="10" spans="1:13" outlineLevel="2">
      <c r="A10" s="11">
        <f t="shared" si="1"/>
        <v>6</v>
      </c>
      <c r="B10" s="11" t="s">
        <v>8</v>
      </c>
      <c r="C10" s="17" t="s">
        <v>20</v>
      </c>
      <c r="D10" s="12" t="s">
        <v>21</v>
      </c>
      <c r="E10" s="13">
        <v>9755199.8900000006</v>
      </c>
      <c r="F10" s="14">
        <v>0</v>
      </c>
      <c r="G10" s="14">
        <v>0</v>
      </c>
      <c r="H10" s="14"/>
      <c r="I10" s="14">
        <f t="shared" si="0"/>
        <v>9755199.8900000006</v>
      </c>
      <c r="K10" s="11"/>
    </row>
    <row r="11" spans="1:13" outlineLevel="2">
      <c r="A11" s="11">
        <f t="shared" si="1"/>
        <v>7</v>
      </c>
      <c r="B11" s="11" t="s">
        <v>8</v>
      </c>
      <c r="C11" s="17" t="s">
        <v>22</v>
      </c>
      <c r="D11" s="12" t="s">
        <v>23</v>
      </c>
      <c r="E11" s="13">
        <v>4229572.28</v>
      </c>
      <c r="F11" s="14">
        <v>0</v>
      </c>
      <c r="G11" s="14">
        <v>0</v>
      </c>
      <c r="H11" s="14"/>
      <c r="I11" s="14">
        <f t="shared" si="0"/>
        <v>4229572.28</v>
      </c>
      <c r="K11" s="11"/>
      <c r="M11" s="15"/>
    </row>
    <row r="12" spans="1:13" outlineLevel="2">
      <c r="A12" s="11">
        <f>A11+1</f>
        <v>8</v>
      </c>
      <c r="B12" s="11" t="s">
        <v>8</v>
      </c>
      <c r="C12" s="17" t="s">
        <v>24</v>
      </c>
      <c r="D12" s="12" t="s">
        <v>25</v>
      </c>
      <c r="E12" s="13">
        <v>12764457.25</v>
      </c>
      <c r="F12" s="14">
        <v>0</v>
      </c>
      <c r="G12" s="14">
        <v>0</v>
      </c>
      <c r="H12" s="14"/>
      <c r="I12" s="14">
        <f t="shared" si="0"/>
        <v>12764457.25</v>
      </c>
      <c r="K12" s="11"/>
    </row>
    <row r="13" spans="1:13" outlineLevel="2">
      <c r="A13" s="11">
        <f t="shared" si="1"/>
        <v>9</v>
      </c>
      <c r="B13" s="11" t="s">
        <v>8</v>
      </c>
      <c r="C13" s="17" t="s">
        <v>26</v>
      </c>
      <c r="D13" s="12" t="s">
        <v>27</v>
      </c>
      <c r="E13" s="13">
        <v>2587517.9900000002</v>
      </c>
      <c r="F13" s="14">
        <v>0</v>
      </c>
      <c r="G13" s="14">
        <v>0</v>
      </c>
      <c r="H13" s="14"/>
      <c r="I13" s="14">
        <f t="shared" si="0"/>
        <v>2587517.9900000002</v>
      </c>
      <c r="K13" s="11"/>
      <c r="M13" s="15"/>
    </row>
    <row r="14" spans="1:13" outlineLevel="2">
      <c r="A14" s="11">
        <f t="shared" si="1"/>
        <v>10</v>
      </c>
      <c r="B14" s="11" t="s">
        <v>8</v>
      </c>
      <c r="C14" s="17" t="s">
        <v>28</v>
      </c>
      <c r="D14" s="12" t="s">
        <v>29</v>
      </c>
      <c r="E14" s="13">
        <v>1718240.27</v>
      </c>
      <c r="F14" s="14">
        <v>0</v>
      </c>
      <c r="G14" s="14">
        <v>0</v>
      </c>
      <c r="H14" s="14"/>
      <c r="I14" s="14">
        <f t="shared" si="0"/>
        <v>1718240.27</v>
      </c>
      <c r="K14" s="11"/>
      <c r="M14" s="15"/>
    </row>
    <row r="15" spans="1:13" outlineLevel="2">
      <c r="A15" s="11">
        <f t="shared" si="1"/>
        <v>11</v>
      </c>
      <c r="B15" s="11" t="s">
        <v>8</v>
      </c>
      <c r="C15" s="17" t="s">
        <v>30</v>
      </c>
      <c r="D15" s="12" t="s">
        <v>31</v>
      </c>
      <c r="E15" s="13">
        <v>3318557.94</v>
      </c>
      <c r="F15" s="14">
        <v>0</v>
      </c>
      <c r="G15" s="14">
        <v>0</v>
      </c>
      <c r="H15" s="14"/>
      <c r="I15" s="14">
        <f t="shared" si="0"/>
        <v>3318557.94</v>
      </c>
      <c r="K15" s="11"/>
      <c r="M15" s="15"/>
    </row>
    <row r="16" spans="1:13" outlineLevel="2">
      <c r="A16" s="11">
        <f t="shared" si="1"/>
        <v>12</v>
      </c>
      <c r="B16" s="11" t="s">
        <v>8</v>
      </c>
      <c r="C16" s="17" t="s">
        <v>32</v>
      </c>
      <c r="D16" s="12" t="s">
        <v>33</v>
      </c>
      <c r="E16" s="13">
        <v>2952236.87</v>
      </c>
      <c r="F16" s="14">
        <v>0</v>
      </c>
      <c r="G16" s="14">
        <v>0</v>
      </c>
      <c r="H16" s="14"/>
      <c r="I16" s="14">
        <f t="shared" si="0"/>
        <v>2952236.87</v>
      </c>
      <c r="K16" s="11"/>
      <c r="M16" s="15"/>
    </row>
    <row r="17" spans="1:13" outlineLevel="2">
      <c r="A17" s="11">
        <f t="shared" si="1"/>
        <v>13</v>
      </c>
      <c r="B17" s="11" t="s">
        <v>8</v>
      </c>
      <c r="C17" s="17" t="s">
        <v>34</v>
      </c>
      <c r="D17" s="12" t="s">
        <v>35</v>
      </c>
      <c r="E17" s="13">
        <v>141044</v>
      </c>
      <c r="F17" s="13">
        <v>0</v>
      </c>
      <c r="G17" s="13">
        <v>0</v>
      </c>
      <c r="I17" s="14">
        <f t="shared" si="0"/>
        <v>141044</v>
      </c>
      <c r="J17" s="12"/>
      <c r="K17" s="11"/>
      <c r="M17" s="15"/>
    </row>
    <row r="18" spans="1:13" outlineLevel="2">
      <c r="A18" s="11">
        <f t="shared" si="1"/>
        <v>14</v>
      </c>
      <c r="B18" s="11" t="s">
        <v>8</v>
      </c>
      <c r="C18" s="679" t="s">
        <v>37</v>
      </c>
      <c r="D18" s="12" t="s">
        <v>38</v>
      </c>
      <c r="E18" s="13">
        <v>141044</v>
      </c>
      <c r="F18" s="13">
        <v>0</v>
      </c>
      <c r="G18" s="13">
        <v>0</v>
      </c>
      <c r="I18" s="14">
        <f t="shared" si="0"/>
        <v>141044</v>
      </c>
      <c r="K18" s="11"/>
      <c r="M18" s="15"/>
    </row>
    <row r="19" spans="1:13" outlineLevel="2">
      <c r="A19" s="11">
        <f>A18+1</f>
        <v>15</v>
      </c>
      <c r="B19" s="11" t="s">
        <v>8</v>
      </c>
      <c r="C19" s="17" t="s">
        <v>39</v>
      </c>
      <c r="D19" s="12" t="s">
        <v>40</v>
      </c>
      <c r="E19" s="13">
        <v>1259667.9099999999</v>
      </c>
      <c r="F19" s="14">
        <v>0</v>
      </c>
      <c r="G19" s="14">
        <v>0</v>
      </c>
      <c r="H19" s="14"/>
      <c r="I19" s="14">
        <f t="shared" si="0"/>
        <v>1259667.9099999999</v>
      </c>
      <c r="K19" s="11"/>
      <c r="M19" s="15"/>
    </row>
    <row r="20" spans="1:13" outlineLevel="2">
      <c r="A20" s="11">
        <f t="shared" si="1"/>
        <v>16</v>
      </c>
      <c r="B20" s="11" t="s">
        <v>8</v>
      </c>
      <c r="C20" s="17" t="s">
        <v>41</v>
      </c>
      <c r="D20" s="12" t="s">
        <v>42</v>
      </c>
      <c r="E20" s="13">
        <v>13451446</v>
      </c>
      <c r="F20" s="14">
        <v>0</v>
      </c>
      <c r="G20" s="14">
        <v>0</v>
      </c>
      <c r="H20" s="14"/>
      <c r="I20" s="14">
        <f t="shared" si="0"/>
        <v>13451446</v>
      </c>
      <c r="K20" s="11"/>
      <c r="M20" s="15"/>
    </row>
    <row r="21" spans="1:13" outlineLevel="2">
      <c r="A21" s="11">
        <f t="shared" si="1"/>
        <v>17</v>
      </c>
      <c r="B21" s="11" t="s">
        <v>8</v>
      </c>
      <c r="C21" s="17" t="s">
        <v>43</v>
      </c>
      <c r="D21" s="12" t="s">
        <v>44</v>
      </c>
      <c r="E21" s="13">
        <v>14513307.74</v>
      </c>
      <c r="F21" s="14">
        <v>0</v>
      </c>
      <c r="G21" s="14">
        <v>0</v>
      </c>
      <c r="H21" s="14"/>
      <c r="I21" s="14">
        <f t="shared" si="0"/>
        <v>14513307.74</v>
      </c>
      <c r="K21" s="11"/>
      <c r="M21" s="15"/>
    </row>
    <row r="22" spans="1:13" outlineLevel="2">
      <c r="A22" s="11">
        <f t="shared" si="1"/>
        <v>18</v>
      </c>
      <c r="B22" s="11" t="s">
        <v>8</v>
      </c>
      <c r="C22" s="17" t="s">
        <v>45</v>
      </c>
      <c r="D22" s="12" t="s">
        <v>46</v>
      </c>
      <c r="E22" s="13">
        <v>5804318.2699999996</v>
      </c>
      <c r="F22" s="14">
        <v>0</v>
      </c>
      <c r="G22" s="14">
        <v>0</v>
      </c>
      <c r="H22" s="14"/>
      <c r="I22" s="14">
        <f t="shared" si="0"/>
        <v>5804318.2699999996</v>
      </c>
      <c r="K22" s="11"/>
      <c r="M22" s="15"/>
    </row>
    <row r="23" spans="1:13" outlineLevel="2">
      <c r="A23" s="11">
        <f t="shared" si="1"/>
        <v>19</v>
      </c>
      <c r="B23" s="11" t="s">
        <v>8</v>
      </c>
      <c r="C23" s="17" t="s">
        <v>47</v>
      </c>
      <c r="D23" s="12" t="s">
        <v>48</v>
      </c>
      <c r="E23" s="13">
        <v>1366481</v>
      </c>
      <c r="F23" s="14">
        <v>0</v>
      </c>
      <c r="G23" s="14">
        <v>0</v>
      </c>
      <c r="H23" s="14"/>
      <c r="I23" s="14">
        <f t="shared" si="0"/>
        <v>1366481</v>
      </c>
      <c r="K23" s="11"/>
      <c r="M23" s="15"/>
    </row>
    <row r="24" spans="1:13" outlineLevel="2">
      <c r="A24" s="11">
        <f t="shared" si="1"/>
        <v>20</v>
      </c>
      <c r="B24" s="11" t="s">
        <v>8</v>
      </c>
      <c r="C24" s="17" t="s">
        <v>49</v>
      </c>
      <c r="D24" s="12" t="s">
        <v>50</v>
      </c>
      <c r="E24" s="13">
        <v>2605678.14</v>
      </c>
      <c r="F24" s="14">
        <v>0</v>
      </c>
      <c r="G24" s="14">
        <v>0</v>
      </c>
      <c r="H24" s="14"/>
      <c r="I24" s="14">
        <f t="shared" si="0"/>
        <v>2605678.14</v>
      </c>
      <c r="K24" s="11"/>
      <c r="M24" s="15"/>
    </row>
    <row r="25" spans="1:13" outlineLevel="2">
      <c r="A25" s="11">
        <f t="shared" si="1"/>
        <v>21</v>
      </c>
      <c r="B25" s="11" t="s">
        <v>8</v>
      </c>
      <c r="C25" s="17" t="s">
        <v>51</v>
      </c>
      <c r="D25" s="12" t="s">
        <v>52</v>
      </c>
      <c r="E25" s="13">
        <v>553799.82999999996</v>
      </c>
      <c r="F25" s="14">
        <v>0</v>
      </c>
      <c r="G25" s="14">
        <v>0</v>
      </c>
      <c r="H25" s="14"/>
      <c r="I25" s="14">
        <f t="shared" si="0"/>
        <v>553799.82999999996</v>
      </c>
      <c r="K25" s="11"/>
      <c r="M25" s="15"/>
    </row>
    <row r="26" spans="1:13" outlineLevel="2">
      <c r="A26" s="11">
        <f t="shared" si="1"/>
        <v>22</v>
      </c>
      <c r="B26" s="11" t="s">
        <v>8</v>
      </c>
      <c r="C26" s="17" t="s">
        <v>53</v>
      </c>
      <c r="D26" s="12" t="s">
        <v>54</v>
      </c>
      <c r="E26" s="13">
        <v>3464063.5</v>
      </c>
      <c r="F26" s="14">
        <v>0</v>
      </c>
      <c r="G26" s="14">
        <v>0</v>
      </c>
      <c r="H26" s="14"/>
      <c r="I26" s="14">
        <f t="shared" si="0"/>
        <v>3464063.5</v>
      </c>
      <c r="K26" s="11"/>
      <c r="M26" s="15"/>
    </row>
    <row r="27" spans="1:13" outlineLevel="2">
      <c r="A27" s="11">
        <f t="shared" si="1"/>
        <v>23</v>
      </c>
      <c r="B27" s="11" t="s">
        <v>8</v>
      </c>
      <c r="C27" s="17" t="s">
        <v>55</v>
      </c>
      <c r="D27" s="12" t="s">
        <v>56</v>
      </c>
      <c r="E27" s="13">
        <v>918676</v>
      </c>
      <c r="F27" s="14">
        <v>0</v>
      </c>
      <c r="G27" s="14">
        <v>0</v>
      </c>
      <c r="H27" s="14"/>
      <c r="I27" s="14">
        <f t="shared" si="0"/>
        <v>918676</v>
      </c>
      <c r="K27" s="11"/>
      <c r="M27" s="15"/>
    </row>
    <row r="28" spans="1:13" outlineLevel="2">
      <c r="A28" s="11">
        <f t="shared" si="1"/>
        <v>24</v>
      </c>
      <c r="B28" s="11" t="s">
        <v>8</v>
      </c>
      <c r="C28" s="17" t="s">
        <v>57</v>
      </c>
      <c r="D28" s="12" t="s">
        <v>58</v>
      </c>
      <c r="E28" s="13">
        <v>1258899.68</v>
      </c>
      <c r="F28" s="14">
        <v>0</v>
      </c>
      <c r="G28" s="14">
        <v>0</v>
      </c>
      <c r="H28" s="14"/>
      <c r="I28" s="14">
        <f t="shared" si="0"/>
        <v>1258899.68</v>
      </c>
      <c r="K28" s="11"/>
      <c r="M28" s="15"/>
    </row>
    <row r="29" spans="1:13" outlineLevel="2">
      <c r="A29" s="11">
        <f t="shared" si="1"/>
        <v>25</v>
      </c>
      <c r="B29" s="11" t="s">
        <v>8</v>
      </c>
      <c r="C29" s="17" t="s">
        <v>59</v>
      </c>
      <c r="D29" s="12" t="s">
        <v>60</v>
      </c>
      <c r="E29" s="13">
        <v>20977730.73</v>
      </c>
      <c r="F29" s="14">
        <v>0</v>
      </c>
      <c r="G29" s="14">
        <v>0</v>
      </c>
      <c r="H29" s="14"/>
      <c r="I29" s="14">
        <f t="shared" si="0"/>
        <v>20977730.73</v>
      </c>
      <c r="K29" s="11"/>
      <c r="M29" s="15"/>
    </row>
    <row r="30" spans="1:13" outlineLevel="2">
      <c r="A30" s="11">
        <f t="shared" si="1"/>
        <v>26</v>
      </c>
      <c r="B30" s="11" t="s">
        <v>8</v>
      </c>
      <c r="C30" s="17" t="s">
        <v>61</v>
      </c>
      <c r="D30" s="12" t="s">
        <v>62</v>
      </c>
      <c r="E30" s="13">
        <v>7672600.2400000002</v>
      </c>
      <c r="F30" s="14">
        <v>0</v>
      </c>
      <c r="G30" s="14">
        <v>0</v>
      </c>
      <c r="H30" s="14"/>
      <c r="I30" s="14">
        <f t="shared" si="0"/>
        <v>7672600.2400000002</v>
      </c>
      <c r="K30" s="11"/>
      <c r="M30" s="15"/>
    </row>
    <row r="31" spans="1:13" outlineLevel="2">
      <c r="A31" s="11">
        <f t="shared" si="1"/>
        <v>27</v>
      </c>
      <c r="B31" s="11" t="s">
        <v>8</v>
      </c>
      <c r="C31" s="17" t="s">
        <v>63</v>
      </c>
      <c r="D31" s="12" t="s">
        <v>64</v>
      </c>
      <c r="E31" s="13">
        <v>1872141.8</v>
      </c>
      <c r="F31" s="14">
        <v>0</v>
      </c>
      <c r="G31" s="14">
        <v>0</v>
      </c>
      <c r="H31" s="14"/>
      <c r="I31" s="14">
        <f t="shared" si="0"/>
        <v>1872141.8</v>
      </c>
      <c r="K31" s="11"/>
      <c r="M31" s="15"/>
    </row>
    <row r="32" spans="1:13" outlineLevel="2">
      <c r="A32" s="11">
        <f t="shared" si="1"/>
        <v>28</v>
      </c>
      <c r="B32" s="11" t="s">
        <v>8</v>
      </c>
      <c r="C32" s="17" t="s">
        <v>65</v>
      </c>
      <c r="D32" s="12" t="s">
        <v>66</v>
      </c>
      <c r="E32" s="13">
        <v>375316.01</v>
      </c>
      <c r="F32" s="14">
        <v>0</v>
      </c>
      <c r="G32" s="14">
        <v>0</v>
      </c>
      <c r="H32" s="14"/>
      <c r="I32" s="14">
        <f t="shared" si="0"/>
        <v>375316.01</v>
      </c>
      <c r="K32" s="11"/>
      <c r="M32" s="15"/>
    </row>
    <row r="33" spans="1:13" outlineLevel="2">
      <c r="A33" s="11">
        <f t="shared" si="1"/>
        <v>29</v>
      </c>
      <c r="B33" s="11" t="s">
        <v>8</v>
      </c>
      <c r="C33" s="17" t="s">
        <v>67</v>
      </c>
      <c r="D33" s="12" t="s">
        <v>68</v>
      </c>
      <c r="E33" s="13">
        <v>771572.37</v>
      </c>
      <c r="F33" s="14">
        <v>0</v>
      </c>
      <c r="G33" s="14">
        <v>0</v>
      </c>
      <c r="H33" s="14"/>
      <c r="I33" s="14">
        <f t="shared" si="0"/>
        <v>771572.37</v>
      </c>
      <c r="K33" s="11"/>
      <c r="M33" s="15"/>
    </row>
    <row r="34" spans="1:13" outlineLevel="2">
      <c r="A34" s="11">
        <f t="shared" si="1"/>
        <v>30</v>
      </c>
      <c r="B34" s="11" t="s">
        <v>8</v>
      </c>
      <c r="C34" s="17" t="s">
        <v>69</v>
      </c>
      <c r="D34" s="12" t="s">
        <v>70</v>
      </c>
      <c r="E34" s="13">
        <v>60704.18</v>
      </c>
      <c r="F34" s="14">
        <v>0</v>
      </c>
      <c r="G34" s="14">
        <v>0</v>
      </c>
      <c r="H34" s="14"/>
      <c r="I34" s="14">
        <f t="shared" si="0"/>
        <v>60704.18</v>
      </c>
      <c r="K34" s="11"/>
      <c r="M34" s="15"/>
    </row>
    <row r="35" spans="1:13" outlineLevel="2">
      <c r="A35" s="11">
        <f t="shared" si="1"/>
        <v>31</v>
      </c>
      <c r="B35" s="11" t="s">
        <v>8</v>
      </c>
      <c r="C35" s="17" t="s">
        <v>71</v>
      </c>
      <c r="D35" s="12" t="s">
        <v>72</v>
      </c>
      <c r="E35" s="13">
        <v>2369098.0699999998</v>
      </c>
      <c r="F35" s="14">
        <v>0</v>
      </c>
      <c r="G35" s="14">
        <v>0</v>
      </c>
      <c r="H35" s="14"/>
      <c r="I35" s="14">
        <f t="shared" si="0"/>
        <v>2369098.0699999998</v>
      </c>
      <c r="K35" s="11"/>
      <c r="M35" s="15"/>
    </row>
    <row r="36" spans="1:13" outlineLevel="2">
      <c r="A36" s="11">
        <f t="shared" si="1"/>
        <v>32</v>
      </c>
      <c r="B36" s="11" t="s">
        <v>8</v>
      </c>
      <c r="C36" s="17" t="s">
        <v>73</v>
      </c>
      <c r="D36" s="12" t="s">
        <v>74</v>
      </c>
      <c r="E36" s="13">
        <v>7305876.0899999999</v>
      </c>
      <c r="F36" s="14">
        <v>0</v>
      </c>
      <c r="G36" s="14">
        <v>0</v>
      </c>
      <c r="H36" s="14"/>
      <c r="I36" s="14">
        <f t="shared" si="0"/>
        <v>7305876.0899999999</v>
      </c>
      <c r="K36" s="11"/>
      <c r="M36" s="15"/>
    </row>
    <row r="37" spans="1:13" outlineLevel="2">
      <c r="A37" s="11">
        <f t="shared" si="1"/>
        <v>33</v>
      </c>
      <c r="B37" s="11" t="s">
        <v>8</v>
      </c>
      <c r="C37" s="17" t="s">
        <v>75</v>
      </c>
      <c r="D37" s="12" t="s">
        <v>76</v>
      </c>
      <c r="E37" s="13">
        <v>922097.72</v>
      </c>
      <c r="F37" s="14">
        <v>0</v>
      </c>
      <c r="G37" s="14">
        <v>0</v>
      </c>
      <c r="H37" s="14"/>
      <c r="I37" s="14">
        <f t="shared" ref="I37:I101" si="2">SUM(E37:G37)</f>
        <v>922097.72</v>
      </c>
      <c r="K37" s="11"/>
      <c r="M37" s="15"/>
    </row>
    <row r="38" spans="1:13" outlineLevel="2">
      <c r="A38" s="11">
        <f t="shared" si="1"/>
        <v>34</v>
      </c>
      <c r="B38" s="11" t="s">
        <v>8</v>
      </c>
      <c r="C38" s="17" t="s">
        <v>77</v>
      </c>
      <c r="D38" s="12" t="s">
        <v>78</v>
      </c>
      <c r="E38" s="13">
        <v>4465037.05</v>
      </c>
      <c r="F38" s="14">
        <v>0</v>
      </c>
      <c r="G38" s="14">
        <v>0</v>
      </c>
      <c r="H38" s="14"/>
      <c r="I38" s="14">
        <f t="shared" si="2"/>
        <v>4465037.05</v>
      </c>
      <c r="K38" s="11"/>
      <c r="M38" s="15"/>
    </row>
    <row r="39" spans="1:13" outlineLevel="2">
      <c r="A39" s="11">
        <f t="shared" si="1"/>
        <v>35</v>
      </c>
      <c r="B39" s="11" t="s">
        <v>8</v>
      </c>
      <c r="C39" s="17" t="s">
        <v>79</v>
      </c>
      <c r="D39" s="12" t="s">
        <v>80</v>
      </c>
      <c r="E39" s="13">
        <v>261417.22</v>
      </c>
      <c r="F39" s="14">
        <v>0</v>
      </c>
      <c r="G39" s="14">
        <v>0</v>
      </c>
      <c r="H39" s="14"/>
      <c r="I39" s="14">
        <f t="shared" si="2"/>
        <v>261417.22</v>
      </c>
      <c r="K39" s="11"/>
      <c r="M39" s="15"/>
    </row>
    <row r="40" spans="1:13" outlineLevel="2">
      <c r="A40" s="11">
        <f t="shared" si="1"/>
        <v>36</v>
      </c>
      <c r="B40" s="11" t="s">
        <v>8</v>
      </c>
      <c r="C40" s="17" t="s">
        <v>81</v>
      </c>
      <c r="D40" s="12" t="s">
        <v>82</v>
      </c>
      <c r="E40" s="13">
        <v>8301710.0999999996</v>
      </c>
      <c r="F40" s="14"/>
      <c r="G40" s="14"/>
      <c r="H40" s="14"/>
      <c r="I40" s="14">
        <f t="shared" si="2"/>
        <v>8301710.0999999996</v>
      </c>
      <c r="K40" s="11"/>
      <c r="M40" s="15"/>
    </row>
    <row r="41" spans="1:13" outlineLevel="2">
      <c r="A41" s="11">
        <f t="shared" si="1"/>
        <v>37</v>
      </c>
      <c r="B41" s="11" t="s">
        <v>8</v>
      </c>
      <c r="C41" s="17" t="s">
        <v>83</v>
      </c>
      <c r="D41" s="12" t="s">
        <v>84</v>
      </c>
      <c r="E41" s="13">
        <v>28806330.280000001</v>
      </c>
      <c r="F41" s="14">
        <v>0</v>
      </c>
      <c r="G41" s="14">
        <v>0</v>
      </c>
      <c r="H41" s="14"/>
      <c r="I41" s="14">
        <f t="shared" si="2"/>
        <v>28806330.280000001</v>
      </c>
      <c r="K41" s="11"/>
      <c r="M41" s="15"/>
    </row>
    <row r="42" spans="1:13" outlineLevel="2">
      <c r="A42" s="11">
        <f t="shared" si="1"/>
        <v>38</v>
      </c>
      <c r="B42" s="11" t="s">
        <v>8</v>
      </c>
      <c r="C42" s="17" t="s">
        <v>85</v>
      </c>
      <c r="D42" s="12" t="s">
        <v>86</v>
      </c>
      <c r="E42" s="13">
        <v>157876.32</v>
      </c>
      <c r="F42" s="14">
        <v>0</v>
      </c>
      <c r="G42" s="14">
        <v>0</v>
      </c>
      <c r="H42" s="14"/>
      <c r="I42" s="14">
        <f t="shared" si="2"/>
        <v>157876.32</v>
      </c>
      <c r="K42" s="11"/>
      <c r="M42" s="15"/>
    </row>
    <row r="43" spans="1:13" outlineLevel="2">
      <c r="A43" s="11">
        <f t="shared" si="1"/>
        <v>39</v>
      </c>
      <c r="B43" s="11" t="s">
        <v>8</v>
      </c>
      <c r="C43" s="17" t="s">
        <v>87</v>
      </c>
      <c r="D43" s="12" t="s">
        <v>88</v>
      </c>
      <c r="E43" s="13">
        <v>10096096.66</v>
      </c>
      <c r="F43" s="14">
        <v>0</v>
      </c>
      <c r="G43" s="14">
        <v>0</v>
      </c>
      <c r="H43" s="14"/>
      <c r="I43" s="14">
        <f t="shared" si="2"/>
        <v>10096096.66</v>
      </c>
      <c r="K43" s="11"/>
      <c r="M43" s="15"/>
    </row>
    <row r="44" spans="1:13" outlineLevel="2">
      <c r="A44" s="11">
        <f t="shared" si="1"/>
        <v>40</v>
      </c>
      <c r="B44" s="11" t="s">
        <v>8</v>
      </c>
      <c r="C44" s="17" t="s">
        <v>89</v>
      </c>
      <c r="D44" s="12" t="s">
        <v>90</v>
      </c>
      <c r="E44" s="13">
        <v>7554491.9000000004</v>
      </c>
      <c r="F44" s="14">
        <v>0</v>
      </c>
      <c r="G44" s="14">
        <v>0</v>
      </c>
      <c r="H44" s="14"/>
      <c r="I44" s="14">
        <f t="shared" si="2"/>
        <v>7554491.9000000004</v>
      </c>
      <c r="K44" s="11"/>
      <c r="M44" s="15"/>
    </row>
    <row r="45" spans="1:13" outlineLevel="2">
      <c r="A45" s="11">
        <f t="shared" si="1"/>
        <v>41</v>
      </c>
      <c r="B45" s="11" t="s">
        <v>8</v>
      </c>
      <c r="C45" s="17" t="s">
        <v>91</v>
      </c>
      <c r="D45" s="12" t="s">
        <v>92</v>
      </c>
      <c r="E45" s="13">
        <v>7782247.0099999998</v>
      </c>
      <c r="F45" s="14">
        <v>0</v>
      </c>
      <c r="G45" s="14">
        <v>0</v>
      </c>
      <c r="H45" s="14"/>
      <c r="I45" s="14">
        <f t="shared" si="2"/>
        <v>7782247.0099999998</v>
      </c>
      <c r="K45" s="11"/>
      <c r="M45" s="15"/>
    </row>
    <row r="46" spans="1:13" outlineLevel="2">
      <c r="A46" s="11">
        <f t="shared" si="1"/>
        <v>42</v>
      </c>
      <c r="B46" s="11" t="s">
        <v>8</v>
      </c>
      <c r="C46" s="17" t="s">
        <v>93</v>
      </c>
      <c r="D46" s="12" t="s">
        <v>94</v>
      </c>
      <c r="E46" s="13">
        <v>2319938.7200000002</v>
      </c>
      <c r="F46" s="14">
        <v>0</v>
      </c>
      <c r="G46" s="14">
        <v>0</v>
      </c>
      <c r="H46" s="14"/>
      <c r="I46" s="14">
        <f t="shared" si="2"/>
        <v>2319938.7200000002</v>
      </c>
      <c r="K46" s="11"/>
      <c r="M46" s="15"/>
    </row>
    <row r="47" spans="1:13" outlineLevel="2">
      <c r="A47" s="11">
        <f t="shared" si="1"/>
        <v>43</v>
      </c>
      <c r="B47" s="11" t="s">
        <v>8</v>
      </c>
      <c r="C47" s="17" t="s">
        <v>95</v>
      </c>
      <c r="D47" s="12" t="s">
        <v>96</v>
      </c>
      <c r="E47" s="13">
        <v>777326.71</v>
      </c>
      <c r="F47" s="14">
        <v>0</v>
      </c>
      <c r="G47" s="14">
        <v>0</v>
      </c>
      <c r="H47" s="14"/>
      <c r="I47" s="14">
        <f t="shared" si="2"/>
        <v>777326.71</v>
      </c>
      <c r="K47" s="11"/>
      <c r="M47" s="15"/>
    </row>
    <row r="48" spans="1:13" outlineLevel="2">
      <c r="A48" s="11">
        <f t="shared" si="1"/>
        <v>44</v>
      </c>
      <c r="B48" s="11" t="s">
        <v>8</v>
      </c>
      <c r="C48" s="17" t="s">
        <v>97</v>
      </c>
      <c r="D48" s="12" t="s">
        <v>98</v>
      </c>
      <c r="E48" s="13">
        <v>1308561.8400000001</v>
      </c>
      <c r="F48" s="14">
        <v>0</v>
      </c>
      <c r="G48" s="14">
        <v>0</v>
      </c>
      <c r="H48" s="14"/>
      <c r="I48" s="14">
        <f t="shared" si="2"/>
        <v>1308561.8400000001</v>
      </c>
      <c r="K48" s="11"/>
      <c r="M48" s="15"/>
    </row>
    <row r="49" spans="1:13" outlineLevel="2">
      <c r="A49" s="11">
        <f t="shared" si="1"/>
        <v>45</v>
      </c>
      <c r="B49" s="11" t="s">
        <v>8</v>
      </c>
      <c r="C49" s="17" t="s">
        <v>99</v>
      </c>
      <c r="D49" s="12" t="s">
        <v>100</v>
      </c>
      <c r="E49" s="13">
        <v>679540.13</v>
      </c>
      <c r="F49" s="14">
        <v>0</v>
      </c>
      <c r="G49" s="14">
        <v>0</v>
      </c>
      <c r="H49" s="14"/>
      <c r="I49" s="14">
        <f t="shared" si="2"/>
        <v>679540.13</v>
      </c>
      <c r="K49" s="11"/>
      <c r="M49" s="15"/>
    </row>
    <row r="50" spans="1:13" outlineLevel="2">
      <c r="A50" s="11">
        <f t="shared" si="1"/>
        <v>46</v>
      </c>
      <c r="B50" s="11" t="s">
        <v>8</v>
      </c>
      <c r="C50" s="17" t="s">
        <v>101</v>
      </c>
      <c r="D50" s="12" t="s">
        <v>102</v>
      </c>
      <c r="E50" s="13">
        <v>11019006.33</v>
      </c>
      <c r="F50" s="14">
        <v>0</v>
      </c>
      <c r="G50" s="14">
        <v>0</v>
      </c>
      <c r="H50" s="14"/>
      <c r="I50" s="14">
        <f t="shared" si="2"/>
        <v>11019006.33</v>
      </c>
      <c r="K50" s="11"/>
      <c r="M50" s="15"/>
    </row>
    <row r="51" spans="1:13" outlineLevel="2">
      <c r="A51" s="11">
        <f t="shared" si="1"/>
        <v>47</v>
      </c>
      <c r="B51" s="11" t="s">
        <v>8</v>
      </c>
      <c r="C51" s="17" t="s">
        <v>103</v>
      </c>
      <c r="D51" s="12" t="s">
        <v>104</v>
      </c>
      <c r="E51" s="13">
        <v>16397505.050000001</v>
      </c>
      <c r="F51" s="14">
        <v>0</v>
      </c>
      <c r="G51" s="14">
        <v>0</v>
      </c>
      <c r="H51" s="14"/>
      <c r="I51" s="14">
        <f t="shared" si="2"/>
        <v>16397505.050000001</v>
      </c>
      <c r="K51" s="11"/>
      <c r="M51" s="15"/>
    </row>
    <row r="52" spans="1:13" outlineLevel="2">
      <c r="A52" s="11">
        <f t="shared" si="1"/>
        <v>48</v>
      </c>
      <c r="B52" s="11" t="s">
        <v>8</v>
      </c>
      <c r="C52" s="17" t="s">
        <v>105</v>
      </c>
      <c r="D52" s="12" t="s">
        <v>106</v>
      </c>
      <c r="E52" s="13">
        <v>6788950.71</v>
      </c>
      <c r="F52" s="14">
        <v>0</v>
      </c>
      <c r="G52" s="14">
        <v>0</v>
      </c>
      <c r="H52" s="14"/>
      <c r="I52" s="14">
        <f t="shared" si="2"/>
        <v>6788950.71</v>
      </c>
      <c r="K52" s="11"/>
      <c r="M52" s="15"/>
    </row>
    <row r="53" spans="1:13" outlineLevel="2">
      <c r="A53" s="11">
        <f t="shared" si="1"/>
        <v>49</v>
      </c>
      <c r="B53" s="11" t="s">
        <v>8</v>
      </c>
      <c r="C53" s="17" t="s">
        <v>107</v>
      </c>
      <c r="D53" s="12" t="s">
        <v>108</v>
      </c>
      <c r="E53" s="13">
        <v>10455917.060000001</v>
      </c>
      <c r="F53" s="14">
        <v>0</v>
      </c>
      <c r="G53" s="14">
        <v>0</v>
      </c>
      <c r="H53" s="14"/>
      <c r="I53" s="14">
        <f t="shared" si="2"/>
        <v>10455917.060000001</v>
      </c>
      <c r="K53" s="11"/>
      <c r="M53" s="15"/>
    </row>
    <row r="54" spans="1:13" outlineLevel="2">
      <c r="A54" s="11">
        <f t="shared" si="1"/>
        <v>50</v>
      </c>
      <c r="B54" s="11" t="s">
        <v>8</v>
      </c>
      <c r="C54" s="17" t="s">
        <v>109</v>
      </c>
      <c r="D54" s="12" t="s">
        <v>110</v>
      </c>
      <c r="E54" s="13">
        <v>10713977.23</v>
      </c>
      <c r="F54" s="14">
        <v>0</v>
      </c>
      <c r="G54" s="14">
        <v>0</v>
      </c>
      <c r="H54" s="14"/>
      <c r="I54" s="14">
        <f t="shared" si="2"/>
        <v>10713977.23</v>
      </c>
      <c r="K54" s="11"/>
      <c r="M54" s="15"/>
    </row>
    <row r="55" spans="1:13" outlineLevel="2">
      <c r="A55" s="11">
        <f t="shared" si="1"/>
        <v>51</v>
      </c>
      <c r="B55" s="11" t="s">
        <v>8</v>
      </c>
      <c r="C55" s="17" t="s">
        <v>111</v>
      </c>
      <c r="D55" s="12" t="s">
        <v>112</v>
      </c>
      <c r="E55" s="13">
        <v>4763398.6500000004</v>
      </c>
      <c r="F55" s="14">
        <v>0</v>
      </c>
      <c r="G55" s="14">
        <v>0</v>
      </c>
      <c r="H55" s="14"/>
      <c r="I55" s="14">
        <f t="shared" si="2"/>
        <v>4763398.6500000004</v>
      </c>
      <c r="K55" s="11"/>
      <c r="M55" s="15"/>
    </row>
    <row r="56" spans="1:13" outlineLevel="2">
      <c r="A56" s="11">
        <f t="shared" si="1"/>
        <v>52</v>
      </c>
      <c r="B56" s="11" t="s">
        <v>8</v>
      </c>
      <c r="C56" s="17" t="s">
        <v>113</v>
      </c>
      <c r="D56" s="12" t="s">
        <v>114</v>
      </c>
      <c r="E56" s="13">
        <v>1948078.5</v>
      </c>
      <c r="F56" s="14">
        <v>0</v>
      </c>
      <c r="G56" s="14">
        <v>0</v>
      </c>
      <c r="H56" s="14"/>
      <c r="I56" s="14">
        <f t="shared" si="2"/>
        <v>1948078.5</v>
      </c>
      <c r="K56" s="11"/>
      <c r="M56" s="15"/>
    </row>
    <row r="57" spans="1:13" outlineLevel="2">
      <c r="A57" s="11">
        <f t="shared" si="1"/>
        <v>53</v>
      </c>
      <c r="B57" s="11" t="s">
        <v>8</v>
      </c>
      <c r="C57" s="17" t="s">
        <v>115</v>
      </c>
      <c r="D57" s="12" t="s">
        <v>116</v>
      </c>
      <c r="E57" s="13">
        <v>1521173.69</v>
      </c>
      <c r="F57" s="14">
        <v>0</v>
      </c>
      <c r="G57" s="14">
        <v>0</v>
      </c>
      <c r="H57" s="14"/>
      <c r="I57" s="14">
        <f t="shared" si="2"/>
        <v>1521173.69</v>
      </c>
      <c r="K57" s="11"/>
      <c r="M57" s="15"/>
    </row>
    <row r="58" spans="1:13" outlineLevel="2">
      <c r="A58" s="11">
        <f t="shared" si="1"/>
        <v>54</v>
      </c>
      <c r="B58" s="11" t="s">
        <v>8</v>
      </c>
      <c r="C58" s="17" t="s">
        <v>117</v>
      </c>
      <c r="D58" s="12" t="s">
        <v>118</v>
      </c>
      <c r="E58" s="13">
        <v>455727</v>
      </c>
      <c r="F58" s="14">
        <v>0</v>
      </c>
      <c r="G58" s="14">
        <v>0</v>
      </c>
      <c r="H58" s="14"/>
      <c r="I58" s="14">
        <f t="shared" si="2"/>
        <v>455727</v>
      </c>
      <c r="K58" s="11"/>
      <c r="M58" s="15"/>
    </row>
    <row r="59" spans="1:13" outlineLevel="2">
      <c r="A59" s="11">
        <f t="shared" si="1"/>
        <v>55</v>
      </c>
      <c r="B59" s="11" t="s">
        <v>8</v>
      </c>
      <c r="C59" s="17" t="s">
        <v>119</v>
      </c>
      <c r="D59" s="12" t="s">
        <v>120</v>
      </c>
      <c r="E59" s="13">
        <v>3361449.06</v>
      </c>
      <c r="F59" s="14">
        <v>0</v>
      </c>
      <c r="G59" s="14">
        <v>0</v>
      </c>
      <c r="H59" s="14"/>
      <c r="I59" s="14">
        <f t="shared" si="2"/>
        <v>3361449.06</v>
      </c>
      <c r="K59" s="11"/>
      <c r="M59" s="15"/>
    </row>
    <row r="60" spans="1:13" outlineLevel="2">
      <c r="A60" s="11">
        <f t="shared" si="1"/>
        <v>56</v>
      </c>
      <c r="B60" s="11" t="s">
        <v>8</v>
      </c>
      <c r="C60" s="17" t="s">
        <v>121</v>
      </c>
      <c r="D60" s="12" t="s">
        <v>122</v>
      </c>
      <c r="E60" s="13">
        <v>3279089.4</v>
      </c>
      <c r="F60" s="14">
        <v>0</v>
      </c>
      <c r="G60" s="14">
        <v>0</v>
      </c>
      <c r="H60" s="14"/>
      <c r="I60" s="14">
        <f t="shared" si="2"/>
        <v>3279089.4</v>
      </c>
      <c r="K60" s="11"/>
      <c r="M60" s="15"/>
    </row>
    <row r="61" spans="1:13" outlineLevel="2">
      <c r="A61" s="11">
        <f t="shared" si="1"/>
        <v>57</v>
      </c>
      <c r="B61" s="11" t="s">
        <v>8</v>
      </c>
      <c r="C61" s="17" t="s">
        <v>123</v>
      </c>
      <c r="D61" s="12" t="s">
        <v>124</v>
      </c>
      <c r="E61" s="13">
        <v>156778</v>
      </c>
      <c r="F61" s="14">
        <v>0</v>
      </c>
      <c r="G61" s="14">
        <v>0</v>
      </c>
      <c r="H61" s="14"/>
      <c r="I61" s="14">
        <f t="shared" si="2"/>
        <v>156778</v>
      </c>
      <c r="K61" s="11"/>
      <c r="M61" s="15"/>
    </row>
    <row r="62" spans="1:13" outlineLevel="2">
      <c r="A62" s="11">
        <f t="shared" si="1"/>
        <v>58</v>
      </c>
      <c r="B62" s="11" t="s">
        <v>8</v>
      </c>
      <c r="C62" s="17" t="s">
        <v>125</v>
      </c>
      <c r="D62" s="12" t="s">
        <v>126</v>
      </c>
      <c r="E62" s="13">
        <v>12744944.75</v>
      </c>
      <c r="F62" s="14">
        <v>0</v>
      </c>
      <c r="G62" s="14">
        <v>0</v>
      </c>
      <c r="H62" s="14"/>
      <c r="I62" s="14">
        <f t="shared" si="2"/>
        <v>12744944.75</v>
      </c>
      <c r="K62" s="11"/>
      <c r="M62" s="15"/>
    </row>
    <row r="63" spans="1:13" outlineLevel="2">
      <c r="A63" s="11">
        <f t="shared" si="1"/>
        <v>59</v>
      </c>
      <c r="B63" s="11" t="s">
        <v>8</v>
      </c>
      <c r="C63" s="17" t="s">
        <v>127</v>
      </c>
      <c r="D63" s="12" t="s">
        <v>128</v>
      </c>
      <c r="E63" s="13">
        <v>10110752.16</v>
      </c>
      <c r="F63" s="14">
        <v>0</v>
      </c>
      <c r="G63" s="14">
        <v>0</v>
      </c>
      <c r="H63" s="14"/>
      <c r="I63" s="14">
        <f t="shared" si="2"/>
        <v>10110752.16</v>
      </c>
      <c r="K63" s="11"/>
      <c r="M63" s="15"/>
    </row>
    <row r="64" spans="1:13" outlineLevel="2">
      <c r="A64" s="11">
        <f t="shared" si="1"/>
        <v>60</v>
      </c>
      <c r="B64" s="11" t="s">
        <v>8</v>
      </c>
      <c r="C64" s="17" t="s">
        <v>129</v>
      </c>
      <c r="D64" s="12" t="s">
        <v>130</v>
      </c>
      <c r="E64" s="13">
        <v>2869905.99</v>
      </c>
      <c r="F64" s="14">
        <v>0</v>
      </c>
      <c r="G64" s="14">
        <v>0</v>
      </c>
      <c r="H64" s="14"/>
      <c r="I64" s="14">
        <f t="shared" si="2"/>
        <v>2869905.99</v>
      </c>
      <c r="K64" s="11"/>
      <c r="M64" s="15"/>
    </row>
    <row r="65" spans="1:13" outlineLevel="2">
      <c r="A65" s="11">
        <f t="shared" si="1"/>
        <v>61</v>
      </c>
      <c r="B65" s="11" t="s">
        <v>8</v>
      </c>
      <c r="C65" s="17" t="s">
        <v>131</v>
      </c>
      <c r="D65" s="12" t="s">
        <v>132</v>
      </c>
      <c r="E65" s="13">
        <v>3255847.1</v>
      </c>
      <c r="F65" s="14">
        <v>0</v>
      </c>
      <c r="G65" s="14">
        <v>0</v>
      </c>
      <c r="H65" s="14"/>
      <c r="I65" s="14">
        <f t="shared" si="2"/>
        <v>3255847.1</v>
      </c>
      <c r="K65" s="11"/>
      <c r="M65" s="15"/>
    </row>
    <row r="66" spans="1:13" outlineLevel="2">
      <c r="A66" s="11">
        <f t="shared" si="1"/>
        <v>62</v>
      </c>
      <c r="B66" s="11" t="s">
        <v>8</v>
      </c>
      <c r="C66" s="17" t="s">
        <v>133</v>
      </c>
      <c r="D66" s="12" t="s">
        <v>134</v>
      </c>
      <c r="E66" s="13">
        <v>8681331.6699999999</v>
      </c>
      <c r="F66" s="14">
        <v>0</v>
      </c>
      <c r="G66" s="14">
        <v>0</v>
      </c>
      <c r="H66" s="14"/>
      <c r="I66" s="14">
        <f t="shared" si="2"/>
        <v>8681331.6699999999</v>
      </c>
      <c r="K66" s="11"/>
      <c r="M66" s="15"/>
    </row>
    <row r="67" spans="1:13" outlineLevel="2">
      <c r="A67" s="11">
        <f t="shared" si="1"/>
        <v>63</v>
      </c>
      <c r="B67" s="11" t="s">
        <v>8</v>
      </c>
      <c r="C67" s="17" t="s">
        <v>135</v>
      </c>
      <c r="D67" s="12" t="s">
        <v>136</v>
      </c>
      <c r="E67" s="13">
        <v>5561904.6399999997</v>
      </c>
      <c r="F67" s="14">
        <v>0</v>
      </c>
      <c r="G67" s="14">
        <v>0</v>
      </c>
      <c r="H67" s="14"/>
      <c r="I67" s="14">
        <f t="shared" si="2"/>
        <v>5561904.6399999997</v>
      </c>
      <c r="K67" s="11"/>
      <c r="M67" s="15"/>
    </row>
    <row r="68" spans="1:13" outlineLevel="2">
      <c r="A68" s="11">
        <f t="shared" si="1"/>
        <v>64</v>
      </c>
      <c r="B68" s="11" t="s">
        <v>8</v>
      </c>
      <c r="C68" s="17" t="s">
        <v>137</v>
      </c>
      <c r="D68" s="12" t="s">
        <v>138</v>
      </c>
      <c r="E68" s="13">
        <v>3647665.52</v>
      </c>
      <c r="F68" s="14">
        <v>0</v>
      </c>
      <c r="G68" s="14">
        <v>0</v>
      </c>
      <c r="H68" s="14"/>
      <c r="I68" s="14">
        <f t="shared" si="2"/>
        <v>3647665.52</v>
      </c>
      <c r="K68" s="11"/>
      <c r="M68" s="15"/>
    </row>
    <row r="69" spans="1:13" outlineLevel="2">
      <c r="A69" s="11">
        <f t="shared" si="1"/>
        <v>65</v>
      </c>
      <c r="B69" s="11" t="s">
        <v>8</v>
      </c>
      <c r="C69" s="17" t="s">
        <v>139</v>
      </c>
      <c r="D69" s="12" t="s">
        <v>140</v>
      </c>
      <c r="E69" s="13">
        <v>11263708.41</v>
      </c>
      <c r="F69" s="14">
        <v>0</v>
      </c>
      <c r="G69" s="14">
        <v>0</v>
      </c>
      <c r="H69" s="14"/>
      <c r="I69" s="14">
        <f t="shared" si="2"/>
        <v>11263708.41</v>
      </c>
      <c r="K69" s="11"/>
      <c r="M69" s="15"/>
    </row>
    <row r="70" spans="1:13" outlineLevel="2">
      <c r="A70" s="11">
        <f t="shared" ref="A70:A138" si="3">A69+1</f>
        <v>66</v>
      </c>
      <c r="B70" s="11" t="s">
        <v>8</v>
      </c>
      <c r="C70" s="17" t="s">
        <v>141</v>
      </c>
      <c r="D70" s="12" t="s">
        <v>142</v>
      </c>
      <c r="E70" s="13">
        <v>617622.68000000005</v>
      </c>
      <c r="F70" s="14">
        <v>0</v>
      </c>
      <c r="G70" s="14">
        <v>0</v>
      </c>
      <c r="H70" s="14"/>
      <c r="I70" s="14">
        <f t="shared" si="2"/>
        <v>617622.68000000005</v>
      </c>
      <c r="K70" s="11"/>
      <c r="M70" s="15"/>
    </row>
    <row r="71" spans="1:13" outlineLevel="2">
      <c r="A71" s="11">
        <f t="shared" si="3"/>
        <v>67</v>
      </c>
      <c r="B71" s="11" t="s">
        <v>8</v>
      </c>
      <c r="C71" s="17" t="s">
        <v>143</v>
      </c>
      <c r="D71" s="12" t="s">
        <v>144</v>
      </c>
      <c r="E71" s="13">
        <v>6319621.6699999999</v>
      </c>
      <c r="F71" s="14">
        <v>0</v>
      </c>
      <c r="G71" s="14">
        <v>0</v>
      </c>
      <c r="H71" s="14"/>
      <c r="I71" s="14">
        <f t="shared" si="2"/>
        <v>6319621.6699999999</v>
      </c>
      <c r="K71" s="11"/>
      <c r="M71" s="15"/>
    </row>
    <row r="72" spans="1:13" outlineLevel="2">
      <c r="A72" s="11">
        <f t="shared" si="3"/>
        <v>68</v>
      </c>
      <c r="B72" s="11" t="s">
        <v>8</v>
      </c>
      <c r="C72" s="17" t="s">
        <v>145</v>
      </c>
      <c r="D72" s="12" t="s">
        <v>146</v>
      </c>
      <c r="E72" s="13">
        <v>1189519.96</v>
      </c>
      <c r="F72" s="14">
        <v>0</v>
      </c>
      <c r="G72" s="14">
        <v>0</v>
      </c>
      <c r="H72" s="14"/>
      <c r="I72" s="14">
        <f t="shared" si="2"/>
        <v>1189519.96</v>
      </c>
      <c r="K72" s="11"/>
      <c r="M72" s="15"/>
    </row>
    <row r="73" spans="1:13" outlineLevel="2">
      <c r="A73" s="11">
        <f t="shared" si="3"/>
        <v>69</v>
      </c>
      <c r="B73" s="11" t="s">
        <v>8</v>
      </c>
      <c r="C73" s="17" t="s">
        <v>147</v>
      </c>
      <c r="D73" s="12" t="s">
        <v>148</v>
      </c>
      <c r="E73" s="13">
        <v>4941648.6100000003</v>
      </c>
      <c r="F73" s="14">
        <v>0</v>
      </c>
      <c r="G73" s="14">
        <v>0</v>
      </c>
      <c r="H73" s="14"/>
      <c r="I73" s="14">
        <f t="shared" si="2"/>
        <v>4941648.6100000003</v>
      </c>
      <c r="K73" s="11"/>
      <c r="M73" s="15"/>
    </row>
    <row r="74" spans="1:13" outlineLevel="2">
      <c r="A74" s="11">
        <f t="shared" si="3"/>
        <v>70</v>
      </c>
      <c r="B74" s="11" t="s">
        <v>8</v>
      </c>
      <c r="C74" s="17" t="s">
        <v>149</v>
      </c>
      <c r="D74" s="12" t="s">
        <v>150</v>
      </c>
      <c r="E74" s="13">
        <v>3155849.87</v>
      </c>
      <c r="F74" s="14">
        <v>0</v>
      </c>
      <c r="G74" s="14">
        <v>0</v>
      </c>
      <c r="H74" s="14"/>
      <c r="I74" s="14">
        <f t="shared" si="2"/>
        <v>3155849.87</v>
      </c>
      <c r="K74" s="11"/>
      <c r="M74" s="15"/>
    </row>
    <row r="75" spans="1:13" outlineLevel="2">
      <c r="A75" s="11">
        <f t="shared" si="3"/>
        <v>71</v>
      </c>
      <c r="B75" s="11" t="s">
        <v>8</v>
      </c>
      <c r="C75" s="17" t="s">
        <v>151</v>
      </c>
      <c r="D75" s="12" t="s">
        <v>152</v>
      </c>
      <c r="E75" s="13">
        <v>28751576.699999999</v>
      </c>
      <c r="F75" s="14">
        <v>0</v>
      </c>
      <c r="G75" s="14">
        <v>0</v>
      </c>
      <c r="H75" s="14"/>
      <c r="I75" s="14">
        <f t="shared" si="2"/>
        <v>28751576.699999999</v>
      </c>
      <c r="K75" s="11"/>
      <c r="M75" s="15"/>
    </row>
    <row r="76" spans="1:13" outlineLevel="2">
      <c r="A76" s="11">
        <f t="shared" si="3"/>
        <v>72</v>
      </c>
      <c r="B76" s="11" t="s">
        <v>8</v>
      </c>
      <c r="C76" s="17" t="s">
        <v>153</v>
      </c>
      <c r="D76" s="12" t="s">
        <v>154</v>
      </c>
      <c r="E76" s="13">
        <v>1055414.43</v>
      </c>
      <c r="F76" s="14">
        <v>0</v>
      </c>
      <c r="G76" s="14">
        <v>0</v>
      </c>
      <c r="H76" s="14"/>
      <c r="I76" s="14">
        <f t="shared" si="2"/>
        <v>1055414.43</v>
      </c>
      <c r="K76" s="11"/>
      <c r="M76" s="15"/>
    </row>
    <row r="77" spans="1:13" outlineLevel="2">
      <c r="A77" s="11">
        <f t="shared" si="3"/>
        <v>73</v>
      </c>
      <c r="B77" s="11" t="s">
        <v>8</v>
      </c>
      <c r="C77" s="17" t="s">
        <v>155</v>
      </c>
      <c r="D77" s="12" t="s">
        <v>156</v>
      </c>
      <c r="E77" s="13">
        <v>8982947.9100000001</v>
      </c>
      <c r="F77" s="14">
        <v>0</v>
      </c>
      <c r="G77" s="14">
        <v>0</v>
      </c>
      <c r="H77" s="14"/>
      <c r="I77" s="14">
        <f t="shared" si="2"/>
        <v>8982947.9100000001</v>
      </c>
      <c r="K77" s="11"/>
      <c r="M77" s="15"/>
    </row>
    <row r="78" spans="1:13" outlineLevel="2">
      <c r="A78" s="11">
        <f t="shared" si="3"/>
        <v>74</v>
      </c>
      <c r="B78" s="11" t="s">
        <v>8</v>
      </c>
      <c r="C78" s="17" t="s">
        <v>157</v>
      </c>
      <c r="D78" s="12" t="s">
        <v>158</v>
      </c>
      <c r="E78" s="13">
        <v>5274133.7300000004</v>
      </c>
      <c r="F78" s="14">
        <v>0</v>
      </c>
      <c r="G78" s="14">
        <v>0</v>
      </c>
      <c r="H78" s="14"/>
      <c r="I78" s="14">
        <f t="shared" si="2"/>
        <v>5274133.7300000004</v>
      </c>
      <c r="K78" s="11"/>
      <c r="M78" s="15"/>
    </row>
    <row r="79" spans="1:13" outlineLevel="2">
      <c r="A79" s="11">
        <f t="shared" si="3"/>
        <v>75</v>
      </c>
      <c r="B79" s="11" t="s">
        <v>8</v>
      </c>
      <c r="C79" s="17" t="s">
        <v>159</v>
      </c>
      <c r="D79" s="12" t="s">
        <v>160</v>
      </c>
      <c r="E79" s="13">
        <v>1089083.24</v>
      </c>
      <c r="F79" s="14">
        <v>0</v>
      </c>
      <c r="G79" s="14">
        <v>0</v>
      </c>
      <c r="H79" s="14"/>
      <c r="I79" s="14">
        <f t="shared" si="2"/>
        <v>1089083.24</v>
      </c>
      <c r="K79" s="11"/>
      <c r="M79" s="15"/>
    </row>
    <row r="80" spans="1:13" outlineLevel="2">
      <c r="A80" s="11">
        <f t="shared" si="3"/>
        <v>76</v>
      </c>
      <c r="B80" s="11" t="s">
        <v>8</v>
      </c>
      <c r="C80" s="17" t="s">
        <v>161</v>
      </c>
      <c r="D80" s="12" t="s">
        <v>162</v>
      </c>
      <c r="E80" s="13">
        <v>1816903.7</v>
      </c>
      <c r="F80" s="14">
        <v>0</v>
      </c>
      <c r="G80" s="14">
        <v>0</v>
      </c>
      <c r="H80" s="14"/>
      <c r="I80" s="14">
        <f t="shared" si="2"/>
        <v>1816903.7</v>
      </c>
      <c r="K80" s="11"/>
      <c r="M80" s="15"/>
    </row>
    <row r="81" spans="1:13" outlineLevel="2">
      <c r="A81" s="11">
        <f t="shared" si="3"/>
        <v>77</v>
      </c>
      <c r="B81" s="11" t="s">
        <v>8</v>
      </c>
      <c r="C81" s="17" t="s">
        <v>163</v>
      </c>
      <c r="D81" s="12" t="s">
        <v>164</v>
      </c>
      <c r="E81" s="13">
        <v>1790107.66</v>
      </c>
      <c r="F81" s="14">
        <v>0</v>
      </c>
      <c r="G81" s="14">
        <v>0</v>
      </c>
      <c r="H81" s="14"/>
      <c r="I81" s="14">
        <f t="shared" si="2"/>
        <v>1790107.66</v>
      </c>
      <c r="K81" s="11"/>
      <c r="M81" s="15"/>
    </row>
    <row r="82" spans="1:13" outlineLevel="2">
      <c r="A82" s="11">
        <f t="shared" si="3"/>
        <v>78</v>
      </c>
      <c r="B82" s="11" t="s">
        <v>8</v>
      </c>
      <c r="C82" s="17" t="s">
        <v>165</v>
      </c>
      <c r="D82" s="12" t="s">
        <v>166</v>
      </c>
      <c r="E82" s="13">
        <v>6346264.54</v>
      </c>
      <c r="F82" s="14">
        <v>0</v>
      </c>
      <c r="G82" s="14">
        <v>0</v>
      </c>
      <c r="H82" s="14"/>
      <c r="I82" s="14">
        <f t="shared" si="2"/>
        <v>6346264.54</v>
      </c>
      <c r="K82" s="11"/>
      <c r="M82" s="15"/>
    </row>
    <row r="83" spans="1:13" outlineLevel="2">
      <c r="A83" s="11">
        <f t="shared" si="3"/>
        <v>79</v>
      </c>
      <c r="B83" s="11" t="s">
        <v>8</v>
      </c>
      <c r="C83" s="17" t="s">
        <v>167</v>
      </c>
      <c r="D83" s="12" t="s">
        <v>168</v>
      </c>
      <c r="E83" s="13">
        <v>10569337.84</v>
      </c>
      <c r="F83" s="14">
        <v>0</v>
      </c>
      <c r="G83" s="14">
        <v>0</v>
      </c>
      <c r="H83" s="14"/>
      <c r="I83" s="14">
        <f t="shared" si="2"/>
        <v>10569337.84</v>
      </c>
      <c r="K83" s="11"/>
      <c r="M83" s="15"/>
    </row>
    <row r="84" spans="1:13" outlineLevel="2">
      <c r="A84" s="11">
        <f t="shared" si="3"/>
        <v>80</v>
      </c>
      <c r="B84" s="11" t="s">
        <v>8</v>
      </c>
      <c r="C84" s="17" t="s">
        <v>169</v>
      </c>
      <c r="D84" s="12" t="s">
        <v>170</v>
      </c>
      <c r="E84" s="13">
        <v>3750704.04</v>
      </c>
      <c r="F84" s="14">
        <v>0</v>
      </c>
      <c r="G84" s="14">
        <v>0</v>
      </c>
      <c r="H84" s="14"/>
      <c r="I84" s="14">
        <f t="shared" si="2"/>
        <v>3750704.04</v>
      </c>
      <c r="K84" s="11"/>
      <c r="M84" s="15"/>
    </row>
    <row r="85" spans="1:13" outlineLevel="2">
      <c r="A85" s="11">
        <f t="shared" si="3"/>
        <v>81</v>
      </c>
      <c r="B85" s="11" t="s">
        <v>8</v>
      </c>
      <c r="C85" s="17" t="s">
        <v>171</v>
      </c>
      <c r="D85" s="12" t="s">
        <v>172</v>
      </c>
      <c r="E85" s="13">
        <v>2915316.01</v>
      </c>
      <c r="F85" s="14">
        <v>0</v>
      </c>
      <c r="G85" s="14">
        <v>0</v>
      </c>
      <c r="H85" s="14"/>
      <c r="I85" s="14">
        <f t="shared" si="2"/>
        <v>2915316.01</v>
      </c>
      <c r="K85" s="11"/>
      <c r="M85" s="15"/>
    </row>
    <row r="86" spans="1:13" outlineLevel="2">
      <c r="A86" s="11">
        <f t="shared" si="3"/>
        <v>82</v>
      </c>
      <c r="B86" s="11" t="s">
        <v>8</v>
      </c>
      <c r="C86" s="17" t="s">
        <v>173</v>
      </c>
      <c r="D86" s="12" t="s">
        <v>174</v>
      </c>
      <c r="E86" s="13">
        <v>1132485.8600000001</v>
      </c>
      <c r="F86" s="14">
        <v>0</v>
      </c>
      <c r="G86" s="14">
        <v>0</v>
      </c>
      <c r="H86" s="14"/>
      <c r="I86" s="14">
        <f t="shared" si="2"/>
        <v>1132485.8600000001</v>
      </c>
      <c r="K86" s="11"/>
      <c r="M86" s="15"/>
    </row>
    <row r="87" spans="1:13" outlineLevel="2">
      <c r="A87" s="11">
        <f t="shared" si="3"/>
        <v>83</v>
      </c>
      <c r="B87" s="11" t="s">
        <v>8</v>
      </c>
      <c r="C87" s="17" t="s">
        <v>175</v>
      </c>
      <c r="D87" s="12" t="s">
        <v>176</v>
      </c>
      <c r="E87" s="13">
        <v>309991</v>
      </c>
      <c r="F87" s="14">
        <v>0</v>
      </c>
      <c r="G87" s="14">
        <v>0</v>
      </c>
      <c r="H87" s="14"/>
      <c r="I87" s="14">
        <f t="shared" si="2"/>
        <v>309991</v>
      </c>
      <c r="K87" s="11"/>
      <c r="M87" s="15"/>
    </row>
    <row r="88" spans="1:13" outlineLevel="2">
      <c r="A88" s="11">
        <f t="shared" si="3"/>
        <v>84</v>
      </c>
      <c r="B88" s="11" t="s">
        <v>8</v>
      </c>
      <c r="C88" s="17" t="s">
        <v>177</v>
      </c>
      <c r="D88" s="12" t="s">
        <v>178</v>
      </c>
      <c r="E88" s="13">
        <v>2651859.84</v>
      </c>
      <c r="F88" s="14">
        <v>0</v>
      </c>
      <c r="G88" s="14">
        <v>0</v>
      </c>
      <c r="H88" s="14"/>
      <c r="I88" s="14">
        <f t="shared" si="2"/>
        <v>2651859.84</v>
      </c>
      <c r="K88" s="11"/>
      <c r="M88" s="15"/>
    </row>
    <row r="89" spans="1:13" ht="13.5" customHeight="1" outlineLevel="2">
      <c r="A89" s="11">
        <f t="shared" si="3"/>
        <v>85</v>
      </c>
      <c r="B89" s="11" t="s">
        <v>8</v>
      </c>
      <c r="C89" s="17" t="s">
        <v>179</v>
      </c>
      <c r="D89" s="12" t="s">
        <v>180</v>
      </c>
      <c r="E89" s="13">
        <v>3973415.92</v>
      </c>
      <c r="F89" s="14">
        <v>0</v>
      </c>
      <c r="G89" s="14">
        <v>0</v>
      </c>
      <c r="H89" s="14"/>
      <c r="I89" s="14">
        <f t="shared" si="2"/>
        <v>3973415.92</v>
      </c>
      <c r="K89" s="11"/>
      <c r="M89" s="15"/>
    </row>
    <row r="90" spans="1:13" outlineLevel="2">
      <c r="A90" s="11">
        <f t="shared" si="3"/>
        <v>86</v>
      </c>
      <c r="B90" s="11" t="s">
        <v>8</v>
      </c>
      <c r="C90" s="17" t="s">
        <v>181</v>
      </c>
      <c r="D90" s="12" t="s">
        <v>182</v>
      </c>
      <c r="E90" s="13">
        <v>5563295.5999999996</v>
      </c>
      <c r="F90" s="14">
        <v>0</v>
      </c>
      <c r="G90" s="14">
        <v>0</v>
      </c>
      <c r="H90" s="14"/>
      <c r="I90" s="14">
        <f t="shared" si="2"/>
        <v>5563295.5999999996</v>
      </c>
      <c r="K90" s="11"/>
      <c r="M90" s="15"/>
    </row>
    <row r="91" spans="1:13" outlineLevel="2">
      <c r="A91" s="11">
        <f t="shared" si="3"/>
        <v>87</v>
      </c>
      <c r="B91" s="11" t="s">
        <v>8</v>
      </c>
      <c r="C91" s="17" t="s">
        <v>183</v>
      </c>
      <c r="D91" s="12" t="s">
        <v>184</v>
      </c>
      <c r="E91" s="13">
        <v>5949647.5099999998</v>
      </c>
      <c r="F91" s="14">
        <v>0</v>
      </c>
      <c r="G91" s="14">
        <v>0</v>
      </c>
      <c r="H91" s="14"/>
      <c r="I91" s="14">
        <f t="shared" si="2"/>
        <v>5949647.5099999998</v>
      </c>
      <c r="K91" s="11"/>
      <c r="M91" s="15"/>
    </row>
    <row r="92" spans="1:13" outlineLevel="2">
      <c r="A92" s="11">
        <f t="shared" si="3"/>
        <v>88</v>
      </c>
      <c r="B92" s="11" t="s">
        <v>8</v>
      </c>
      <c r="C92" s="17" t="s">
        <v>185</v>
      </c>
      <c r="D92" s="12" t="s">
        <v>186</v>
      </c>
      <c r="E92" s="13">
        <v>1967901.35</v>
      </c>
      <c r="F92" s="14">
        <v>0</v>
      </c>
      <c r="G92" s="14">
        <v>0</v>
      </c>
      <c r="H92" s="14"/>
      <c r="I92" s="14">
        <f t="shared" si="2"/>
        <v>1967901.35</v>
      </c>
      <c r="K92" s="11"/>
      <c r="M92" s="15"/>
    </row>
    <row r="93" spans="1:13" outlineLevel="2">
      <c r="A93" s="11">
        <f t="shared" si="3"/>
        <v>89</v>
      </c>
      <c r="B93" s="11" t="s">
        <v>8</v>
      </c>
      <c r="C93" s="17" t="s">
        <v>187</v>
      </c>
      <c r="D93" s="12" t="s">
        <v>188</v>
      </c>
      <c r="E93" s="13">
        <v>6683770.3600000003</v>
      </c>
      <c r="F93" s="14">
        <v>0</v>
      </c>
      <c r="G93" s="14">
        <v>0</v>
      </c>
      <c r="H93" s="14"/>
      <c r="I93" s="14">
        <f t="shared" si="2"/>
        <v>6683770.3600000003</v>
      </c>
      <c r="K93" s="11"/>
      <c r="M93" s="15"/>
    </row>
    <row r="94" spans="1:13" outlineLevel="2">
      <c r="A94" s="11">
        <f t="shared" si="3"/>
        <v>90</v>
      </c>
      <c r="B94" s="11" t="s">
        <v>8</v>
      </c>
      <c r="C94" s="17" t="s">
        <v>189</v>
      </c>
      <c r="D94" s="12" t="s">
        <v>190</v>
      </c>
      <c r="E94" s="13">
        <v>388816.19</v>
      </c>
      <c r="F94" s="14">
        <v>0</v>
      </c>
      <c r="G94" s="14">
        <v>0</v>
      </c>
      <c r="H94" s="14"/>
      <c r="I94" s="14">
        <f t="shared" si="2"/>
        <v>388816.19</v>
      </c>
      <c r="K94" s="11"/>
      <c r="M94" s="15"/>
    </row>
    <row r="95" spans="1:13" outlineLevel="2">
      <c r="A95" s="11">
        <f t="shared" si="3"/>
        <v>91</v>
      </c>
      <c r="B95" s="11" t="s">
        <v>8</v>
      </c>
      <c r="C95" s="17" t="s">
        <v>191</v>
      </c>
      <c r="D95" s="12" t="s">
        <v>192</v>
      </c>
      <c r="E95" s="13">
        <v>2488318.48</v>
      </c>
      <c r="F95" s="14">
        <v>0</v>
      </c>
      <c r="G95" s="14">
        <v>0</v>
      </c>
      <c r="H95" s="14"/>
      <c r="I95" s="14">
        <f t="shared" si="2"/>
        <v>2488318.48</v>
      </c>
      <c r="K95" s="11"/>
      <c r="M95" s="15"/>
    </row>
    <row r="96" spans="1:13" outlineLevel="2">
      <c r="A96" s="11">
        <f t="shared" si="3"/>
        <v>92</v>
      </c>
      <c r="B96" s="11" t="s">
        <v>8</v>
      </c>
      <c r="C96" s="17" t="s">
        <v>193</v>
      </c>
      <c r="D96" s="12" t="s">
        <v>194</v>
      </c>
      <c r="E96" s="13">
        <v>2140435.5299999998</v>
      </c>
      <c r="F96" s="14">
        <v>0</v>
      </c>
      <c r="G96" s="14">
        <v>0</v>
      </c>
      <c r="H96" s="14"/>
      <c r="I96" s="14">
        <f t="shared" si="2"/>
        <v>2140435.5299999998</v>
      </c>
      <c r="K96" s="11"/>
      <c r="M96" s="15"/>
    </row>
    <row r="97" spans="1:13" outlineLevel="2">
      <c r="A97" s="11">
        <f t="shared" si="3"/>
        <v>93</v>
      </c>
      <c r="B97" s="11" t="s">
        <v>8</v>
      </c>
      <c r="C97" s="17" t="s">
        <v>2327</v>
      </c>
      <c r="D97" s="12" t="s">
        <v>2017</v>
      </c>
      <c r="E97" s="13">
        <v>9269194.1600000001</v>
      </c>
      <c r="F97" s="14"/>
      <c r="G97" s="14"/>
      <c r="H97" s="14"/>
      <c r="I97" s="14">
        <f t="shared" si="2"/>
        <v>9269194.1600000001</v>
      </c>
      <c r="K97" s="11"/>
      <c r="M97" s="15"/>
    </row>
    <row r="98" spans="1:13" outlineLevel="2">
      <c r="A98" s="11">
        <f t="shared" si="3"/>
        <v>94</v>
      </c>
      <c r="B98" s="11" t="s">
        <v>8</v>
      </c>
      <c r="C98" s="17" t="s">
        <v>195</v>
      </c>
      <c r="D98" s="12" t="s">
        <v>196</v>
      </c>
      <c r="E98" s="13">
        <v>52063.76</v>
      </c>
      <c r="F98" s="14">
        <v>0</v>
      </c>
      <c r="G98" s="14">
        <v>0</v>
      </c>
      <c r="H98" s="14"/>
      <c r="I98" s="14">
        <f t="shared" si="2"/>
        <v>52063.76</v>
      </c>
      <c r="K98" s="11"/>
      <c r="M98" s="15"/>
    </row>
    <row r="99" spans="1:13" outlineLevel="2">
      <c r="A99" s="11">
        <f t="shared" si="3"/>
        <v>95</v>
      </c>
      <c r="B99" s="11" t="s">
        <v>8</v>
      </c>
      <c r="C99" s="17" t="s">
        <v>197</v>
      </c>
      <c r="D99" s="12" t="s">
        <v>198</v>
      </c>
      <c r="E99" s="13">
        <v>2235654.88</v>
      </c>
      <c r="F99" s="14">
        <v>0</v>
      </c>
      <c r="G99" s="14">
        <v>0</v>
      </c>
      <c r="H99" s="14"/>
      <c r="I99" s="14">
        <f t="shared" si="2"/>
        <v>2235654.88</v>
      </c>
      <c r="K99" s="11"/>
      <c r="M99" s="15"/>
    </row>
    <row r="100" spans="1:13" outlineLevel="2">
      <c r="A100" s="11">
        <f t="shared" si="3"/>
        <v>96</v>
      </c>
      <c r="B100" s="11" t="s">
        <v>8</v>
      </c>
      <c r="C100" s="17" t="s">
        <v>2316</v>
      </c>
      <c r="D100" s="12" t="s">
        <v>199</v>
      </c>
      <c r="E100" s="13">
        <v>576089.67000000004</v>
      </c>
      <c r="F100" s="14">
        <v>-576090</v>
      </c>
      <c r="G100" s="14"/>
      <c r="H100" s="14"/>
      <c r="I100" s="14">
        <f t="shared" si="2"/>
        <v>-0.32999999995809048</v>
      </c>
      <c r="K100" s="11"/>
      <c r="M100" s="15"/>
    </row>
    <row r="101" spans="1:13" outlineLevel="2">
      <c r="A101" s="11">
        <f t="shared" si="3"/>
        <v>97</v>
      </c>
      <c r="B101" s="11" t="s">
        <v>8</v>
      </c>
      <c r="C101" s="17" t="s">
        <v>200</v>
      </c>
      <c r="D101" s="12" t="s">
        <v>201</v>
      </c>
      <c r="E101" s="13">
        <v>7485605.7400000002</v>
      </c>
      <c r="F101" s="14">
        <v>0</v>
      </c>
      <c r="G101" s="14">
        <v>0</v>
      </c>
      <c r="H101" s="14"/>
      <c r="I101" s="14">
        <f t="shared" si="2"/>
        <v>7485605.7400000002</v>
      </c>
      <c r="K101" s="11"/>
      <c r="M101" s="15"/>
    </row>
    <row r="102" spans="1:13" outlineLevel="2">
      <c r="A102" s="11">
        <f t="shared" si="3"/>
        <v>98</v>
      </c>
      <c r="B102" s="11" t="s">
        <v>8</v>
      </c>
      <c r="C102" s="17" t="s">
        <v>202</v>
      </c>
      <c r="D102" s="12" t="s">
        <v>203</v>
      </c>
      <c r="E102" s="13">
        <v>1938352.95</v>
      </c>
      <c r="F102" s="14">
        <v>0</v>
      </c>
      <c r="G102" s="14">
        <v>0</v>
      </c>
      <c r="H102" s="14"/>
      <c r="I102" s="14">
        <f t="shared" ref="I102:I117" si="4">SUM(E102:G102)</f>
        <v>1938352.95</v>
      </c>
      <c r="K102" s="11"/>
      <c r="M102" s="15"/>
    </row>
    <row r="103" spans="1:13" outlineLevel="2">
      <c r="A103" s="11">
        <f t="shared" si="3"/>
        <v>99</v>
      </c>
      <c r="B103" s="11" t="s">
        <v>8</v>
      </c>
      <c r="C103" s="17" t="s">
        <v>204</v>
      </c>
      <c r="D103" s="12" t="s">
        <v>205</v>
      </c>
      <c r="E103" s="13">
        <v>3217192.17</v>
      </c>
      <c r="F103" s="14">
        <v>0</v>
      </c>
      <c r="G103" s="14">
        <v>0</v>
      </c>
      <c r="H103" s="14"/>
      <c r="I103" s="14">
        <f t="shared" si="4"/>
        <v>3217192.17</v>
      </c>
      <c r="K103" s="11"/>
      <c r="M103" s="15"/>
    </row>
    <row r="104" spans="1:13" outlineLevel="2">
      <c r="A104" s="11">
        <f t="shared" si="3"/>
        <v>100</v>
      </c>
      <c r="B104" s="11" t="s">
        <v>8</v>
      </c>
      <c r="C104" s="17" t="s">
        <v>206</v>
      </c>
      <c r="D104" s="12" t="s">
        <v>207</v>
      </c>
      <c r="E104" s="13">
        <v>277896.62</v>
      </c>
      <c r="F104" s="14">
        <v>0</v>
      </c>
      <c r="G104" s="14">
        <v>0</v>
      </c>
      <c r="H104" s="14"/>
      <c r="I104" s="14">
        <f t="shared" si="4"/>
        <v>277896.62</v>
      </c>
      <c r="K104" s="11"/>
    </row>
    <row r="105" spans="1:13" outlineLevel="2">
      <c r="A105" s="11">
        <f t="shared" si="3"/>
        <v>101</v>
      </c>
      <c r="B105" s="11" t="s">
        <v>8</v>
      </c>
      <c r="C105" s="17" t="s">
        <v>208</v>
      </c>
      <c r="D105" s="12" t="s">
        <v>209</v>
      </c>
      <c r="E105" s="13">
        <v>6743203.0499999998</v>
      </c>
      <c r="F105" s="14">
        <v>0</v>
      </c>
      <c r="G105" s="14">
        <v>0</v>
      </c>
      <c r="H105" s="14"/>
      <c r="I105" s="14">
        <f t="shared" si="4"/>
        <v>6743203.0499999998</v>
      </c>
      <c r="K105" s="11"/>
      <c r="M105" s="15"/>
    </row>
    <row r="106" spans="1:13" outlineLevel="2">
      <c r="A106" s="11">
        <f t="shared" si="3"/>
        <v>102</v>
      </c>
      <c r="B106" s="11" t="s">
        <v>8</v>
      </c>
      <c r="C106" s="17" t="s">
        <v>210</v>
      </c>
      <c r="D106" s="12" t="s">
        <v>211</v>
      </c>
      <c r="E106" s="13">
        <v>1084857.5</v>
      </c>
      <c r="F106" s="14">
        <v>0</v>
      </c>
      <c r="G106" s="14">
        <v>0</v>
      </c>
      <c r="H106" s="14"/>
      <c r="I106" s="14">
        <f t="shared" si="4"/>
        <v>1084857.5</v>
      </c>
      <c r="K106" s="11"/>
    </row>
    <row r="107" spans="1:13" outlineLevel="2">
      <c r="A107" s="11">
        <f t="shared" si="3"/>
        <v>103</v>
      </c>
      <c r="B107" s="11" t="s">
        <v>8</v>
      </c>
      <c r="C107" s="17" t="s">
        <v>212</v>
      </c>
      <c r="D107" s="12" t="s">
        <v>213</v>
      </c>
      <c r="E107" s="13">
        <v>3485236.01</v>
      </c>
      <c r="F107" s="14">
        <v>0</v>
      </c>
      <c r="G107" s="14">
        <v>0</v>
      </c>
      <c r="H107" s="14"/>
      <c r="I107" s="14">
        <f t="shared" si="4"/>
        <v>3485236.01</v>
      </c>
      <c r="K107" s="11"/>
      <c r="M107" s="15"/>
    </row>
    <row r="108" spans="1:13" outlineLevel="2">
      <c r="A108" s="11">
        <f t="shared" si="3"/>
        <v>104</v>
      </c>
      <c r="B108" s="11" t="s">
        <v>8</v>
      </c>
      <c r="C108" s="17" t="s">
        <v>214</v>
      </c>
      <c r="D108" s="12" t="s">
        <v>215</v>
      </c>
      <c r="E108" s="13">
        <v>1527895.21</v>
      </c>
      <c r="F108" s="14">
        <v>0</v>
      </c>
      <c r="G108" s="14">
        <v>0</v>
      </c>
      <c r="H108" s="14"/>
      <c r="I108" s="14">
        <f t="shared" si="4"/>
        <v>1527895.21</v>
      </c>
      <c r="K108" s="11"/>
      <c r="M108" s="15"/>
    </row>
    <row r="109" spans="1:13" ht="13.5" customHeight="1" outlineLevel="2">
      <c r="A109" s="11">
        <f t="shared" si="3"/>
        <v>105</v>
      </c>
      <c r="B109" s="11" t="s">
        <v>8</v>
      </c>
      <c r="C109" s="17" t="s">
        <v>216</v>
      </c>
      <c r="D109" s="12" t="s">
        <v>217</v>
      </c>
      <c r="E109" s="13">
        <v>5110115.21</v>
      </c>
      <c r="F109" s="14">
        <v>0</v>
      </c>
      <c r="G109" s="14">
        <v>0</v>
      </c>
      <c r="H109" s="14"/>
      <c r="I109" s="14">
        <f t="shared" si="4"/>
        <v>5110115.21</v>
      </c>
      <c r="K109" s="11"/>
      <c r="M109" s="15"/>
    </row>
    <row r="110" spans="1:13" outlineLevel="2">
      <c r="A110" s="11">
        <f t="shared" si="3"/>
        <v>106</v>
      </c>
      <c r="B110" s="11" t="s">
        <v>8</v>
      </c>
      <c r="C110" s="17" t="s">
        <v>218</v>
      </c>
      <c r="D110" s="12" t="s">
        <v>219</v>
      </c>
      <c r="E110" s="13">
        <v>312931.03999999998</v>
      </c>
      <c r="F110" s="14">
        <v>0</v>
      </c>
      <c r="G110" s="14">
        <v>0</v>
      </c>
      <c r="H110" s="14"/>
      <c r="I110" s="14">
        <f t="shared" si="4"/>
        <v>312931.03999999998</v>
      </c>
      <c r="K110" s="11"/>
      <c r="M110" s="15"/>
    </row>
    <row r="111" spans="1:13" outlineLevel="2">
      <c r="A111" s="11">
        <f t="shared" si="3"/>
        <v>107</v>
      </c>
      <c r="B111" s="11" t="s">
        <v>8</v>
      </c>
      <c r="C111" s="17" t="s">
        <v>220</v>
      </c>
      <c r="D111" s="12" t="s">
        <v>221</v>
      </c>
      <c r="E111" s="13">
        <v>7488153.7300000004</v>
      </c>
      <c r="F111" s="14">
        <v>0</v>
      </c>
      <c r="G111" s="14">
        <v>0</v>
      </c>
      <c r="H111" s="14"/>
      <c r="I111" s="14">
        <f t="shared" si="4"/>
        <v>7488153.7300000004</v>
      </c>
      <c r="K111" s="11"/>
      <c r="M111" s="15"/>
    </row>
    <row r="112" spans="1:13" outlineLevel="2">
      <c r="A112" s="11">
        <f t="shared" si="3"/>
        <v>108</v>
      </c>
      <c r="B112" s="11" t="s">
        <v>8</v>
      </c>
      <c r="C112" s="17" t="s">
        <v>222</v>
      </c>
      <c r="D112" s="12" t="s">
        <v>223</v>
      </c>
      <c r="E112" s="13">
        <v>26924889.420000002</v>
      </c>
      <c r="F112" s="14">
        <v>0</v>
      </c>
      <c r="G112" s="14">
        <v>0</v>
      </c>
      <c r="H112" s="14"/>
      <c r="I112" s="14">
        <f t="shared" si="4"/>
        <v>26924889.420000002</v>
      </c>
      <c r="K112" s="11"/>
      <c r="M112" s="15"/>
    </row>
    <row r="113" spans="1:13" outlineLevel="2">
      <c r="A113" s="11">
        <f t="shared" si="3"/>
        <v>109</v>
      </c>
      <c r="B113" s="11" t="s">
        <v>8</v>
      </c>
      <c r="C113" s="17" t="s">
        <v>41</v>
      </c>
      <c r="D113" s="12" t="s">
        <v>224</v>
      </c>
      <c r="E113" s="13">
        <v>349954</v>
      </c>
      <c r="F113" s="14">
        <v>0</v>
      </c>
      <c r="G113" s="14">
        <v>0</v>
      </c>
      <c r="H113" s="14"/>
      <c r="I113" s="14">
        <f t="shared" si="4"/>
        <v>349954</v>
      </c>
      <c r="K113" s="11"/>
      <c r="M113" s="15"/>
    </row>
    <row r="114" spans="1:13" outlineLevel="2">
      <c r="A114" s="11">
        <f t="shared" si="3"/>
        <v>110</v>
      </c>
      <c r="B114" s="11" t="s">
        <v>8</v>
      </c>
      <c r="C114" s="17" t="s">
        <v>225</v>
      </c>
      <c r="D114" s="12" t="s">
        <v>226</v>
      </c>
      <c r="E114" s="13">
        <v>17627867.68</v>
      </c>
      <c r="F114" s="14">
        <v>0</v>
      </c>
      <c r="G114" s="14">
        <v>0</v>
      </c>
      <c r="H114" s="14"/>
      <c r="I114" s="14">
        <f t="shared" si="4"/>
        <v>17627867.68</v>
      </c>
      <c r="K114" s="11"/>
      <c r="M114" s="15"/>
    </row>
    <row r="115" spans="1:13" outlineLevel="2">
      <c r="A115" s="11">
        <f t="shared" si="3"/>
        <v>111</v>
      </c>
      <c r="B115" s="11" t="s">
        <v>8</v>
      </c>
      <c r="C115" s="17" t="s">
        <v>227</v>
      </c>
      <c r="D115" s="12" t="s">
        <v>228</v>
      </c>
      <c r="E115" s="13">
        <v>11035513.970000001</v>
      </c>
      <c r="F115" s="14">
        <v>0</v>
      </c>
      <c r="G115" s="14">
        <v>0</v>
      </c>
      <c r="H115" s="14"/>
      <c r="I115" s="14">
        <f t="shared" si="4"/>
        <v>11035513.970000001</v>
      </c>
      <c r="K115" s="11"/>
      <c r="M115" s="15"/>
    </row>
    <row r="116" spans="1:13" outlineLevel="2">
      <c r="A116" s="11">
        <f t="shared" si="3"/>
        <v>112</v>
      </c>
      <c r="B116" s="11" t="s">
        <v>8</v>
      </c>
      <c r="C116" s="17" t="s">
        <v>229</v>
      </c>
      <c r="D116" s="12" t="s">
        <v>230</v>
      </c>
      <c r="E116" s="13">
        <v>4629315.97</v>
      </c>
      <c r="F116" s="14">
        <v>0</v>
      </c>
      <c r="G116" s="14">
        <v>0</v>
      </c>
      <c r="H116" s="14"/>
      <c r="I116" s="14">
        <f t="shared" si="4"/>
        <v>4629315.97</v>
      </c>
      <c r="K116" s="11"/>
      <c r="M116" s="15"/>
    </row>
    <row r="117" spans="1:13" outlineLevel="2">
      <c r="A117" s="11">
        <f t="shared" si="3"/>
        <v>113</v>
      </c>
      <c r="B117" s="11" t="s">
        <v>8</v>
      </c>
      <c r="C117" s="17" t="s">
        <v>231</v>
      </c>
      <c r="D117" s="12" t="s">
        <v>232</v>
      </c>
      <c r="E117" s="13">
        <v>2265163.38</v>
      </c>
      <c r="F117" s="14">
        <v>0</v>
      </c>
      <c r="G117" s="14">
        <v>0</v>
      </c>
      <c r="H117" s="14"/>
      <c r="I117" s="14">
        <f t="shared" si="4"/>
        <v>2265163.38</v>
      </c>
      <c r="K117" s="11"/>
      <c r="M117" s="15"/>
    </row>
    <row r="118" spans="1:13" s="6" customFormat="1" ht="13.5" outlineLevel="1" thickBot="1">
      <c r="A118" s="11">
        <f t="shared" si="3"/>
        <v>114</v>
      </c>
      <c r="B118" s="19" t="s">
        <v>233</v>
      </c>
      <c r="C118" s="20"/>
      <c r="D118" s="21" t="s">
        <v>234</v>
      </c>
      <c r="E118" s="22">
        <f>SUBTOTAL(9,E5:E117)</f>
        <v>568215935.25000024</v>
      </c>
      <c r="F118" s="22">
        <f>SUBTOTAL(9,F5:F117)</f>
        <v>-576090</v>
      </c>
      <c r="G118" s="22">
        <f>SUBTOTAL(9,G5:G117)</f>
        <v>0</v>
      </c>
      <c r="H118" s="22"/>
      <c r="I118" s="23">
        <f>SUBTOTAL(9,I5:I117)</f>
        <v>567639845.25000024</v>
      </c>
      <c r="J118" s="24"/>
      <c r="K118" s="3"/>
      <c r="L118" s="3"/>
      <c r="M118" s="8"/>
    </row>
    <row r="119" spans="1:13" s="6" customFormat="1" ht="13.5" outlineLevel="1" thickTop="1">
      <c r="A119" s="11">
        <f t="shared" si="3"/>
        <v>115</v>
      </c>
      <c r="B119" s="11" t="s">
        <v>235</v>
      </c>
      <c r="C119" s="17" t="s">
        <v>459</v>
      </c>
      <c r="D119" s="12" t="s">
        <v>460</v>
      </c>
      <c r="E119" s="13">
        <v>6259.21</v>
      </c>
      <c r="F119" s="13">
        <v>0</v>
      </c>
      <c r="G119" s="13">
        <v>0</v>
      </c>
      <c r="H119" s="13"/>
      <c r="I119" s="14">
        <f t="shared" ref="I119:I160" si="5">SUM(E119:G119)</f>
        <v>6259.21</v>
      </c>
      <c r="J119" s="24"/>
      <c r="K119" s="3"/>
      <c r="L119" s="3"/>
      <c r="M119" s="8"/>
    </row>
    <row r="120" spans="1:13" outlineLevel="2">
      <c r="A120" s="11">
        <f t="shared" si="3"/>
        <v>116</v>
      </c>
      <c r="B120" s="11" t="s">
        <v>235</v>
      </c>
      <c r="C120" s="17" t="s">
        <v>236</v>
      </c>
      <c r="D120" s="1" t="s">
        <v>237</v>
      </c>
      <c r="E120" s="13">
        <v>5878984.1399999997</v>
      </c>
      <c r="F120" s="13">
        <v>0</v>
      </c>
      <c r="G120" s="13">
        <v>0</v>
      </c>
      <c r="I120" s="14">
        <f t="shared" si="5"/>
        <v>5878984.1399999997</v>
      </c>
      <c r="K120" s="11"/>
      <c r="M120" s="15"/>
    </row>
    <row r="121" spans="1:13" outlineLevel="2">
      <c r="A121" s="11">
        <f t="shared" si="3"/>
        <v>117</v>
      </c>
      <c r="B121" s="11" t="s">
        <v>235</v>
      </c>
      <c r="C121" s="17" t="s">
        <v>238</v>
      </c>
      <c r="D121" s="12" t="s">
        <v>239</v>
      </c>
      <c r="E121" s="13">
        <v>2318295.1</v>
      </c>
      <c r="F121" s="13">
        <v>-800023.53</v>
      </c>
      <c r="G121" s="13">
        <v>0</v>
      </c>
      <c r="I121" s="14">
        <f t="shared" si="5"/>
        <v>1518271.57</v>
      </c>
      <c r="K121" s="11"/>
      <c r="M121" s="15"/>
    </row>
    <row r="122" spans="1:13" outlineLevel="2">
      <c r="A122" s="11">
        <f t="shared" si="3"/>
        <v>118</v>
      </c>
      <c r="B122" s="11" t="s">
        <v>235</v>
      </c>
      <c r="C122" s="17" t="s">
        <v>241</v>
      </c>
      <c r="D122" s="12" t="s">
        <v>242</v>
      </c>
      <c r="E122" s="13">
        <v>63325.31</v>
      </c>
      <c r="F122" s="13">
        <v>0</v>
      </c>
      <c r="G122" s="13">
        <v>0</v>
      </c>
      <c r="I122" s="14">
        <f t="shared" si="5"/>
        <v>63325.31</v>
      </c>
      <c r="K122" s="11"/>
    </row>
    <row r="123" spans="1:13" outlineLevel="2">
      <c r="A123" s="11">
        <f t="shared" si="3"/>
        <v>119</v>
      </c>
      <c r="B123" s="11" t="s">
        <v>235</v>
      </c>
      <c r="C123" s="17" t="s">
        <v>461</v>
      </c>
      <c r="D123" s="12" t="s">
        <v>462</v>
      </c>
      <c r="E123" s="13">
        <v>35004.78</v>
      </c>
      <c r="F123" s="13">
        <v>-35004.78</v>
      </c>
      <c r="G123" s="13">
        <v>0</v>
      </c>
      <c r="I123" s="14">
        <f t="shared" si="5"/>
        <v>0</v>
      </c>
      <c r="K123" s="11"/>
    </row>
    <row r="124" spans="1:13" outlineLevel="2">
      <c r="A124" s="11">
        <f t="shared" si="3"/>
        <v>120</v>
      </c>
      <c r="B124" s="11" t="s">
        <v>235</v>
      </c>
      <c r="C124" s="17" t="s">
        <v>243</v>
      </c>
      <c r="D124" s="12" t="s">
        <v>244</v>
      </c>
      <c r="E124" s="13">
        <v>2899880.73</v>
      </c>
      <c r="F124" s="13">
        <v>-124344</v>
      </c>
      <c r="G124" s="13">
        <v>0</v>
      </c>
      <c r="I124" s="14">
        <f t="shared" si="5"/>
        <v>2775536.73</v>
      </c>
      <c r="K124" s="11"/>
    </row>
    <row r="125" spans="1:13" outlineLevel="2">
      <c r="A125" s="11">
        <f t="shared" si="3"/>
        <v>121</v>
      </c>
      <c r="B125" s="11" t="s">
        <v>235</v>
      </c>
      <c r="C125" s="17" t="s">
        <v>463</v>
      </c>
      <c r="D125" s="12" t="s">
        <v>464</v>
      </c>
      <c r="E125" s="13">
        <v>279691.27</v>
      </c>
      <c r="F125" s="13">
        <v>0</v>
      </c>
      <c r="G125" s="13">
        <v>0</v>
      </c>
      <c r="I125" s="14">
        <f t="shared" si="5"/>
        <v>279691.27</v>
      </c>
      <c r="K125" s="11"/>
    </row>
    <row r="126" spans="1:13" outlineLevel="2">
      <c r="A126" s="11">
        <f t="shared" si="3"/>
        <v>122</v>
      </c>
      <c r="B126" s="11" t="s">
        <v>235</v>
      </c>
      <c r="C126" s="17" t="s">
        <v>245</v>
      </c>
      <c r="D126" s="12" t="s">
        <v>246</v>
      </c>
      <c r="E126" s="13">
        <v>309700.65000000002</v>
      </c>
      <c r="F126" s="13">
        <v>0</v>
      </c>
      <c r="G126" s="13">
        <v>0</v>
      </c>
      <c r="I126" s="14">
        <f t="shared" si="5"/>
        <v>309700.65000000002</v>
      </c>
      <c r="K126" s="11"/>
      <c r="M126" s="15"/>
    </row>
    <row r="127" spans="1:13" outlineLevel="2">
      <c r="A127" s="11">
        <f t="shared" si="3"/>
        <v>123</v>
      </c>
      <c r="B127" s="11" t="s">
        <v>235</v>
      </c>
      <c r="C127" s="17" t="s">
        <v>247</v>
      </c>
      <c r="D127" s="12" t="s">
        <v>248</v>
      </c>
      <c r="E127" s="13">
        <v>13779308.23</v>
      </c>
      <c r="F127" s="13">
        <v>-163836</v>
      </c>
      <c r="G127" s="13">
        <v>0</v>
      </c>
      <c r="I127" s="14">
        <f t="shared" si="5"/>
        <v>13615472.23</v>
      </c>
      <c r="J127" s="12"/>
      <c r="K127" s="11"/>
      <c r="M127" s="15"/>
    </row>
    <row r="128" spans="1:13" outlineLevel="2">
      <c r="A128" s="11">
        <f t="shared" si="3"/>
        <v>124</v>
      </c>
      <c r="B128" s="11" t="s">
        <v>235</v>
      </c>
      <c r="C128" s="17" t="s">
        <v>249</v>
      </c>
      <c r="D128" s="12" t="s">
        <v>250</v>
      </c>
      <c r="E128" s="13">
        <v>4706446.99</v>
      </c>
      <c r="F128" s="13">
        <v>-231321.2</v>
      </c>
      <c r="G128" s="13">
        <v>0</v>
      </c>
      <c r="I128" s="14">
        <f t="shared" si="5"/>
        <v>4475125.79</v>
      </c>
      <c r="J128" s="12"/>
      <c r="K128" s="11"/>
      <c r="M128" s="15"/>
    </row>
    <row r="129" spans="1:16" outlineLevel="2">
      <c r="A129" s="11">
        <f t="shared" si="3"/>
        <v>125</v>
      </c>
      <c r="B129" s="11" t="s">
        <v>235</v>
      </c>
      <c r="C129" s="17" t="s">
        <v>251</v>
      </c>
      <c r="D129" s="12" t="s">
        <v>252</v>
      </c>
      <c r="E129" s="13">
        <v>272529.27</v>
      </c>
      <c r="F129" s="13">
        <v>-218121.74</v>
      </c>
      <c r="G129" s="13">
        <v>0</v>
      </c>
      <c r="I129" s="14">
        <f t="shared" si="5"/>
        <v>54407.530000000028</v>
      </c>
      <c r="J129" s="12"/>
      <c r="K129" s="11"/>
      <c r="M129" s="15"/>
    </row>
    <row r="130" spans="1:16" outlineLevel="2">
      <c r="A130" s="11">
        <f t="shared" si="3"/>
        <v>126</v>
      </c>
      <c r="B130" s="11" t="s">
        <v>235</v>
      </c>
      <c r="C130" s="17" t="s">
        <v>253</v>
      </c>
      <c r="D130" s="12" t="s">
        <v>254</v>
      </c>
      <c r="E130" s="13">
        <v>17751914.77</v>
      </c>
      <c r="F130" s="13">
        <v>-187217.77</v>
      </c>
      <c r="G130" s="13">
        <v>0</v>
      </c>
      <c r="I130" s="14">
        <f t="shared" si="5"/>
        <v>17564697</v>
      </c>
      <c r="J130" s="12"/>
      <c r="K130" s="11"/>
      <c r="M130" s="15"/>
    </row>
    <row r="131" spans="1:16" outlineLevel="2">
      <c r="A131" s="11">
        <f t="shared" si="3"/>
        <v>127</v>
      </c>
      <c r="B131" s="11" t="s">
        <v>235</v>
      </c>
      <c r="C131" s="17" t="s">
        <v>255</v>
      </c>
      <c r="D131" s="12" t="s">
        <v>256</v>
      </c>
      <c r="E131" s="13">
        <v>12472.19</v>
      </c>
      <c r="F131" s="13">
        <v>0</v>
      </c>
      <c r="G131" s="13">
        <v>0</v>
      </c>
      <c r="I131" s="14">
        <f t="shared" si="5"/>
        <v>12472.19</v>
      </c>
      <c r="K131" s="11"/>
      <c r="M131" s="15"/>
    </row>
    <row r="132" spans="1:16" outlineLevel="2">
      <c r="A132" s="11">
        <f t="shared" si="3"/>
        <v>128</v>
      </c>
      <c r="B132" s="11" t="s">
        <v>235</v>
      </c>
      <c r="C132" s="17" t="s">
        <v>257</v>
      </c>
      <c r="D132" s="12" t="s">
        <v>258</v>
      </c>
      <c r="E132" s="13">
        <v>2997082.15</v>
      </c>
      <c r="F132" s="13">
        <v>-630455</v>
      </c>
      <c r="G132" s="13">
        <v>0</v>
      </c>
      <c r="I132" s="14">
        <f t="shared" si="5"/>
        <v>2366627.15</v>
      </c>
      <c r="J132" s="12"/>
      <c r="K132" s="11"/>
      <c r="M132" s="15"/>
    </row>
    <row r="133" spans="1:16" outlineLevel="2">
      <c r="A133" s="11">
        <f t="shared" si="3"/>
        <v>129</v>
      </c>
      <c r="B133" s="11" t="s">
        <v>235</v>
      </c>
      <c r="C133" s="17" t="s">
        <v>259</v>
      </c>
      <c r="D133" s="12" t="s">
        <v>260</v>
      </c>
      <c r="E133" s="13">
        <v>3398445.6</v>
      </c>
      <c r="F133" s="13">
        <v>-1226623.06</v>
      </c>
      <c r="G133" s="13">
        <v>0</v>
      </c>
      <c r="I133" s="14">
        <f t="shared" si="5"/>
        <v>2171822.54</v>
      </c>
      <c r="J133" s="12"/>
      <c r="K133" s="11"/>
      <c r="M133" s="15"/>
    </row>
    <row r="134" spans="1:16" outlineLevel="2">
      <c r="A134" s="11">
        <f t="shared" si="3"/>
        <v>130</v>
      </c>
      <c r="B134" s="11" t="s">
        <v>235</v>
      </c>
      <c r="C134" s="17" t="s">
        <v>261</v>
      </c>
      <c r="D134" s="12" t="s">
        <v>262</v>
      </c>
      <c r="E134" s="13">
        <v>4460377.1900000004</v>
      </c>
      <c r="F134" s="13">
        <v>0</v>
      </c>
      <c r="G134" s="13">
        <v>0</v>
      </c>
      <c r="I134" s="14">
        <f t="shared" si="5"/>
        <v>4460377.1900000004</v>
      </c>
      <c r="K134" s="11"/>
      <c r="M134" s="15"/>
    </row>
    <row r="135" spans="1:16" outlineLevel="2">
      <c r="A135" s="11">
        <f t="shared" si="3"/>
        <v>131</v>
      </c>
      <c r="B135" s="11" t="s">
        <v>235</v>
      </c>
      <c r="C135" s="17" t="s">
        <v>2302</v>
      </c>
      <c r="D135" s="12" t="s">
        <v>2313</v>
      </c>
      <c r="E135" s="13">
        <f>4765825.66-4765825.66</f>
        <v>0</v>
      </c>
      <c r="F135" s="13">
        <v>0</v>
      </c>
      <c r="G135" s="13">
        <v>0</v>
      </c>
      <c r="I135" s="14">
        <f t="shared" si="5"/>
        <v>0</v>
      </c>
      <c r="K135" s="11"/>
      <c r="M135" s="15"/>
    </row>
    <row r="136" spans="1:16" outlineLevel="2">
      <c r="A136" s="11">
        <f t="shared" si="3"/>
        <v>132</v>
      </c>
      <c r="B136" s="11" t="s">
        <v>235</v>
      </c>
      <c r="C136" s="17" t="s">
        <v>465</v>
      </c>
      <c r="D136" s="12" t="s">
        <v>466</v>
      </c>
      <c r="E136" s="13">
        <v>45210.14</v>
      </c>
      <c r="I136" s="14">
        <f t="shared" si="5"/>
        <v>45210.14</v>
      </c>
      <c r="K136" s="11"/>
      <c r="M136" s="15"/>
    </row>
    <row r="137" spans="1:16" outlineLevel="2">
      <c r="A137" s="11">
        <f t="shared" si="3"/>
        <v>133</v>
      </c>
      <c r="B137" s="11" t="s">
        <v>235</v>
      </c>
      <c r="C137" s="17" t="s">
        <v>263</v>
      </c>
      <c r="D137" s="12" t="s">
        <v>264</v>
      </c>
      <c r="E137" s="13">
        <v>2463312.04</v>
      </c>
      <c r="F137" s="13">
        <v>0</v>
      </c>
      <c r="G137" s="13">
        <v>0</v>
      </c>
      <c r="I137" s="14">
        <f t="shared" si="5"/>
        <v>2463312.04</v>
      </c>
      <c r="K137" s="11"/>
      <c r="M137" s="15"/>
    </row>
    <row r="138" spans="1:16" outlineLevel="2">
      <c r="A138" s="11">
        <f t="shared" si="3"/>
        <v>134</v>
      </c>
      <c r="B138" s="11" t="s">
        <v>235</v>
      </c>
      <c r="C138" s="17" t="s">
        <v>265</v>
      </c>
      <c r="D138" s="12" t="s">
        <v>266</v>
      </c>
      <c r="E138" s="13">
        <v>3819872.91</v>
      </c>
      <c r="F138" s="13">
        <v>-1007873.07</v>
      </c>
      <c r="G138" s="13">
        <v>0</v>
      </c>
      <c r="I138" s="14">
        <f t="shared" si="5"/>
        <v>2811999.8400000003</v>
      </c>
      <c r="J138" s="12"/>
      <c r="K138" s="11"/>
      <c r="M138" s="15"/>
    </row>
    <row r="139" spans="1:16" outlineLevel="2">
      <c r="A139" s="11">
        <f t="shared" ref="A139:A141" si="6">A138+1</f>
        <v>135</v>
      </c>
      <c r="B139" s="11" t="s">
        <v>235</v>
      </c>
      <c r="C139" s="17" t="s">
        <v>467</v>
      </c>
      <c r="D139" s="12" t="s">
        <v>468</v>
      </c>
      <c r="E139" s="13">
        <v>1376075.86</v>
      </c>
      <c r="F139" s="13">
        <v>0</v>
      </c>
      <c r="G139" s="13">
        <v>0</v>
      </c>
      <c r="I139" s="14">
        <f t="shared" si="5"/>
        <v>1376075.86</v>
      </c>
      <c r="J139" s="12"/>
      <c r="K139" s="11"/>
      <c r="M139" s="15"/>
    </row>
    <row r="140" spans="1:16" outlineLevel="2">
      <c r="A140" s="11">
        <f t="shared" si="6"/>
        <v>136</v>
      </c>
      <c r="B140" s="11" t="s">
        <v>235</v>
      </c>
      <c r="C140" s="17" t="s">
        <v>267</v>
      </c>
      <c r="D140" s="12" t="s">
        <v>268</v>
      </c>
      <c r="E140" s="13">
        <v>9139053.5299999993</v>
      </c>
      <c r="F140" s="13">
        <v>-2140669.77</v>
      </c>
      <c r="G140" s="13">
        <v>0</v>
      </c>
      <c r="I140" s="14">
        <f t="shared" si="5"/>
        <v>6998383.7599999998</v>
      </c>
      <c r="J140" s="12"/>
      <c r="K140" s="11"/>
      <c r="M140" s="15"/>
    </row>
    <row r="141" spans="1:16" outlineLevel="2">
      <c r="A141" s="11">
        <f t="shared" si="6"/>
        <v>137</v>
      </c>
      <c r="B141" s="11" t="s">
        <v>235</v>
      </c>
      <c r="C141" s="17" t="s">
        <v>269</v>
      </c>
      <c r="D141" s="12" t="s">
        <v>270</v>
      </c>
      <c r="E141" s="13">
        <v>5986123.4699999997</v>
      </c>
      <c r="F141" s="13">
        <v>-315045</v>
      </c>
      <c r="G141" s="13">
        <v>0</v>
      </c>
      <c r="I141" s="14">
        <f t="shared" si="5"/>
        <v>5671078.4699999997</v>
      </c>
      <c r="J141" s="12"/>
      <c r="K141" s="11"/>
      <c r="M141" s="15"/>
    </row>
    <row r="142" spans="1:16" outlineLevel="2">
      <c r="A142" s="11">
        <f t="shared" ref="A142:A222" si="7">A141+1</f>
        <v>138</v>
      </c>
      <c r="B142" s="11" t="s">
        <v>235</v>
      </c>
      <c r="C142" s="17" t="s">
        <v>271</v>
      </c>
      <c r="D142" s="12" t="s">
        <v>272</v>
      </c>
      <c r="E142" s="13">
        <v>8453083.7100000009</v>
      </c>
      <c r="F142" s="13">
        <v>0</v>
      </c>
      <c r="G142" s="13">
        <v>0</v>
      </c>
      <c r="I142" s="14">
        <f t="shared" si="5"/>
        <v>8453083.7100000009</v>
      </c>
      <c r="K142" s="11"/>
      <c r="M142" s="15"/>
    </row>
    <row r="143" spans="1:16" outlineLevel="2">
      <c r="A143" s="11">
        <f t="shared" si="7"/>
        <v>139</v>
      </c>
      <c r="B143" s="11" t="s">
        <v>235</v>
      </c>
      <c r="C143" s="17" t="s">
        <v>273</v>
      </c>
      <c r="D143" s="12" t="s">
        <v>274</v>
      </c>
      <c r="E143" s="13">
        <v>11630045.17</v>
      </c>
      <c r="F143" s="13">
        <v>0</v>
      </c>
      <c r="G143" s="13">
        <v>0</v>
      </c>
      <c r="I143" s="14">
        <f t="shared" si="5"/>
        <v>11630045.17</v>
      </c>
      <c r="K143" s="11"/>
      <c r="M143" s="15"/>
    </row>
    <row r="144" spans="1:16" outlineLevel="2">
      <c r="A144" s="11">
        <f t="shared" si="7"/>
        <v>140</v>
      </c>
      <c r="B144" s="11" t="s">
        <v>235</v>
      </c>
      <c r="C144" s="17" t="s">
        <v>275</v>
      </c>
      <c r="D144" s="12" t="s">
        <v>276</v>
      </c>
      <c r="E144" s="13">
        <v>2390851.2200000002</v>
      </c>
      <c r="F144" s="13">
        <v>0</v>
      </c>
      <c r="G144" s="13">
        <v>0</v>
      </c>
      <c r="I144" s="14">
        <f t="shared" si="5"/>
        <v>2390851.2200000002</v>
      </c>
      <c r="K144" s="11"/>
      <c r="M144" s="15"/>
      <c r="P144" s="25"/>
    </row>
    <row r="145" spans="1:16" outlineLevel="2">
      <c r="A145" s="11">
        <f t="shared" si="7"/>
        <v>141</v>
      </c>
      <c r="B145" s="11" t="s">
        <v>235</v>
      </c>
      <c r="C145" s="17" t="s">
        <v>277</v>
      </c>
      <c r="D145" s="12" t="s">
        <v>278</v>
      </c>
      <c r="E145" s="13">
        <v>4633608.43</v>
      </c>
      <c r="F145" s="13">
        <v>-346141.75</v>
      </c>
      <c r="G145" s="13">
        <v>0</v>
      </c>
      <c r="I145" s="14">
        <f t="shared" si="5"/>
        <v>4287466.68</v>
      </c>
      <c r="J145" s="12"/>
      <c r="K145" s="11"/>
      <c r="M145" s="15"/>
      <c r="P145" s="26"/>
    </row>
    <row r="146" spans="1:16" outlineLevel="2">
      <c r="A146" s="11">
        <f t="shared" si="7"/>
        <v>142</v>
      </c>
      <c r="B146" s="11" t="s">
        <v>235</v>
      </c>
      <c r="C146" s="17" t="s">
        <v>279</v>
      </c>
      <c r="D146" s="12" t="s">
        <v>280</v>
      </c>
      <c r="E146" s="13">
        <v>1484722.33</v>
      </c>
      <c r="F146" s="13">
        <v>-1484722</v>
      </c>
      <c r="G146" s="13">
        <v>0</v>
      </c>
      <c r="I146" s="14">
        <f t="shared" si="5"/>
        <v>0.33000000007450581</v>
      </c>
      <c r="J146" s="12"/>
      <c r="K146" s="11"/>
      <c r="M146" s="15"/>
      <c r="P146" s="26"/>
    </row>
    <row r="147" spans="1:16" outlineLevel="2">
      <c r="A147" s="11">
        <f t="shared" si="7"/>
        <v>143</v>
      </c>
      <c r="B147" s="11" t="s">
        <v>235</v>
      </c>
      <c r="C147" s="17" t="s">
        <v>281</v>
      </c>
      <c r="D147" s="12" t="s">
        <v>282</v>
      </c>
      <c r="E147" s="13">
        <v>10478271.449999999</v>
      </c>
      <c r="F147" s="13">
        <v>-2304.9</v>
      </c>
      <c r="G147" s="13">
        <v>0</v>
      </c>
      <c r="I147" s="14">
        <f t="shared" si="5"/>
        <v>10475966.549999999</v>
      </c>
      <c r="J147" s="12"/>
      <c r="K147" s="11"/>
      <c r="M147" s="15"/>
    </row>
    <row r="148" spans="1:16" outlineLevel="2">
      <c r="A148" s="11">
        <f t="shared" si="7"/>
        <v>144</v>
      </c>
      <c r="B148" s="11" t="s">
        <v>235</v>
      </c>
      <c r="C148" s="17" t="s">
        <v>469</v>
      </c>
      <c r="D148" s="12" t="s">
        <v>470</v>
      </c>
      <c r="E148" s="13">
        <v>848872.14</v>
      </c>
      <c r="F148" s="13">
        <v>-109672.64</v>
      </c>
      <c r="I148" s="14">
        <f t="shared" si="5"/>
        <v>739199.5</v>
      </c>
      <c r="J148" s="12"/>
      <c r="K148" s="11"/>
      <c r="M148" s="15"/>
    </row>
    <row r="149" spans="1:16" outlineLevel="2">
      <c r="A149" s="11">
        <f t="shared" si="7"/>
        <v>145</v>
      </c>
      <c r="B149" s="11" t="s">
        <v>235</v>
      </c>
      <c r="C149" s="17" t="s">
        <v>283</v>
      </c>
      <c r="D149" s="12" t="s">
        <v>284</v>
      </c>
      <c r="E149" s="13">
        <v>16188021.15</v>
      </c>
      <c r="F149" s="13">
        <v>-183385</v>
      </c>
      <c r="G149" s="13">
        <v>0</v>
      </c>
      <c r="I149" s="14">
        <f t="shared" si="5"/>
        <v>16004636.15</v>
      </c>
      <c r="J149" s="12"/>
      <c r="K149" s="11"/>
      <c r="M149" s="15"/>
    </row>
    <row r="150" spans="1:16" outlineLevel="2">
      <c r="A150" s="11">
        <f t="shared" si="7"/>
        <v>146</v>
      </c>
      <c r="B150" s="11" t="s">
        <v>235</v>
      </c>
      <c r="C150" s="17" t="s">
        <v>285</v>
      </c>
      <c r="D150" s="12" t="s">
        <v>286</v>
      </c>
      <c r="E150" s="13">
        <v>1602554.49</v>
      </c>
      <c r="F150" s="13">
        <v>-1602554</v>
      </c>
      <c r="G150" s="13">
        <v>0</v>
      </c>
      <c r="I150" s="14">
        <f t="shared" si="5"/>
        <v>0.48999999999068677</v>
      </c>
      <c r="J150" s="12"/>
      <c r="K150" s="11"/>
      <c r="M150" s="15"/>
    </row>
    <row r="151" spans="1:16" outlineLevel="2">
      <c r="A151" s="11">
        <f t="shared" si="7"/>
        <v>147</v>
      </c>
      <c r="B151" s="11" t="s">
        <v>235</v>
      </c>
      <c r="C151" s="17" t="s">
        <v>287</v>
      </c>
      <c r="D151" s="12" t="s">
        <v>288</v>
      </c>
      <c r="E151" s="13">
        <v>2918979.13</v>
      </c>
      <c r="F151" s="13">
        <v>-81504.12</v>
      </c>
      <c r="G151" s="13">
        <v>0</v>
      </c>
      <c r="I151" s="14">
        <f t="shared" si="5"/>
        <v>2837475.01</v>
      </c>
      <c r="J151" s="12"/>
      <c r="K151" s="11"/>
      <c r="M151" s="15"/>
    </row>
    <row r="152" spans="1:16" outlineLevel="2">
      <c r="A152" s="11">
        <f t="shared" si="7"/>
        <v>148</v>
      </c>
      <c r="B152" s="11" t="s">
        <v>235</v>
      </c>
      <c r="C152" s="17" t="s">
        <v>471</v>
      </c>
      <c r="D152" s="12" t="s">
        <v>472</v>
      </c>
      <c r="E152" s="13">
        <v>23704.42</v>
      </c>
      <c r="F152" s="13">
        <v>0</v>
      </c>
      <c r="G152" s="13">
        <v>0</v>
      </c>
      <c r="I152" s="14">
        <f t="shared" si="5"/>
        <v>23704.42</v>
      </c>
      <c r="J152" s="12"/>
      <c r="K152" s="11"/>
      <c r="M152" s="15"/>
    </row>
    <row r="153" spans="1:16" outlineLevel="2">
      <c r="A153" s="11">
        <f t="shared" si="7"/>
        <v>149</v>
      </c>
      <c r="B153" s="11" t="s">
        <v>235</v>
      </c>
      <c r="C153" s="17" t="s">
        <v>473</v>
      </c>
      <c r="D153" s="12" t="s">
        <v>474</v>
      </c>
      <c r="E153" s="13">
        <v>49112.160000000003</v>
      </c>
      <c r="F153" s="13">
        <v>0</v>
      </c>
      <c r="G153" s="13">
        <v>0</v>
      </c>
      <c r="I153" s="14">
        <f t="shared" si="5"/>
        <v>49112.160000000003</v>
      </c>
      <c r="J153" s="12"/>
      <c r="K153" s="11"/>
      <c r="M153" s="15"/>
    </row>
    <row r="154" spans="1:16" outlineLevel="2">
      <c r="A154" s="11">
        <f t="shared" si="7"/>
        <v>150</v>
      </c>
      <c r="B154" s="11" t="s">
        <v>235</v>
      </c>
      <c r="C154" s="17" t="s">
        <v>475</v>
      </c>
      <c r="D154" s="12" t="s">
        <v>476</v>
      </c>
      <c r="E154" s="13">
        <v>66107.63</v>
      </c>
      <c r="F154" s="13">
        <v>0</v>
      </c>
      <c r="G154" s="13">
        <v>0</v>
      </c>
      <c r="I154" s="14">
        <f t="shared" si="5"/>
        <v>66107.63</v>
      </c>
      <c r="J154" s="12"/>
      <c r="K154" s="11"/>
      <c r="M154" s="15"/>
    </row>
    <row r="155" spans="1:16" outlineLevel="2">
      <c r="A155" s="11">
        <f t="shared" si="7"/>
        <v>151</v>
      </c>
      <c r="B155" s="11" t="s">
        <v>235</v>
      </c>
      <c r="C155" s="17" t="s">
        <v>289</v>
      </c>
      <c r="D155" s="12" t="s">
        <v>290</v>
      </c>
      <c r="E155" s="13">
        <v>1347433.28</v>
      </c>
      <c r="F155" s="13">
        <v>-351322.52</v>
      </c>
      <c r="G155" s="13">
        <v>0</v>
      </c>
      <c r="I155" s="14">
        <f t="shared" si="5"/>
        <v>996110.76</v>
      </c>
      <c r="J155" s="12"/>
      <c r="K155" s="11"/>
      <c r="M155" s="15"/>
    </row>
    <row r="156" spans="1:16" outlineLevel="2">
      <c r="A156" s="11">
        <f t="shared" si="7"/>
        <v>152</v>
      </c>
      <c r="B156" s="11" t="s">
        <v>235</v>
      </c>
      <c r="C156" s="17" t="s">
        <v>291</v>
      </c>
      <c r="D156" s="12" t="s">
        <v>292</v>
      </c>
      <c r="E156" s="13">
        <v>6878146.0300000003</v>
      </c>
      <c r="F156" s="13">
        <v>-1197121.81</v>
      </c>
      <c r="G156" s="13">
        <v>0</v>
      </c>
      <c r="I156" s="14">
        <f t="shared" si="5"/>
        <v>5681024.2200000007</v>
      </c>
      <c r="J156" s="12"/>
      <c r="K156" s="11"/>
      <c r="M156" s="15"/>
    </row>
    <row r="157" spans="1:16" outlineLevel="2">
      <c r="A157" s="11">
        <f t="shared" si="7"/>
        <v>153</v>
      </c>
      <c r="B157" s="11" t="s">
        <v>235</v>
      </c>
      <c r="C157" s="17" t="s">
        <v>293</v>
      </c>
      <c r="D157" s="12" t="s">
        <v>294</v>
      </c>
      <c r="E157" s="13">
        <v>2099906.66</v>
      </c>
      <c r="F157" s="13">
        <v>-17146.990000000002</v>
      </c>
      <c r="G157" s="13">
        <v>0</v>
      </c>
      <c r="I157" s="14">
        <f t="shared" si="5"/>
        <v>2082759.6700000002</v>
      </c>
      <c r="J157" s="12"/>
      <c r="K157" s="11"/>
      <c r="M157" s="15"/>
    </row>
    <row r="158" spans="1:16" outlineLevel="2">
      <c r="A158" s="11">
        <f t="shared" si="7"/>
        <v>154</v>
      </c>
      <c r="B158" s="11" t="s">
        <v>235</v>
      </c>
      <c r="C158" s="17" t="s">
        <v>295</v>
      </c>
      <c r="D158" s="12" t="s">
        <v>296</v>
      </c>
      <c r="E158" s="13">
        <v>579.42999999999995</v>
      </c>
      <c r="F158" s="13">
        <v>-579</v>
      </c>
      <c r="G158" s="13">
        <v>0</v>
      </c>
      <c r="I158" s="14">
        <f t="shared" si="5"/>
        <v>0.42999999999994998</v>
      </c>
      <c r="J158" s="12"/>
      <c r="K158" s="11"/>
      <c r="M158" s="15"/>
    </row>
    <row r="159" spans="1:16" outlineLevel="2">
      <c r="A159" s="11">
        <f t="shared" si="7"/>
        <v>155</v>
      </c>
      <c r="B159" s="11" t="s">
        <v>235</v>
      </c>
      <c r="C159" s="17" t="s">
        <v>297</v>
      </c>
      <c r="D159" s="12" t="s">
        <v>298</v>
      </c>
      <c r="E159" s="13">
        <v>3507128.62</v>
      </c>
      <c r="F159" s="13">
        <v>-41652.43</v>
      </c>
      <c r="G159" s="13">
        <v>0</v>
      </c>
      <c r="I159" s="14">
        <f t="shared" si="5"/>
        <v>3465476.19</v>
      </c>
      <c r="J159" s="12"/>
      <c r="K159" s="11"/>
      <c r="M159" s="15"/>
    </row>
    <row r="160" spans="1:16" outlineLevel="2">
      <c r="A160" s="11">
        <f t="shared" si="7"/>
        <v>156</v>
      </c>
      <c r="B160" s="11" t="s">
        <v>235</v>
      </c>
      <c r="C160" s="17" t="s">
        <v>299</v>
      </c>
      <c r="D160" s="12" t="s">
        <v>300</v>
      </c>
      <c r="E160" s="13">
        <v>749767.78</v>
      </c>
      <c r="F160" s="13">
        <v>-247423.37</v>
      </c>
      <c r="G160" s="13">
        <v>0</v>
      </c>
      <c r="I160" s="14">
        <f t="shared" si="5"/>
        <v>502344.41000000003</v>
      </c>
      <c r="K160" s="11"/>
      <c r="M160" s="15"/>
    </row>
    <row r="161" spans="1:13" outlineLevel="2">
      <c r="A161" s="11">
        <f t="shared" si="7"/>
        <v>157</v>
      </c>
      <c r="B161" s="11" t="s">
        <v>235</v>
      </c>
      <c r="C161" s="17" t="s">
        <v>301</v>
      </c>
      <c r="D161" s="12" t="s">
        <v>302</v>
      </c>
      <c r="E161" s="13">
        <v>5530495.0199999996</v>
      </c>
      <c r="F161" s="13">
        <v>-164228.81</v>
      </c>
      <c r="G161" s="13">
        <v>0</v>
      </c>
      <c r="I161" s="14">
        <f t="shared" ref="I161:I243" si="8">SUM(E161:G161)</f>
        <v>5366266.21</v>
      </c>
      <c r="J161" s="12"/>
      <c r="K161" s="11"/>
      <c r="M161" s="15"/>
    </row>
    <row r="162" spans="1:13" outlineLevel="2">
      <c r="A162" s="11">
        <f t="shared" si="7"/>
        <v>158</v>
      </c>
      <c r="B162" s="11" t="s">
        <v>235</v>
      </c>
      <c r="C162" s="17" t="s">
        <v>303</v>
      </c>
      <c r="D162" s="12" t="s">
        <v>304</v>
      </c>
      <c r="E162" s="13">
        <v>4296872.84</v>
      </c>
      <c r="F162" s="13">
        <v>0</v>
      </c>
      <c r="G162" s="13">
        <v>0</v>
      </c>
      <c r="I162" s="14">
        <f t="shared" si="8"/>
        <v>4296872.84</v>
      </c>
      <c r="J162" s="12"/>
      <c r="K162" s="11"/>
      <c r="M162" s="15"/>
    </row>
    <row r="163" spans="1:13" ht="12.75" customHeight="1" outlineLevel="2">
      <c r="A163" s="11">
        <f t="shared" si="7"/>
        <v>159</v>
      </c>
      <c r="B163" s="11" t="s">
        <v>235</v>
      </c>
      <c r="C163" s="17" t="s">
        <v>305</v>
      </c>
      <c r="D163" s="12" t="s">
        <v>306</v>
      </c>
      <c r="E163" s="13">
        <v>1270127.44</v>
      </c>
      <c r="F163" s="13">
        <v>-572275.19999999995</v>
      </c>
      <c r="G163" s="13">
        <v>0</v>
      </c>
      <c r="I163" s="14">
        <f t="shared" si="8"/>
        <v>697852.24</v>
      </c>
      <c r="J163" s="12"/>
      <c r="K163" s="11"/>
      <c r="M163" s="15"/>
    </row>
    <row r="164" spans="1:13" outlineLevel="2">
      <c r="A164" s="11">
        <f t="shared" si="7"/>
        <v>160</v>
      </c>
      <c r="B164" s="11" t="s">
        <v>235</v>
      </c>
      <c r="C164" s="17" t="s">
        <v>307</v>
      </c>
      <c r="D164" s="12" t="s">
        <v>308</v>
      </c>
      <c r="E164" s="13">
        <v>27656157.329999998</v>
      </c>
      <c r="F164" s="13">
        <v>0</v>
      </c>
      <c r="G164" s="13">
        <v>0</v>
      </c>
      <c r="I164" s="14">
        <f t="shared" si="8"/>
        <v>27656157.329999998</v>
      </c>
      <c r="J164" s="12"/>
      <c r="K164" s="11"/>
      <c r="M164" s="15"/>
    </row>
    <row r="165" spans="1:13" outlineLevel="2">
      <c r="A165" s="11">
        <f t="shared" si="7"/>
        <v>161</v>
      </c>
      <c r="B165" s="11" t="s">
        <v>235</v>
      </c>
      <c r="C165" s="17" t="s">
        <v>309</v>
      </c>
      <c r="D165" s="12" t="s">
        <v>310</v>
      </c>
      <c r="E165" s="13">
        <v>4266040.32</v>
      </c>
      <c r="F165" s="13">
        <v>-40435</v>
      </c>
      <c r="G165" s="13">
        <v>0</v>
      </c>
      <c r="I165" s="14">
        <f t="shared" si="8"/>
        <v>4225605.32</v>
      </c>
      <c r="J165" s="12"/>
      <c r="K165" s="11"/>
      <c r="M165" s="15"/>
    </row>
    <row r="166" spans="1:13" outlineLevel="2">
      <c r="A166" s="11">
        <f t="shared" si="7"/>
        <v>162</v>
      </c>
      <c r="B166" s="11" t="s">
        <v>235</v>
      </c>
      <c r="C166" s="17" t="s">
        <v>311</v>
      </c>
      <c r="D166" s="12" t="s">
        <v>312</v>
      </c>
      <c r="E166" s="13">
        <v>7744394.29</v>
      </c>
      <c r="F166" s="13">
        <v>-1030789.81</v>
      </c>
      <c r="G166" s="13">
        <v>0</v>
      </c>
      <c r="I166" s="14">
        <f t="shared" si="8"/>
        <v>6713604.4800000004</v>
      </c>
      <c r="J166" s="12"/>
      <c r="K166" s="11"/>
      <c r="M166" s="15"/>
    </row>
    <row r="167" spans="1:13" outlineLevel="2">
      <c r="A167" s="11">
        <f t="shared" si="7"/>
        <v>163</v>
      </c>
      <c r="B167" s="11" t="s">
        <v>235</v>
      </c>
      <c r="C167" s="17" t="s">
        <v>313</v>
      </c>
      <c r="D167" s="12" t="s">
        <v>314</v>
      </c>
      <c r="E167" s="13">
        <v>253710.27</v>
      </c>
      <c r="F167" s="13">
        <v>0</v>
      </c>
      <c r="G167" s="13">
        <v>0</v>
      </c>
      <c r="I167" s="14">
        <f t="shared" si="8"/>
        <v>253710.27</v>
      </c>
      <c r="J167" s="12"/>
      <c r="K167" s="11"/>
      <c r="M167" s="15"/>
    </row>
    <row r="168" spans="1:13" outlineLevel="2">
      <c r="A168" s="11">
        <f t="shared" si="7"/>
        <v>164</v>
      </c>
      <c r="B168" s="11" t="s">
        <v>235</v>
      </c>
      <c r="C168" s="17" t="s">
        <v>315</v>
      </c>
      <c r="D168" s="12" t="s">
        <v>316</v>
      </c>
      <c r="E168" s="13">
        <v>10832303.18</v>
      </c>
      <c r="F168" s="13">
        <v>0</v>
      </c>
      <c r="G168" s="13">
        <v>0</v>
      </c>
      <c r="I168" s="14">
        <f t="shared" si="8"/>
        <v>10832303.18</v>
      </c>
      <c r="K168" s="11"/>
      <c r="M168" s="15"/>
    </row>
    <row r="169" spans="1:13" outlineLevel="2">
      <c r="A169" s="11">
        <f t="shared" si="7"/>
        <v>165</v>
      </c>
      <c r="B169" s="11" t="s">
        <v>235</v>
      </c>
      <c r="C169" s="17" t="s">
        <v>317</v>
      </c>
      <c r="D169" s="12" t="s">
        <v>318</v>
      </c>
      <c r="E169" s="13">
        <v>17698959.530000001</v>
      </c>
      <c r="F169" s="13">
        <v>-163144</v>
      </c>
      <c r="G169" s="13">
        <v>0</v>
      </c>
      <c r="I169" s="14">
        <f t="shared" si="8"/>
        <v>17535815.530000001</v>
      </c>
      <c r="J169" s="12"/>
      <c r="K169" s="11"/>
      <c r="M169" s="15"/>
    </row>
    <row r="170" spans="1:13" outlineLevel="2">
      <c r="A170" s="11">
        <f t="shared" si="7"/>
        <v>166</v>
      </c>
      <c r="B170" s="11" t="s">
        <v>235</v>
      </c>
      <c r="C170" s="17" t="s">
        <v>319</v>
      </c>
      <c r="D170" s="12" t="s">
        <v>320</v>
      </c>
      <c r="E170" s="13">
        <v>1725310.24</v>
      </c>
      <c r="F170" s="13">
        <v>0</v>
      </c>
      <c r="G170" s="13">
        <v>0</v>
      </c>
      <c r="I170" s="14">
        <f t="shared" si="8"/>
        <v>1725310.24</v>
      </c>
      <c r="K170" s="11"/>
      <c r="M170" s="15"/>
    </row>
    <row r="171" spans="1:13" outlineLevel="2">
      <c r="A171" s="11">
        <f t="shared" si="7"/>
        <v>167</v>
      </c>
      <c r="B171" s="11" t="s">
        <v>235</v>
      </c>
      <c r="C171" s="17" t="s">
        <v>321</v>
      </c>
      <c r="D171" s="12" t="s">
        <v>322</v>
      </c>
      <c r="E171" s="13">
        <v>10645252.35</v>
      </c>
      <c r="F171" s="13">
        <v>0</v>
      </c>
      <c r="G171" s="13">
        <v>0</v>
      </c>
      <c r="I171" s="14">
        <f t="shared" si="8"/>
        <v>10645252.35</v>
      </c>
      <c r="K171" s="11"/>
      <c r="M171" s="15"/>
    </row>
    <row r="172" spans="1:13" outlineLevel="2">
      <c r="A172" s="11">
        <f t="shared" si="7"/>
        <v>168</v>
      </c>
      <c r="B172" s="11" t="s">
        <v>235</v>
      </c>
      <c r="C172" s="17" t="s">
        <v>323</v>
      </c>
      <c r="D172" s="12" t="s">
        <v>324</v>
      </c>
      <c r="E172" s="13">
        <v>17791350.989999998</v>
      </c>
      <c r="F172" s="13">
        <v>0</v>
      </c>
      <c r="G172" s="13">
        <v>0</v>
      </c>
      <c r="I172" s="14">
        <f t="shared" si="8"/>
        <v>17791350.989999998</v>
      </c>
      <c r="K172" s="11"/>
      <c r="M172" s="15"/>
    </row>
    <row r="173" spans="1:13" outlineLevel="2">
      <c r="A173" s="11">
        <f t="shared" si="7"/>
        <v>169</v>
      </c>
      <c r="B173" s="11" t="s">
        <v>235</v>
      </c>
      <c r="C173" s="17" t="s">
        <v>2303</v>
      </c>
      <c r="D173" s="12" t="s">
        <v>2312</v>
      </c>
      <c r="E173" s="13">
        <f>11966651.04+253719.57-11966651.04-253719.57</f>
        <v>2.9103830456733704E-10</v>
      </c>
      <c r="F173" s="13">
        <v>0</v>
      </c>
      <c r="G173" s="13">
        <v>0</v>
      </c>
      <c r="I173" s="14">
        <f t="shared" si="8"/>
        <v>2.9103830456733704E-10</v>
      </c>
      <c r="K173" s="11"/>
      <c r="M173" s="15"/>
    </row>
    <row r="174" spans="1:13" ht="12.75" customHeight="1" outlineLevel="2">
      <c r="A174" s="11">
        <f>A173+1</f>
        <v>170</v>
      </c>
      <c r="B174" s="11" t="s">
        <v>235</v>
      </c>
      <c r="C174" s="17" t="s">
        <v>325</v>
      </c>
      <c r="D174" s="12" t="s">
        <v>326</v>
      </c>
      <c r="E174" s="13">
        <v>23855781.239999998</v>
      </c>
      <c r="F174" s="13">
        <v>-2224202.81</v>
      </c>
      <c r="G174" s="13">
        <v>0</v>
      </c>
      <c r="I174" s="14">
        <f t="shared" si="8"/>
        <v>21631578.43</v>
      </c>
      <c r="J174" s="12"/>
      <c r="K174" s="11"/>
      <c r="M174" s="15"/>
    </row>
    <row r="175" spans="1:13" outlineLevel="2">
      <c r="A175" s="11">
        <f t="shared" si="7"/>
        <v>171</v>
      </c>
      <c r="B175" s="11" t="s">
        <v>235</v>
      </c>
      <c r="C175" s="17" t="s">
        <v>327</v>
      </c>
      <c r="D175" s="12" t="s">
        <v>328</v>
      </c>
      <c r="E175" s="13">
        <v>8439044.1799999997</v>
      </c>
      <c r="F175" s="13">
        <v>0</v>
      </c>
      <c r="G175" s="13">
        <v>0</v>
      </c>
      <c r="I175" s="14">
        <f t="shared" si="8"/>
        <v>8439044.1799999997</v>
      </c>
      <c r="K175" s="11"/>
      <c r="M175" s="15"/>
    </row>
    <row r="176" spans="1:13" outlineLevel="2">
      <c r="A176" s="11">
        <f t="shared" si="7"/>
        <v>172</v>
      </c>
      <c r="B176" s="11" t="s">
        <v>235</v>
      </c>
      <c r="C176" s="17" t="s">
        <v>329</v>
      </c>
      <c r="D176" s="12" t="s">
        <v>330</v>
      </c>
      <c r="E176" s="13">
        <v>1510561.05</v>
      </c>
      <c r="F176" s="13">
        <v>-43752</v>
      </c>
      <c r="G176" s="13">
        <v>0</v>
      </c>
      <c r="I176" s="14">
        <f t="shared" si="8"/>
        <v>1466809.05</v>
      </c>
      <c r="J176" s="12"/>
      <c r="K176" s="11"/>
      <c r="M176" s="15"/>
    </row>
    <row r="177" spans="1:13" outlineLevel="2">
      <c r="A177" s="11">
        <f t="shared" si="7"/>
        <v>173</v>
      </c>
      <c r="B177" s="11" t="s">
        <v>235</v>
      </c>
      <c r="C177" s="17" t="s">
        <v>331</v>
      </c>
      <c r="D177" s="12" t="s">
        <v>332</v>
      </c>
      <c r="E177" s="13">
        <v>5578082.3200000003</v>
      </c>
      <c r="F177" s="13">
        <v>-326876.78999999998</v>
      </c>
      <c r="G177" s="13">
        <v>0</v>
      </c>
      <c r="I177" s="14">
        <f t="shared" si="8"/>
        <v>5251205.53</v>
      </c>
      <c r="J177" s="12"/>
      <c r="K177" s="11"/>
      <c r="M177" s="15"/>
    </row>
    <row r="178" spans="1:13" outlineLevel="2">
      <c r="A178" s="11">
        <f t="shared" si="7"/>
        <v>174</v>
      </c>
      <c r="B178" s="11" t="s">
        <v>235</v>
      </c>
      <c r="C178" s="17" t="s">
        <v>2446</v>
      </c>
      <c r="D178" s="12" t="s">
        <v>2447</v>
      </c>
      <c r="E178" s="13">
        <v>9869842</v>
      </c>
      <c r="F178" s="13">
        <v>0</v>
      </c>
      <c r="G178" s="13">
        <v>0</v>
      </c>
      <c r="I178" s="14">
        <f t="shared" si="8"/>
        <v>9869842</v>
      </c>
      <c r="J178" s="12"/>
      <c r="K178" s="11"/>
      <c r="M178" s="15"/>
    </row>
    <row r="179" spans="1:13" outlineLevel="2">
      <c r="A179" s="11">
        <f t="shared" si="7"/>
        <v>175</v>
      </c>
      <c r="B179" s="11" t="s">
        <v>235</v>
      </c>
      <c r="C179" s="17" t="s">
        <v>479</v>
      </c>
      <c r="D179" s="12" t="s">
        <v>480</v>
      </c>
      <c r="E179" s="13">
        <f>82518.71+16015.17</f>
        <v>98533.88</v>
      </c>
      <c r="F179" s="13">
        <v>0</v>
      </c>
      <c r="G179" s="13">
        <v>0</v>
      </c>
      <c r="I179" s="14">
        <f t="shared" si="8"/>
        <v>98533.88</v>
      </c>
      <c r="J179" s="12"/>
      <c r="K179" s="11"/>
      <c r="M179" s="15"/>
    </row>
    <row r="180" spans="1:13" outlineLevel="2">
      <c r="A180" s="11">
        <f t="shared" si="7"/>
        <v>176</v>
      </c>
      <c r="B180" s="11" t="s">
        <v>235</v>
      </c>
      <c r="C180" s="17" t="s">
        <v>333</v>
      </c>
      <c r="D180" s="12" t="s">
        <v>334</v>
      </c>
      <c r="E180" s="13">
        <v>11868241.48</v>
      </c>
      <c r="F180" s="13">
        <v>-62475.4</v>
      </c>
      <c r="G180" s="13">
        <v>0</v>
      </c>
      <c r="I180" s="14">
        <f t="shared" si="8"/>
        <v>11805766.08</v>
      </c>
      <c r="J180" s="12"/>
      <c r="K180" s="11"/>
      <c r="M180" s="15"/>
    </row>
    <row r="181" spans="1:13" outlineLevel="2">
      <c r="A181" s="11">
        <f t="shared" si="7"/>
        <v>177</v>
      </c>
      <c r="B181" s="11" t="s">
        <v>235</v>
      </c>
      <c r="C181" s="17" t="s">
        <v>2304</v>
      </c>
      <c r="D181" s="12" t="s">
        <v>2314</v>
      </c>
      <c r="E181" s="13">
        <f>6841033.8-6841033.8</f>
        <v>0</v>
      </c>
      <c r="F181" s="13">
        <v>0</v>
      </c>
      <c r="G181" s="13">
        <v>0</v>
      </c>
      <c r="I181" s="14">
        <f t="shared" si="8"/>
        <v>0</v>
      </c>
      <c r="J181" s="12"/>
      <c r="K181" s="11"/>
      <c r="M181" s="15"/>
    </row>
    <row r="182" spans="1:13" outlineLevel="2">
      <c r="A182" s="11">
        <f t="shared" si="7"/>
        <v>178</v>
      </c>
      <c r="B182" s="11" t="s">
        <v>235</v>
      </c>
      <c r="C182" s="17" t="s">
        <v>481</v>
      </c>
      <c r="D182" s="12" t="s">
        <v>482</v>
      </c>
      <c r="E182" s="13">
        <v>10832.21</v>
      </c>
      <c r="F182" s="13">
        <v>0</v>
      </c>
      <c r="G182" s="13">
        <v>0</v>
      </c>
      <c r="I182" s="14">
        <f t="shared" si="8"/>
        <v>10832.21</v>
      </c>
      <c r="J182" s="12"/>
      <c r="K182" s="11"/>
      <c r="M182" s="15"/>
    </row>
    <row r="183" spans="1:13" outlineLevel="2">
      <c r="A183" s="11">
        <f t="shared" si="7"/>
        <v>179</v>
      </c>
      <c r="B183" s="11" t="s">
        <v>235</v>
      </c>
      <c r="C183" s="17" t="s">
        <v>335</v>
      </c>
      <c r="D183" s="12" t="s">
        <v>336</v>
      </c>
      <c r="E183" s="13">
        <v>3894019.92</v>
      </c>
      <c r="F183" s="13">
        <v>-143716.45000000001</v>
      </c>
      <c r="G183" s="13">
        <v>0</v>
      </c>
      <c r="I183" s="14">
        <f t="shared" si="8"/>
        <v>3750303.4699999997</v>
      </c>
      <c r="J183" s="12"/>
      <c r="K183" s="11"/>
      <c r="M183" s="15"/>
    </row>
    <row r="184" spans="1:13" outlineLevel="2">
      <c r="A184" s="11">
        <f t="shared" si="7"/>
        <v>180</v>
      </c>
      <c r="B184" s="11" t="s">
        <v>235</v>
      </c>
      <c r="C184" s="17" t="s">
        <v>337</v>
      </c>
      <c r="D184" s="12" t="s">
        <v>338</v>
      </c>
      <c r="E184" s="13">
        <v>11683545.109999999</v>
      </c>
      <c r="F184" s="13">
        <v>-320531.18</v>
      </c>
      <c r="G184" s="13">
        <v>0</v>
      </c>
      <c r="I184" s="14">
        <f t="shared" si="8"/>
        <v>11363013.93</v>
      </c>
      <c r="J184" s="12"/>
      <c r="K184" s="11"/>
      <c r="M184" s="15"/>
    </row>
    <row r="185" spans="1:13" outlineLevel="2">
      <c r="A185" s="11">
        <f t="shared" si="7"/>
        <v>181</v>
      </c>
      <c r="B185" s="11" t="s">
        <v>235</v>
      </c>
      <c r="C185" s="17" t="s">
        <v>339</v>
      </c>
      <c r="D185" s="12" t="s">
        <v>340</v>
      </c>
      <c r="E185" s="13">
        <v>23290587.5</v>
      </c>
      <c r="F185" s="13">
        <v>-1837674</v>
      </c>
      <c r="G185" s="13">
        <v>0</v>
      </c>
      <c r="I185" s="14">
        <f t="shared" si="8"/>
        <v>21452913.5</v>
      </c>
      <c r="J185" s="12"/>
      <c r="K185" s="11"/>
      <c r="M185" s="15"/>
    </row>
    <row r="186" spans="1:13" outlineLevel="2">
      <c r="A186" s="11">
        <f t="shared" si="7"/>
        <v>182</v>
      </c>
      <c r="B186" s="11" t="s">
        <v>235</v>
      </c>
      <c r="C186" s="17" t="s">
        <v>341</v>
      </c>
      <c r="D186" s="12" t="s">
        <v>342</v>
      </c>
      <c r="E186" s="13">
        <v>7092854.1799999997</v>
      </c>
      <c r="F186" s="13">
        <v>-1180480.01</v>
      </c>
      <c r="G186" s="13">
        <v>0</v>
      </c>
      <c r="I186" s="14">
        <f t="shared" si="8"/>
        <v>5912374.1699999999</v>
      </c>
      <c r="J186" s="12"/>
      <c r="K186" s="11"/>
      <c r="M186" s="15"/>
    </row>
    <row r="187" spans="1:13" outlineLevel="2">
      <c r="A187" s="11">
        <f t="shared" si="7"/>
        <v>183</v>
      </c>
      <c r="B187" s="11" t="s">
        <v>235</v>
      </c>
      <c r="C187" s="17" t="s">
        <v>343</v>
      </c>
      <c r="D187" s="12" t="s">
        <v>344</v>
      </c>
      <c r="E187" s="13">
        <v>2861374.78</v>
      </c>
      <c r="F187" s="13">
        <v>-1307837</v>
      </c>
      <c r="G187" s="13">
        <v>0</v>
      </c>
      <c r="I187" s="14">
        <f t="shared" si="8"/>
        <v>1553537.7799999998</v>
      </c>
      <c r="J187" s="12"/>
      <c r="K187" s="11"/>
      <c r="M187" s="15"/>
    </row>
    <row r="188" spans="1:13" outlineLevel="2">
      <c r="A188" s="11">
        <f t="shared" si="7"/>
        <v>184</v>
      </c>
      <c r="B188" s="11" t="s">
        <v>235</v>
      </c>
      <c r="C188" s="17" t="s">
        <v>345</v>
      </c>
      <c r="D188" s="12" t="s">
        <v>346</v>
      </c>
      <c r="E188" s="13">
        <v>3943916.72</v>
      </c>
      <c r="F188" s="13">
        <v>-158721.51</v>
      </c>
      <c r="G188" s="13">
        <v>0</v>
      </c>
      <c r="I188" s="14">
        <f t="shared" si="8"/>
        <v>3785195.21</v>
      </c>
      <c r="J188" s="12"/>
      <c r="K188" s="11"/>
      <c r="M188" s="15"/>
    </row>
    <row r="189" spans="1:13" outlineLevel="2">
      <c r="A189" s="11">
        <f t="shared" si="7"/>
        <v>185</v>
      </c>
      <c r="B189" s="11" t="s">
        <v>235</v>
      </c>
      <c r="C189" s="17" t="s">
        <v>347</v>
      </c>
      <c r="D189" s="12" t="s">
        <v>348</v>
      </c>
      <c r="E189" s="13">
        <v>11108747.65</v>
      </c>
      <c r="F189" s="13">
        <v>0</v>
      </c>
      <c r="G189" s="13">
        <v>0</v>
      </c>
      <c r="I189" s="14">
        <f t="shared" si="8"/>
        <v>11108747.65</v>
      </c>
      <c r="J189" s="12"/>
      <c r="K189" s="11"/>
      <c r="M189" s="15"/>
    </row>
    <row r="190" spans="1:13" outlineLevel="2">
      <c r="A190" s="11">
        <f t="shared" si="7"/>
        <v>186</v>
      </c>
      <c r="B190" s="11" t="s">
        <v>235</v>
      </c>
      <c r="C190" s="17" t="s">
        <v>483</v>
      </c>
      <c r="D190" s="12" t="s">
        <v>484</v>
      </c>
      <c r="E190" s="13">
        <v>29969.23</v>
      </c>
      <c r="F190" s="13">
        <v>0</v>
      </c>
      <c r="I190" s="14">
        <f t="shared" si="8"/>
        <v>29969.23</v>
      </c>
      <c r="J190" s="12"/>
      <c r="K190" s="11"/>
      <c r="M190" s="15"/>
    </row>
    <row r="191" spans="1:13" outlineLevel="2">
      <c r="A191" s="11">
        <f t="shared" si="7"/>
        <v>187</v>
      </c>
      <c r="B191" s="11" t="s">
        <v>235</v>
      </c>
      <c r="C191" s="17" t="s">
        <v>485</v>
      </c>
      <c r="D191" s="12" t="s">
        <v>486</v>
      </c>
      <c r="E191" s="13">
        <v>340848.27</v>
      </c>
      <c r="F191" s="13">
        <v>0</v>
      </c>
      <c r="I191" s="14">
        <f t="shared" si="8"/>
        <v>340848.27</v>
      </c>
      <c r="J191" s="12"/>
      <c r="K191" s="11"/>
      <c r="M191" s="15"/>
    </row>
    <row r="192" spans="1:13" outlineLevel="2">
      <c r="A192" s="11">
        <f t="shared" si="7"/>
        <v>188</v>
      </c>
      <c r="B192" s="11" t="s">
        <v>235</v>
      </c>
      <c r="C192" s="17" t="s">
        <v>349</v>
      </c>
      <c r="D192" s="12" t="s">
        <v>350</v>
      </c>
      <c r="E192" s="13">
        <v>19476</v>
      </c>
      <c r="F192" s="13">
        <v>0</v>
      </c>
      <c r="G192" s="13">
        <v>0</v>
      </c>
      <c r="I192" s="14">
        <f t="shared" si="8"/>
        <v>19476</v>
      </c>
      <c r="K192" s="11"/>
      <c r="M192" s="15"/>
    </row>
    <row r="193" spans="1:13" outlineLevel="2">
      <c r="A193" s="11">
        <f t="shared" si="7"/>
        <v>189</v>
      </c>
      <c r="B193" s="11" t="s">
        <v>235</v>
      </c>
      <c r="C193" s="17" t="s">
        <v>351</v>
      </c>
      <c r="D193" s="12" t="s">
        <v>352</v>
      </c>
      <c r="E193" s="13">
        <v>1829480.7</v>
      </c>
      <c r="F193" s="13">
        <v>-1134119.53</v>
      </c>
      <c r="G193" s="13">
        <v>0</v>
      </c>
      <c r="I193" s="14">
        <f t="shared" si="8"/>
        <v>695361.16999999993</v>
      </c>
      <c r="J193" s="12"/>
      <c r="K193" s="11"/>
      <c r="M193" s="15"/>
    </row>
    <row r="194" spans="1:13" outlineLevel="2">
      <c r="A194" s="11">
        <f t="shared" si="7"/>
        <v>190</v>
      </c>
      <c r="B194" s="11" t="s">
        <v>235</v>
      </c>
      <c r="C194" s="17" t="s">
        <v>353</v>
      </c>
      <c r="D194" s="12" t="s">
        <v>354</v>
      </c>
      <c r="E194" s="13">
        <v>7925435.4699999997</v>
      </c>
      <c r="F194" s="13">
        <v>-593801.27</v>
      </c>
      <c r="G194" s="13">
        <v>0</v>
      </c>
      <c r="I194" s="14">
        <f t="shared" si="8"/>
        <v>7331634.1999999993</v>
      </c>
      <c r="J194" s="12"/>
      <c r="K194" s="11"/>
      <c r="M194" s="15"/>
    </row>
    <row r="195" spans="1:13" outlineLevel="2">
      <c r="A195" s="11">
        <f t="shared" si="7"/>
        <v>191</v>
      </c>
      <c r="B195" s="11" t="s">
        <v>235</v>
      </c>
      <c r="C195" s="17" t="s">
        <v>355</v>
      </c>
      <c r="D195" s="12" t="s">
        <v>356</v>
      </c>
      <c r="E195" s="13">
        <v>838166.05</v>
      </c>
      <c r="F195" s="13">
        <v>-154097</v>
      </c>
      <c r="G195" s="13">
        <v>0</v>
      </c>
      <c r="I195" s="14">
        <f t="shared" si="8"/>
        <v>684069.05</v>
      </c>
      <c r="K195" s="11"/>
      <c r="M195" s="15"/>
    </row>
    <row r="196" spans="1:13" outlineLevel="2">
      <c r="A196" s="11">
        <f t="shared" si="7"/>
        <v>192</v>
      </c>
      <c r="B196" s="11" t="s">
        <v>235</v>
      </c>
      <c r="C196" s="17" t="s">
        <v>357</v>
      </c>
      <c r="D196" s="12" t="s">
        <v>358</v>
      </c>
      <c r="E196" s="13">
        <v>6920614.1399999997</v>
      </c>
      <c r="F196" s="13">
        <v>0</v>
      </c>
      <c r="G196" s="13">
        <v>0</v>
      </c>
      <c r="I196" s="14">
        <f t="shared" si="8"/>
        <v>6920614.1399999997</v>
      </c>
      <c r="K196" s="11"/>
      <c r="M196" s="15"/>
    </row>
    <row r="197" spans="1:13" outlineLevel="2">
      <c r="A197" s="11">
        <f t="shared" si="7"/>
        <v>193</v>
      </c>
      <c r="B197" s="11" t="s">
        <v>235</v>
      </c>
      <c r="C197" s="17" t="s">
        <v>359</v>
      </c>
      <c r="D197" s="12" t="s">
        <v>360</v>
      </c>
      <c r="E197" s="13">
        <v>1895701.8</v>
      </c>
      <c r="F197" s="13">
        <v>0</v>
      </c>
      <c r="G197" s="13">
        <v>0</v>
      </c>
      <c r="I197" s="14">
        <f t="shared" si="8"/>
        <v>1895701.8</v>
      </c>
      <c r="K197" s="11"/>
      <c r="M197" s="15"/>
    </row>
    <row r="198" spans="1:13" outlineLevel="2">
      <c r="A198" s="11">
        <f t="shared" si="7"/>
        <v>194</v>
      </c>
      <c r="B198" s="11" t="s">
        <v>235</v>
      </c>
      <c r="C198" s="17" t="s">
        <v>361</v>
      </c>
      <c r="D198" s="12" t="s">
        <v>362</v>
      </c>
      <c r="E198" s="13">
        <f>305417.9+896681.51</f>
        <v>1202099.4100000001</v>
      </c>
      <c r="F198" s="13">
        <v>0</v>
      </c>
      <c r="G198" s="13">
        <v>0</v>
      </c>
      <c r="I198" s="14">
        <f t="shared" si="8"/>
        <v>1202099.4100000001</v>
      </c>
      <c r="K198" s="11"/>
      <c r="M198" s="15"/>
    </row>
    <row r="199" spans="1:13" outlineLevel="2">
      <c r="A199" s="11">
        <f t="shared" si="7"/>
        <v>195</v>
      </c>
      <c r="B199" s="11" t="s">
        <v>235</v>
      </c>
      <c r="C199" s="17" t="s">
        <v>2329</v>
      </c>
      <c r="D199" s="12" t="s">
        <v>2328</v>
      </c>
      <c r="E199" s="13">
        <v>5351152.01</v>
      </c>
      <c r="F199" s="13">
        <v>0</v>
      </c>
      <c r="G199" s="13">
        <v>0</v>
      </c>
      <c r="I199" s="14">
        <f t="shared" si="8"/>
        <v>5351152.01</v>
      </c>
      <c r="K199" s="11"/>
      <c r="M199" s="15"/>
    </row>
    <row r="200" spans="1:13" outlineLevel="2">
      <c r="A200" s="11">
        <f t="shared" si="7"/>
        <v>196</v>
      </c>
      <c r="B200" s="11" t="s">
        <v>235</v>
      </c>
      <c r="C200" s="17" t="s">
        <v>363</v>
      </c>
      <c r="D200" s="12" t="s">
        <v>364</v>
      </c>
      <c r="E200" s="13">
        <v>3473709.71</v>
      </c>
      <c r="F200" s="13">
        <v>-586992</v>
      </c>
      <c r="G200" s="13">
        <v>0</v>
      </c>
      <c r="I200" s="14">
        <f t="shared" si="8"/>
        <v>2886717.71</v>
      </c>
      <c r="J200" s="12"/>
      <c r="K200" s="11"/>
      <c r="M200" s="15"/>
    </row>
    <row r="201" spans="1:13" outlineLevel="2">
      <c r="A201" s="11">
        <f t="shared" si="7"/>
        <v>197</v>
      </c>
      <c r="B201" s="11" t="s">
        <v>235</v>
      </c>
      <c r="C201" s="17" t="s">
        <v>365</v>
      </c>
      <c r="D201" s="12" t="s">
        <v>366</v>
      </c>
      <c r="E201" s="13">
        <v>7254341.0700000003</v>
      </c>
      <c r="F201" s="13">
        <v>-1095435.3600000001</v>
      </c>
      <c r="G201" s="13">
        <v>0</v>
      </c>
      <c r="I201" s="14">
        <f t="shared" si="8"/>
        <v>6158905.71</v>
      </c>
      <c r="K201" s="11"/>
      <c r="M201" s="15"/>
    </row>
    <row r="202" spans="1:13" outlineLevel="2">
      <c r="A202" s="11">
        <f t="shared" si="7"/>
        <v>198</v>
      </c>
      <c r="B202" s="11" t="s">
        <v>235</v>
      </c>
      <c r="C202" s="17" t="s">
        <v>367</v>
      </c>
      <c r="D202" s="12" t="s">
        <v>368</v>
      </c>
      <c r="E202" s="13">
        <v>2030823.76</v>
      </c>
      <c r="F202" s="13">
        <v>-139236</v>
      </c>
      <c r="G202" s="13">
        <v>0</v>
      </c>
      <c r="I202" s="14">
        <f t="shared" si="8"/>
        <v>1891587.76</v>
      </c>
      <c r="J202" s="12"/>
      <c r="K202" s="11"/>
      <c r="M202" s="15"/>
    </row>
    <row r="203" spans="1:13" outlineLevel="2">
      <c r="A203" s="11">
        <f t="shared" si="7"/>
        <v>199</v>
      </c>
      <c r="B203" s="11" t="s">
        <v>235</v>
      </c>
      <c r="C203" s="17" t="s">
        <v>487</v>
      </c>
      <c r="D203" s="12" t="s">
        <v>488</v>
      </c>
      <c r="E203" s="13">
        <v>72367.83</v>
      </c>
      <c r="F203" s="13">
        <v>-72368</v>
      </c>
      <c r="G203" s="13">
        <v>0</v>
      </c>
      <c r="I203" s="14">
        <f t="shared" si="8"/>
        <v>-0.16999999999825377</v>
      </c>
      <c r="J203" s="12"/>
      <c r="K203" s="11"/>
      <c r="M203" s="15"/>
    </row>
    <row r="204" spans="1:13" outlineLevel="2">
      <c r="A204" s="11">
        <f t="shared" si="7"/>
        <v>200</v>
      </c>
      <c r="B204" s="11" t="s">
        <v>235</v>
      </c>
      <c r="C204" s="17" t="s">
        <v>369</v>
      </c>
      <c r="D204" s="12" t="s">
        <v>370</v>
      </c>
      <c r="E204" s="13">
        <v>1944816.97</v>
      </c>
      <c r="F204" s="13">
        <v>-33744</v>
      </c>
      <c r="G204" s="13">
        <v>0</v>
      </c>
      <c r="I204" s="14">
        <f t="shared" si="8"/>
        <v>1911072.97</v>
      </c>
      <c r="J204" s="12"/>
      <c r="K204" s="11"/>
      <c r="M204" s="15"/>
    </row>
    <row r="205" spans="1:13" ht="13.5" customHeight="1" outlineLevel="2">
      <c r="A205" s="11">
        <f t="shared" si="7"/>
        <v>201</v>
      </c>
      <c r="B205" s="11" t="s">
        <v>235</v>
      </c>
      <c r="C205" s="17" t="s">
        <v>371</v>
      </c>
      <c r="D205" s="12" t="s">
        <v>372</v>
      </c>
      <c r="E205" s="13">
        <v>18333139.199999999</v>
      </c>
      <c r="F205" s="13">
        <v>0</v>
      </c>
      <c r="G205" s="13">
        <v>0</v>
      </c>
      <c r="I205" s="14">
        <f t="shared" si="8"/>
        <v>18333139.199999999</v>
      </c>
      <c r="K205" s="11"/>
      <c r="M205" s="15"/>
    </row>
    <row r="206" spans="1:13" outlineLevel="2">
      <c r="A206" s="11">
        <f t="shared" si="7"/>
        <v>202</v>
      </c>
      <c r="B206" s="11" t="s">
        <v>235</v>
      </c>
      <c r="C206" s="17" t="s">
        <v>373</v>
      </c>
      <c r="D206" s="12" t="s">
        <v>374</v>
      </c>
      <c r="E206" s="13">
        <v>1152964.03</v>
      </c>
      <c r="F206" s="13">
        <v>-287496.89</v>
      </c>
      <c r="G206" s="13">
        <v>0</v>
      </c>
      <c r="I206" s="14">
        <f t="shared" si="8"/>
        <v>865467.14</v>
      </c>
      <c r="J206" s="12"/>
      <c r="K206" s="11"/>
      <c r="M206" s="15"/>
    </row>
    <row r="207" spans="1:13" outlineLevel="2">
      <c r="A207" s="11">
        <f t="shared" si="7"/>
        <v>203</v>
      </c>
      <c r="B207" s="11" t="s">
        <v>235</v>
      </c>
      <c r="C207" s="17" t="s">
        <v>375</v>
      </c>
      <c r="D207" s="12" t="s">
        <v>376</v>
      </c>
      <c r="E207" s="13">
        <v>3242234.29</v>
      </c>
      <c r="F207" s="13">
        <v>-58595.199999999997</v>
      </c>
      <c r="G207" s="13">
        <v>0</v>
      </c>
      <c r="I207" s="14">
        <f t="shared" si="8"/>
        <v>3183639.09</v>
      </c>
      <c r="J207" s="12"/>
      <c r="K207" s="11"/>
      <c r="M207" s="15"/>
    </row>
    <row r="208" spans="1:13" outlineLevel="2">
      <c r="A208" s="11">
        <f t="shared" si="7"/>
        <v>204</v>
      </c>
      <c r="B208" s="11" t="s">
        <v>235</v>
      </c>
      <c r="C208" s="17" t="s">
        <v>489</v>
      </c>
      <c r="D208" s="12" t="s">
        <v>490</v>
      </c>
      <c r="E208" s="13">
        <v>180660.37</v>
      </c>
      <c r="F208" s="13">
        <v>0</v>
      </c>
      <c r="G208" s="13">
        <v>0</v>
      </c>
      <c r="I208" s="14">
        <f t="shared" si="8"/>
        <v>180660.37</v>
      </c>
      <c r="J208" s="12"/>
      <c r="K208" s="11"/>
      <c r="M208" s="15"/>
    </row>
    <row r="209" spans="1:13" outlineLevel="2">
      <c r="A209" s="11">
        <f t="shared" si="7"/>
        <v>205</v>
      </c>
      <c r="B209" s="11" t="s">
        <v>235</v>
      </c>
      <c r="C209" s="17" t="s">
        <v>491</v>
      </c>
      <c r="D209" s="12" t="s">
        <v>492</v>
      </c>
      <c r="E209" s="13">
        <v>890606.75</v>
      </c>
      <c r="F209" s="13">
        <v>-108484.95</v>
      </c>
      <c r="G209" s="13">
        <v>0</v>
      </c>
      <c r="I209" s="14">
        <f t="shared" si="8"/>
        <v>782121.8</v>
      </c>
      <c r="J209" s="12"/>
      <c r="K209" s="11"/>
      <c r="M209" s="15"/>
    </row>
    <row r="210" spans="1:13" outlineLevel="2">
      <c r="A210" s="11">
        <f t="shared" si="7"/>
        <v>206</v>
      </c>
      <c r="B210" s="11" t="s">
        <v>235</v>
      </c>
      <c r="C210" s="17" t="s">
        <v>377</v>
      </c>
      <c r="D210" s="12" t="s">
        <v>378</v>
      </c>
      <c r="E210" s="13">
        <v>2037147.6</v>
      </c>
      <c r="F210" s="13">
        <v>-209290</v>
      </c>
      <c r="G210" s="13">
        <v>0</v>
      </c>
      <c r="I210" s="14">
        <f t="shared" si="8"/>
        <v>1827857.6</v>
      </c>
      <c r="J210" s="12"/>
      <c r="K210" s="11"/>
      <c r="M210" s="15"/>
    </row>
    <row r="211" spans="1:13" outlineLevel="2">
      <c r="A211" s="11">
        <f t="shared" si="7"/>
        <v>207</v>
      </c>
      <c r="B211" s="11" t="s">
        <v>235</v>
      </c>
      <c r="C211" s="17" t="s">
        <v>379</v>
      </c>
      <c r="D211" s="12" t="s">
        <v>380</v>
      </c>
      <c r="E211" s="13">
        <v>4284663.8099999996</v>
      </c>
      <c r="F211" s="13">
        <v>-699890</v>
      </c>
      <c r="G211" s="13">
        <v>0</v>
      </c>
      <c r="I211" s="14">
        <f t="shared" si="8"/>
        <v>3584773.8099999996</v>
      </c>
      <c r="J211" s="12"/>
      <c r="K211" s="11"/>
      <c r="M211" s="15"/>
    </row>
    <row r="212" spans="1:13" outlineLevel="2">
      <c r="A212" s="11">
        <f t="shared" si="7"/>
        <v>208</v>
      </c>
      <c r="B212" s="11" t="s">
        <v>235</v>
      </c>
      <c r="C212" s="17" t="s">
        <v>493</v>
      </c>
      <c r="D212" s="12" t="s">
        <v>494</v>
      </c>
      <c r="E212" s="13">
        <v>992414.68</v>
      </c>
      <c r="F212" s="13">
        <v>-101191.22</v>
      </c>
      <c r="G212" s="13">
        <v>0</v>
      </c>
      <c r="I212" s="14">
        <f t="shared" si="8"/>
        <v>891223.46000000008</v>
      </c>
      <c r="J212" s="12"/>
      <c r="K212" s="11"/>
      <c r="M212" s="15"/>
    </row>
    <row r="213" spans="1:13" outlineLevel="2">
      <c r="A213" s="11">
        <f t="shared" si="7"/>
        <v>209</v>
      </c>
      <c r="B213" s="11" t="s">
        <v>235</v>
      </c>
      <c r="C213" s="17" t="s">
        <v>381</v>
      </c>
      <c r="D213" s="12" t="s">
        <v>382</v>
      </c>
      <c r="E213" s="13">
        <v>250628.78</v>
      </c>
      <c r="F213" s="13">
        <v>-250629</v>
      </c>
      <c r="G213" s="13">
        <v>0</v>
      </c>
      <c r="I213" s="14">
        <f t="shared" si="8"/>
        <v>-0.22000000000116415</v>
      </c>
      <c r="J213" s="12"/>
      <c r="K213" s="11"/>
      <c r="M213" s="15"/>
    </row>
    <row r="214" spans="1:13" outlineLevel="2">
      <c r="A214" s="11">
        <f t="shared" si="7"/>
        <v>210</v>
      </c>
      <c r="B214" s="11" t="s">
        <v>235</v>
      </c>
      <c r="C214" s="17" t="s">
        <v>383</v>
      </c>
      <c r="D214" s="12" t="s">
        <v>384</v>
      </c>
      <c r="E214" s="13">
        <f>5739050.59</f>
        <v>5739050.5899999999</v>
      </c>
      <c r="F214" s="13">
        <v>-556793.17000000004</v>
      </c>
      <c r="G214" s="13">
        <v>0</v>
      </c>
      <c r="I214" s="14">
        <f t="shared" si="8"/>
        <v>5182257.42</v>
      </c>
      <c r="J214" s="12"/>
      <c r="K214" s="11"/>
      <c r="M214" s="15"/>
    </row>
    <row r="215" spans="1:13" outlineLevel="2">
      <c r="A215" s="11">
        <f t="shared" si="7"/>
        <v>211</v>
      </c>
      <c r="B215" s="11" t="s">
        <v>235</v>
      </c>
      <c r="C215" s="17" t="s">
        <v>385</v>
      </c>
      <c r="D215" s="12" t="s">
        <v>386</v>
      </c>
      <c r="E215" s="13">
        <v>1733527.61</v>
      </c>
      <c r="F215" s="13">
        <v>-1733528</v>
      </c>
      <c r="G215" s="13">
        <v>0</v>
      </c>
      <c r="I215" s="14">
        <f t="shared" si="8"/>
        <v>-0.38999999989755452</v>
      </c>
      <c r="K215" s="11"/>
      <c r="M215" s="15"/>
    </row>
    <row r="216" spans="1:13" outlineLevel="2">
      <c r="A216" s="11">
        <f t="shared" si="7"/>
        <v>212</v>
      </c>
      <c r="B216" s="11" t="s">
        <v>235</v>
      </c>
      <c r="C216" s="17" t="s">
        <v>387</v>
      </c>
      <c r="D216" s="12" t="s">
        <v>388</v>
      </c>
      <c r="E216" s="13">
        <v>623512.97</v>
      </c>
      <c r="F216" s="13">
        <v>0</v>
      </c>
      <c r="G216" s="13">
        <v>0</v>
      </c>
      <c r="I216" s="14">
        <f t="shared" si="8"/>
        <v>623512.97</v>
      </c>
      <c r="K216" s="11"/>
      <c r="M216" s="15"/>
    </row>
    <row r="217" spans="1:13" outlineLevel="2">
      <c r="A217" s="11">
        <f t="shared" si="7"/>
        <v>213</v>
      </c>
      <c r="B217" s="11" t="s">
        <v>235</v>
      </c>
      <c r="C217" s="17" t="s">
        <v>389</v>
      </c>
      <c r="D217" s="12" t="s">
        <v>390</v>
      </c>
      <c r="E217" s="13">
        <v>3193683.23</v>
      </c>
      <c r="F217" s="13">
        <v>-1380449</v>
      </c>
      <c r="G217" s="13">
        <v>0</v>
      </c>
      <c r="I217" s="14">
        <f t="shared" si="8"/>
        <v>1813234.23</v>
      </c>
      <c r="J217" s="12"/>
      <c r="K217" s="11"/>
      <c r="M217" s="15"/>
    </row>
    <row r="218" spans="1:13" outlineLevel="2">
      <c r="A218" s="11">
        <f t="shared" si="7"/>
        <v>214</v>
      </c>
      <c r="B218" s="11" t="s">
        <v>235</v>
      </c>
      <c r="C218" s="17" t="s">
        <v>391</v>
      </c>
      <c r="D218" s="12" t="s">
        <v>392</v>
      </c>
      <c r="E218" s="13">
        <v>8722780.4299999997</v>
      </c>
      <c r="F218" s="13">
        <v>-570711.76</v>
      </c>
      <c r="G218" s="13">
        <v>0</v>
      </c>
      <c r="I218" s="14">
        <f t="shared" si="8"/>
        <v>8152068.6699999999</v>
      </c>
      <c r="J218" s="12"/>
      <c r="K218" s="11"/>
      <c r="M218" s="15"/>
    </row>
    <row r="219" spans="1:13" outlineLevel="2">
      <c r="A219" s="11">
        <f t="shared" si="7"/>
        <v>215</v>
      </c>
      <c r="B219" s="11" t="s">
        <v>235</v>
      </c>
      <c r="C219" s="17" t="s">
        <v>393</v>
      </c>
      <c r="D219" s="12" t="s">
        <v>394</v>
      </c>
      <c r="E219" s="13">
        <v>74402.89</v>
      </c>
      <c r="F219" s="13">
        <v>0</v>
      </c>
      <c r="G219" s="13">
        <v>0</v>
      </c>
      <c r="I219" s="14">
        <f t="shared" si="8"/>
        <v>74402.89</v>
      </c>
      <c r="K219" s="11"/>
      <c r="M219" s="15"/>
    </row>
    <row r="220" spans="1:13" outlineLevel="2">
      <c r="A220" s="11">
        <f t="shared" si="7"/>
        <v>216</v>
      </c>
      <c r="B220" s="11" t="s">
        <v>235</v>
      </c>
      <c r="C220" s="17" t="s">
        <v>395</v>
      </c>
      <c r="D220" s="12" t="s">
        <v>396</v>
      </c>
      <c r="E220" s="13">
        <v>861699.29</v>
      </c>
      <c r="F220" s="13">
        <v>-861699</v>
      </c>
      <c r="G220" s="13">
        <v>0</v>
      </c>
      <c r="I220" s="14">
        <f t="shared" si="8"/>
        <v>0.2900000000372529</v>
      </c>
      <c r="J220" s="12"/>
      <c r="K220" s="11"/>
      <c r="M220" s="15"/>
    </row>
    <row r="221" spans="1:13" outlineLevel="2">
      <c r="A221" s="11">
        <f t="shared" ref="A221" si="9">A220+1</f>
        <v>217</v>
      </c>
      <c r="B221" s="11" t="s">
        <v>235</v>
      </c>
      <c r="C221" s="17" t="s">
        <v>397</v>
      </c>
      <c r="D221" s="12" t="s">
        <v>398</v>
      </c>
      <c r="E221" s="13">
        <v>5490901.8799999999</v>
      </c>
      <c r="F221" s="13">
        <v>-169696</v>
      </c>
      <c r="G221" s="13">
        <v>0</v>
      </c>
      <c r="I221" s="14">
        <f t="shared" si="8"/>
        <v>5321205.88</v>
      </c>
      <c r="J221" s="12"/>
      <c r="K221" s="11"/>
      <c r="M221" s="15"/>
    </row>
    <row r="222" spans="1:13" outlineLevel="2">
      <c r="A222" s="11">
        <f t="shared" si="7"/>
        <v>218</v>
      </c>
      <c r="B222" s="11" t="s">
        <v>235</v>
      </c>
      <c r="C222" s="17" t="s">
        <v>495</v>
      </c>
      <c r="D222" s="12" t="s">
        <v>496</v>
      </c>
      <c r="E222" s="13">
        <v>22102.23</v>
      </c>
      <c r="F222" s="13">
        <v>0</v>
      </c>
      <c r="G222" s="13">
        <v>0</v>
      </c>
      <c r="I222" s="14">
        <f t="shared" si="8"/>
        <v>22102.23</v>
      </c>
      <c r="J222" s="12"/>
      <c r="K222" s="11"/>
      <c r="M222" s="15"/>
    </row>
    <row r="223" spans="1:13" outlineLevel="2">
      <c r="A223" s="11">
        <f t="shared" ref="A223:A274" si="10">A222+1</f>
        <v>219</v>
      </c>
      <c r="B223" s="11" t="s">
        <v>235</v>
      </c>
      <c r="C223" s="17" t="s">
        <v>399</v>
      </c>
      <c r="D223" s="12" t="s">
        <v>400</v>
      </c>
      <c r="E223" s="13">
        <v>13019488.130000001</v>
      </c>
      <c r="F223" s="13">
        <v>0</v>
      </c>
      <c r="G223" s="13">
        <v>0</v>
      </c>
      <c r="I223" s="14">
        <f t="shared" si="8"/>
        <v>13019488.130000001</v>
      </c>
      <c r="K223" s="11"/>
      <c r="M223" s="15"/>
    </row>
    <row r="224" spans="1:13" outlineLevel="2">
      <c r="A224" s="11">
        <f t="shared" si="10"/>
        <v>220</v>
      </c>
      <c r="B224" s="11" t="s">
        <v>235</v>
      </c>
      <c r="C224" s="17" t="s">
        <v>401</v>
      </c>
      <c r="D224" s="12" t="s">
        <v>402</v>
      </c>
      <c r="E224" s="13">
        <v>17196540.600000001</v>
      </c>
      <c r="F224" s="13">
        <v>0</v>
      </c>
      <c r="G224" s="13">
        <v>0</v>
      </c>
      <c r="I224" s="14">
        <f t="shared" si="8"/>
        <v>17196540.600000001</v>
      </c>
      <c r="K224" s="11"/>
      <c r="M224" s="15"/>
    </row>
    <row r="225" spans="1:13" outlineLevel="2">
      <c r="A225" s="11">
        <f t="shared" si="10"/>
        <v>221</v>
      </c>
      <c r="B225" s="11" t="s">
        <v>235</v>
      </c>
      <c r="C225" s="17" t="s">
        <v>403</v>
      </c>
      <c r="D225" s="12" t="s">
        <v>404</v>
      </c>
      <c r="E225" s="13">
        <v>14952320.199999999</v>
      </c>
      <c r="F225" s="13">
        <v>-516513.16</v>
      </c>
      <c r="G225" s="13">
        <v>0</v>
      </c>
      <c r="I225" s="14">
        <f t="shared" si="8"/>
        <v>14435807.039999999</v>
      </c>
      <c r="J225" s="12"/>
      <c r="K225" s="11"/>
      <c r="M225" s="15"/>
    </row>
    <row r="226" spans="1:13" outlineLevel="2">
      <c r="A226" s="11">
        <f t="shared" si="10"/>
        <v>222</v>
      </c>
      <c r="B226" s="11" t="s">
        <v>235</v>
      </c>
      <c r="C226" s="17" t="s">
        <v>405</v>
      </c>
      <c r="D226" s="12" t="s">
        <v>406</v>
      </c>
      <c r="E226" s="13">
        <v>8021788.9400000004</v>
      </c>
      <c r="F226" s="13">
        <v>-245264</v>
      </c>
      <c r="G226" s="13">
        <v>0</v>
      </c>
      <c r="I226" s="14">
        <f t="shared" si="8"/>
        <v>7776524.9400000004</v>
      </c>
      <c r="K226" s="11"/>
      <c r="M226" s="15"/>
    </row>
    <row r="227" spans="1:13" outlineLevel="2">
      <c r="A227" s="11">
        <f t="shared" si="10"/>
        <v>223</v>
      </c>
      <c r="B227" s="11" t="s">
        <v>235</v>
      </c>
      <c r="C227" s="17" t="s">
        <v>497</v>
      </c>
      <c r="D227" s="12" t="s">
        <v>498</v>
      </c>
      <c r="E227" s="13">
        <v>49735.05</v>
      </c>
      <c r="F227" s="13">
        <v>0</v>
      </c>
      <c r="G227" s="13">
        <v>0</v>
      </c>
      <c r="I227" s="14">
        <f t="shared" si="8"/>
        <v>49735.05</v>
      </c>
      <c r="K227" s="11"/>
      <c r="M227" s="15"/>
    </row>
    <row r="228" spans="1:13" outlineLevel="2">
      <c r="A228" s="11">
        <f t="shared" si="10"/>
        <v>224</v>
      </c>
      <c r="B228" s="11" t="s">
        <v>235</v>
      </c>
      <c r="C228" s="17" t="s">
        <v>407</v>
      </c>
      <c r="D228" s="12" t="s">
        <v>408</v>
      </c>
      <c r="E228" s="13">
        <v>74427.83</v>
      </c>
      <c r="F228" s="13">
        <v>0</v>
      </c>
      <c r="G228" s="13">
        <v>0</v>
      </c>
      <c r="I228" s="14">
        <f t="shared" si="8"/>
        <v>74427.83</v>
      </c>
      <c r="K228" s="11"/>
      <c r="M228" s="15"/>
    </row>
    <row r="229" spans="1:13" outlineLevel="2">
      <c r="A229" s="11">
        <f t="shared" si="10"/>
        <v>225</v>
      </c>
      <c r="B229" s="11" t="s">
        <v>235</v>
      </c>
      <c r="C229" s="17" t="s">
        <v>409</v>
      </c>
      <c r="D229" s="12" t="s">
        <v>410</v>
      </c>
      <c r="E229" s="13">
        <v>2881761.04</v>
      </c>
      <c r="F229" s="13">
        <v>-373848</v>
      </c>
      <c r="G229" s="13">
        <v>0</v>
      </c>
      <c r="I229" s="14">
        <f t="shared" si="8"/>
        <v>2507913.04</v>
      </c>
      <c r="K229" s="11"/>
      <c r="M229" s="15"/>
    </row>
    <row r="230" spans="1:13" outlineLevel="2">
      <c r="A230" s="11">
        <f t="shared" si="10"/>
        <v>226</v>
      </c>
      <c r="B230" s="11" t="s">
        <v>235</v>
      </c>
      <c r="C230" s="17" t="s">
        <v>499</v>
      </c>
      <c r="D230" s="12" t="s">
        <v>500</v>
      </c>
      <c r="E230" s="13">
        <v>606043.92000000004</v>
      </c>
      <c r="F230" s="13">
        <v>-103120.76</v>
      </c>
      <c r="I230" s="14">
        <f t="shared" si="8"/>
        <v>502923.16000000003</v>
      </c>
      <c r="K230" s="11"/>
      <c r="M230" s="15"/>
    </row>
    <row r="231" spans="1:13" outlineLevel="2">
      <c r="A231" s="11">
        <f t="shared" si="10"/>
        <v>227</v>
      </c>
      <c r="B231" s="11" t="s">
        <v>235</v>
      </c>
      <c r="C231" s="17" t="s">
        <v>501</v>
      </c>
      <c r="D231" s="12" t="s">
        <v>502</v>
      </c>
      <c r="E231" s="13">
        <v>166305.57999999999</v>
      </c>
      <c r="F231" s="13">
        <v>0</v>
      </c>
      <c r="G231" s="13">
        <v>0</v>
      </c>
      <c r="I231" s="14">
        <f t="shared" si="8"/>
        <v>166305.57999999999</v>
      </c>
      <c r="K231" s="11"/>
      <c r="M231" s="15"/>
    </row>
    <row r="232" spans="1:13" outlineLevel="2">
      <c r="A232" s="11">
        <f t="shared" si="10"/>
        <v>228</v>
      </c>
      <c r="B232" s="11" t="s">
        <v>235</v>
      </c>
      <c r="C232" s="17" t="s">
        <v>2448</v>
      </c>
      <c r="D232" s="12" t="s">
        <v>2449</v>
      </c>
      <c r="E232" s="13">
        <v>5187463.4800000004</v>
      </c>
      <c r="F232" s="13">
        <v>0</v>
      </c>
      <c r="G232" s="13">
        <v>0</v>
      </c>
      <c r="I232" s="14">
        <f t="shared" si="8"/>
        <v>5187463.4800000004</v>
      </c>
      <c r="K232" s="11"/>
      <c r="M232" s="15"/>
    </row>
    <row r="233" spans="1:13" outlineLevel="2">
      <c r="A233" s="11">
        <f t="shared" si="10"/>
        <v>229</v>
      </c>
      <c r="B233" s="11" t="s">
        <v>235</v>
      </c>
      <c r="C233" s="17" t="s">
        <v>411</v>
      </c>
      <c r="D233" s="12" t="s">
        <v>412</v>
      </c>
      <c r="E233" s="13">
        <v>948489.72</v>
      </c>
      <c r="F233" s="13">
        <v>-125594.13</v>
      </c>
      <c r="G233" s="13">
        <v>0</v>
      </c>
      <c r="I233" s="14">
        <f t="shared" si="8"/>
        <v>822895.59</v>
      </c>
      <c r="J233" s="12"/>
      <c r="K233" s="11"/>
      <c r="M233" s="15"/>
    </row>
    <row r="234" spans="1:13" outlineLevel="2">
      <c r="A234" s="11">
        <f t="shared" si="10"/>
        <v>230</v>
      </c>
      <c r="B234" s="11" t="s">
        <v>235</v>
      </c>
      <c r="C234" s="17" t="s">
        <v>413</v>
      </c>
      <c r="D234" s="12" t="s">
        <v>414</v>
      </c>
      <c r="E234" s="13">
        <v>12974149.65</v>
      </c>
      <c r="F234" s="13">
        <v>0</v>
      </c>
      <c r="G234" s="13">
        <v>0</v>
      </c>
      <c r="I234" s="14">
        <f t="shared" si="8"/>
        <v>12974149.65</v>
      </c>
      <c r="K234" s="11"/>
      <c r="M234" s="15"/>
    </row>
    <row r="235" spans="1:13" outlineLevel="2">
      <c r="A235" s="11">
        <f t="shared" si="10"/>
        <v>231</v>
      </c>
      <c r="B235" s="11" t="s">
        <v>235</v>
      </c>
      <c r="C235" s="17" t="s">
        <v>505</v>
      </c>
      <c r="D235" s="12" t="s">
        <v>506</v>
      </c>
      <c r="E235" s="13">
        <v>12390930.82</v>
      </c>
      <c r="F235" s="13">
        <v>0</v>
      </c>
      <c r="G235" s="13">
        <v>0</v>
      </c>
      <c r="I235" s="14">
        <f t="shared" si="8"/>
        <v>12390930.82</v>
      </c>
      <c r="K235" s="11"/>
      <c r="M235" s="15"/>
    </row>
    <row r="236" spans="1:13" outlineLevel="2">
      <c r="A236" s="11">
        <f t="shared" si="10"/>
        <v>232</v>
      </c>
      <c r="B236" s="11" t="s">
        <v>235</v>
      </c>
      <c r="C236" s="17" t="s">
        <v>415</v>
      </c>
      <c r="D236" s="12" t="s">
        <v>416</v>
      </c>
      <c r="E236" s="13">
        <v>6819467.9199999999</v>
      </c>
      <c r="F236" s="13">
        <v>-176541.41</v>
      </c>
      <c r="G236" s="13">
        <v>0</v>
      </c>
      <c r="I236" s="14">
        <f t="shared" si="8"/>
        <v>6642926.5099999998</v>
      </c>
      <c r="J236" s="12"/>
      <c r="K236" s="11"/>
      <c r="M236" s="15"/>
    </row>
    <row r="237" spans="1:13" outlineLevel="2">
      <c r="A237" s="11">
        <f t="shared" si="10"/>
        <v>233</v>
      </c>
      <c r="B237" s="11" t="s">
        <v>235</v>
      </c>
      <c r="C237" s="17" t="s">
        <v>417</v>
      </c>
      <c r="D237" s="12" t="s">
        <v>418</v>
      </c>
      <c r="E237" s="13">
        <v>108751.28</v>
      </c>
      <c r="F237" s="13">
        <v>0</v>
      </c>
      <c r="G237" s="13">
        <v>0</v>
      </c>
      <c r="I237" s="14">
        <f t="shared" si="8"/>
        <v>108751.28</v>
      </c>
      <c r="K237" s="11"/>
      <c r="M237" s="15"/>
    </row>
    <row r="238" spans="1:13" outlineLevel="2">
      <c r="A238" s="11">
        <f t="shared" si="10"/>
        <v>234</v>
      </c>
      <c r="B238" s="11" t="s">
        <v>235</v>
      </c>
      <c r="C238" s="17" t="s">
        <v>503</v>
      </c>
      <c r="D238" s="12" t="s">
        <v>504</v>
      </c>
      <c r="E238" s="13">
        <v>232375.26</v>
      </c>
      <c r="F238" s="13">
        <v>0</v>
      </c>
      <c r="G238" s="13">
        <v>0</v>
      </c>
      <c r="I238" s="14">
        <f t="shared" si="8"/>
        <v>232375.26</v>
      </c>
      <c r="K238" s="11"/>
      <c r="M238" s="15"/>
    </row>
    <row r="239" spans="1:13" outlineLevel="2">
      <c r="A239" s="11">
        <f t="shared" si="10"/>
        <v>235</v>
      </c>
      <c r="B239" s="11" t="s">
        <v>235</v>
      </c>
      <c r="C239" s="17" t="s">
        <v>419</v>
      </c>
      <c r="D239" s="12" t="s">
        <v>420</v>
      </c>
      <c r="E239" s="13">
        <v>3206763.26</v>
      </c>
      <c r="F239" s="13">
        <v>0</v>
      </c>
      <c r="G239" s="13">
        <v>0</v>
      </c>
      <c r="I239" s="14">
        <f t="shared" si="8"/>
        <v>3206763.26</v>
      </c>
      <c r="K239" s="11"/>
      <c r="M239" s="15"/>
    </row>
    <row r="240" spans="1:13" outlineLevel="2">
      <c r="A240" s="11">
        <f t="shared" si="10"/>
        <v>236</v>
      </c>
      <c r="B240" s="11" t="s">
        <v>235</v>
      </c>
      <c r="C240" s="17" t="s">
        <v>421</v>
      </c>
      <c r="D240" s="12" t="s">
        <v>422</v>
      </c>
      <c r="E240" s="13">
        <v>1571437.2</v>
      </c>
      <c r="F240" s="13">
        <v>-654299</v>
      </c>
      <c r="G240" s="13">
        <v>0</v>
      </c>
      <c r="I240" s="14">
        <f t="shared" si="8"/>
        <v>917138.2</v>
      </c>
      <c r="J240" s="12"/>
      <c r="K240" s="11"/>
      <c r="M240" s="15"/>
    </row>
    <row r="241" spans="1:13" outlineLevel="2">
      <c r="A241" s="11">
        <f t="shared" si="10"/>
        <v>237</v>
      </c>
      <c r="B241" s="11" t="s">
        <v>235</v>
      </c>
      <c r="C241" s="17" t="s">
        <v>423</v>
      </c>
      <c r="D241" s="12" t="s">
        <v>424</v>
      </c>
      <c r="E241" s="13">
        <v>3453847.29</v>
      </c>
      <c r="F241" s="13">
        <v>-45361</v>
      </c>
      <c r="G241" s="13">
        <v>0</v>
      </c>
      <c r="I241" s="14">
        <f t="shared" si="8"/>
        <v>3408486.29</v>
      </c>
      <c r="J241" s="12"/>
      <c r="K241" s="11"/>
      <c r="M241" s="15"/>
    </row>
    <row r="242" spans="1:13" outlineLevel="2">
      <c r="A242" s="11">
        <f t="shared" si="10"/>
        <v>238</v>
      </c>
      <c r="B242" s="11" t="s">
        <v>235</v>
      </c>
      <c r="C242" s="17" t="s">
        <v>425</v>
      </c>
      <c r="D242" s="12" t="s">
        <v>426</v>
      </c>
      <c r="E242" s="13">
        <v>2075908.82</v>
      </c>
      <c r="F242" s="13">
        <v>-938019.87</v>
      </c>
      <c r="G242" s="13">
        <v>0</v>
      </c>
      <c r="I242" s="14">
        <f t="shared" si="8"/>
        <v>1137888.9500000002</v>
      </c>
      <c r="J242" s="12"/>
      <c r="K242" s="11"/>
      <c r="M242" s="15"/>
    </row>
    <row r="243" spans="1:13" outlineLevel="2">
      <c r="A243" s="11">
        <f t="shared" si="10"/>
        <v>239</v>
      </c>
      <c r="B243" s="11" t="s">
        <v>235</v>
      </c>
      <c r="C243" s="17" t="s">
        <v>427</v>
      </c>
      <c r="D243" s="12" t="s">
        <v>428</v>
      </c>
      <c r="E243" s="13">
        <v>3609306.24</v>
      </c>
      <c r="F243" s="13">
        <v>0</v>
      </c>
      <c r="G243" s="13">
        <v>0</v>
      </c>
      <c r="I243" s="14">
        <f t="shared" si="8"/>
        <v>3609306.24</v>
      </c>
      <c r="K243" s="11"/>
      <c r="M243" s="15"/>
    </row>
    <row r="244" spans="1:13" outlineLevel="2">
      <c r="A244" s="11">
        <f t="shared" si="10"/>
        <v>240</v>
      </c>
      <c r="B244" s="11" t="s">
        <v>235</v>
      </c>
      <c r="C244" s="17" t="s">
        <v>429</v>
      </c>
      <c r="D244" s="12" t="s">
        <v>430</v>
      </c>
      <c r="E244" s="13">
        <v>11778774.810000001</v>
      </c>
      <c r="F244" s="13">
        <v>0</v>
      </c>
      <c r="G244" s="13">
        <v>0</v>
      </c>
      <c r="I244" s="14">
        <f t="shared" ref="I244:I259" si="11">SUM(E244:G244)</f>
        <v>11778774.810000001</v>
      </c>
      <c r="K244" s="11"/>
      <c r="M244" s="15"/>
    </row>
    <row r="245" spans="1:13" outlineLevel="2">
      <c r="A245" s="11">
        <f t="shared" si="10"/>
        <v>241</v>
      </c>
      <c r="B245" s="11" t="s">
        <v>235</v>
      </c>
      <c r="C245" s="17" t="s">
        <v>431</v>
      </c>
      <c r="D245" s="12" t="s">
        <v>432</v>
      </c>
      <c r="E245" s="13">
        <v>16007532.51</v>
      </c>
      <c r="F245" s="13">
        <v>0</v>
      </c>
      <c r="G245" s="13">
        <v>0</v>
      </c>
      <c r="I245" s="14">
        <f t="shared" si="11"/>
        <v>16007532.51</v>
      </c>
      <c r="J245" s="12"/>
      <c r="K245" s="11"/>
      <c r="M245" s="15"/>
    </row>
    <row r="246" spans="1:13" outlineLevel="2">
      <c r="A246" s="11">
        <f t="shared" si="10"/>
        <v>242</v>
      </c>
      <c r="B246" s="11" t="s">
        <v>235</v>
      </c>
      <c r="C246" s="17" t="s">
        <v>433</v>
      </c>
      <c r="D246" s="12" t="s">
        <v>434</v>
      </c>
      <c r="E246" s="13">
        <v>7600293.54</v>
      </c>
      <c r="F246" s="13">
        <v>-108365.37</v>
      </c>
      <c r="G246" s="13">
        <v>0</v>
      </c>
      <c r="I246" s="14">
        <f t="shared" si="11"/>
        <v>7491928.1699999999</v>
      </c>
      <c r="J246" s="12"/>
      <c r="K246" s="11"/>
      <c r="M246" s="15"/>
    </row>
    <row r="247" spans="1:13" outlineLevel="2">
      <c r="A247" s="11">
        <f t="shared" si="10"/>
        <v>243</v>
      </c>
      <c r="B247" s="11" t="s">
        <v>235</v>
      </c>
      <c r="C247" s="17" t="s">
        <v>435</v>
      </c>
      <c r="D247" s="12" t="s">
        <v>436</v>
      </c>
      <c r="E247" s="13">
        <v>5141440.25</v>
      </c>
      <c r="F247" s="13">
        <v>-181849</v>
      </c>
      <c r="G247" s="13">
        <v>0</v>
      </c>
      <c r="I247" s="14">
        <f t="shared" si="11"/>
        <v>4959591.25</v>
      </c>
      <c r="J247" s="12"/>
      <c r="K247" s="11"/>
      <c r="M247" s="15"/>
    </row>
    <row r="248" spans="1:13" outlineLevel="2">
      <c r="A248" s="11">
        <f t="shared" si="10"/>
        <v>244</v>
      </c>
      <c r="B248" s="11" t="s">
        <v>235</v>
      </c>
      <c r="C248" s="17" t="s">
        <v>437</v>
      </c>
      <c r="D248" s="12" t="s">
        <v>438</v>
      </c>
      <c r="E248" s="13">
        <v>40859.629999999997</v>
      </c>
      <c r="F248" s="13">
        <v>0</v>
      </c>
      <c r="G248" s="13">
        <v>0</v>
      </c>
      <c r="I248" s="14">
        <f t="shared" si="11"/>
        <v>40859.629999999997</v>
      </c>
      <c r="K248" s="11"/>
      <c r="M248" s="15"/>
    </row>
    <row r="249" spans="1:13" outlineLevel="2">
      <c r="A249" s="11">
        <f t="shared" si="10"/>
        <v>245</v>
      </c>
      <c r="B249" s="11" t="s">
        <v>235</v>
      </c>
      <c r="C249" s="17" t="s">
        <v>439</v>
      </c>
      <c r="D249" s="12" t="s">
        <v>440</v>
      </c>
      <c r="E249" s="13">
        <v>109910.18</v>
      </c>
      <c r="F249" s="13">
        <v>-54082.99</v>
      </c>
      <c r="G249" s="13">
        <v>0</v>
      </c>
      <c r="I249" s="14">
        <f t="shared" si="11"/>
        <v>55827.189999999995</v>
      </c>
      <c r="J249" s="12"/>
      <c r="K249" s="11"/>
      <c r="M249" s="15"/>
    </row>
    <row r="250" spans="1:13" outlineLevel="2">
      <c r="A250" s="11">
        <f t="shared" si="10"/>
        <v>246</v>
      </c>
      <c r="B250" s="11" t="s">
        <v>235</v>
      </c>
      <c r="C250" s="17" t="s">
        <v>441</v>
      </c>
      <c r="D250" s="12" t="s">
        <v>442</v>
      </c>
      <c r="E250" s="13">
        <v>11047497.42</v>
      </c>
      <c r="F250" s="13">
        <v>0</v>
      </c>
      <c r="G250" s="13">
        <v>0</v>
      </c>
      <c r="I250" s="14">
        <f t="shared" si="11"/>
        <v>11047497.42</v>
      </c>
      <c r="K250" s="11"/>
      <c r="M250" s="15"/>
    </row>
    <row r="251" spans="1:13" outlineLevel="2">
      <c r="A251" s="11">
        <f t="shared" si="10"/>
        <v>247</v>
      </c>
      <c r="B251" s="11" t="s">
        <v>235</v>
      </c>
      <c r="C251" s="17" t="s">
        <v>443</v>
      </c>
      <c r="D251" s="12" t="s">
        <v>444</v>
      </c>
      <c r="E251" s="13">
        <v>831303.68000000005</v>
      </c>
      <c r="F251" s="13">
        <v>-250593.49</v>
      </c>
      <c r="G251" s="13">
        <v>0</v>
      </c>
      <c r="I251" s="14">
        <f t="shared" si="11"/>
        <v>580710.19000000006</v>
      </c>
      <c r="J251" s="12"/>
      <c r="K251" s="11"/>
      <c r="M251" s="15"/>
    </row>
    <row r="252" spans="1:13" outlineLevel="2">
      <c r="A252" s="11">
        <f t="shared" si="10"/>
        <v>248</v>
      </c>
      <c r="B252" s="11" t="s">
        <v>235</v>
      </c>
      <c r="C252" s="17" t="s">
        <v>445</v>
      </c>
      <c r="D252" s="12" t="s">
        <v>446</v>
      </c>
      <c r="E252" s="13">
        <v>15594604.08</v>
      </c>
      <c r="F252" s="13">
        <v>0</v>
      </c>
      <c r="G252" s="13">
        <v>0</v>
      </c>
      <c r="I252" s="14">
        <f t="shared" si="11"/>
        <v>15594604.08</v>
      </c>
      <c r="K252" s="11"/>
      <c r="M252" s="15"/>
    </row>
    <row r="253" spans="1:13" outlineLevel="2">
      <c r="A253" s="11">
        <f t="shared" si="10"/>
        <v>249</v>
      </c>
      <c r="B253" s="11" t="s">
        <v>235</v>
      </c>
      <c r="C253" s="17" t="s">
        <v>447</v>
      </c>
      <c r="D253" s="12" t="s">
        <v>448</v>
      </c>
      <c r="E253" s="13">
        <v>8198986.5800000001</v>
      </c>
      <c r="F253" s="13">
        <v>-97320</v>
      </c>
      <c r="G253" s="13">
        <v>0</v>
      </c>
      <c r="I253" s="14">
        <f t="shared" si="11"/>
        <v>8101666.5800000001</v>
      </c>
      <c r="K253" s="11"/>
      <c r="M253" s="15"/>
    </row>
    <row r="254" spans="1:13" outlineLevel="2">
      <c r="A254" s="11">
        <f t="shared" si="10"/>
        <v>250</v>
      </c>
      <c r="B254" s="11" t="s">
        <v>235</v>
      </c>
      <c r="C254" s="17" t="s">
        <v>449</v>
      </c>
      <c r="D254" s="12" t="s">
        <v>450</v>
      </c>
      <c r="E254" s="13">
        <v>3234614.29</v>
      </c>
      <c r="F254" s="13">
        <v>-101868.59</v>
      </c>
      <c r="G254" s="13">
        <v>0</v>
      </c>
      <c r="I254" s="14">
        <f t="shared" si="11"/>
        <v>3132745.7</v>
      </c>
      <c r="J254" s="12"/>
      <c r="K254" s="11"/>
      <c r="M254" s="15"/>
    </row>
    <row r="255" spans="1:13" outlineLevel="2">
      <c r="A255" s="11">
        <f t="shared" si="10"/>
        <v>251</v>
      </c>
      <c r="B255" s="11" t="s">
        <v>235</v>
      </c>
      <c r="C255" s="17" t="s">
        <v>507</v>
      </c>
      <c r="D255" s="12" t="s">
        <v>508</v>
      </c>
      <c r="E255" s="13">
        <v>183222.22</v>
      </c>
      <c r="F255" s="13">
        <v>0</v>
      </c>
      <c r="G255" s="13">
        <v>0</v>
      </c>
      <c r="I255" s="14">
        <f t="shared" si="11"/>
        <v>183222.22</v>
      </c>
      <c r="J255" s="12"/>
      <c r="K255" s="11"/>
      <c r="M255" s="15"/>
    </row>
    <row r="256" spans="1:13" outlineLevel="2">
      <c r="A256" s="11">
        <f t="shared" si="10"/>
        <v>252</v>
      </c>
      <c r="B256" s="11" t="s">
        <v>235</v>
      </c>
      <c r="C256" s="17" t="s">
        <v>451</v>
      </c>
      <c r="D256" s="12" t="s">
        <v>452</v>
      </c>
      <c r="E256" s="13">
        <v>7181904.5999999996</v>
      </c>
      <c r="F256" s="13">
        <v>-1346899.36</v>
      </c>
      <c r="G256" s="13">
        <v>0</v>
      </c>
      <c r="I256" s="14">
        <f t="shared" si="11"/>
        <v>5835005.2399999993</v>
      </c>
      <c r="J256" s="12"/>
      <c r="K256" s="11"/>
      <c r="M256" s="15"/>
    </row>
    <row r="257" spans="1:13" outlineLevel="2">
      <c r="A257" s="11">
        <f t="shared" si="10"/>
        <v>253</v>
      </c>
      <c r="B257" s="11" t="s">
        <v>235</v>
      </c>
      <c r="C257" s="17" t="s">
        <v>453</v>
      </c>
      <c r="D257" s="12" t="s">
        <v>454</v>
      </c>
      <c r="E257" s="13">
        <v>2775992.03</v>
      </c>
      <c r="F257" s="13">
        <v>-1579680.04</v>
      </c>
      <c r="G257" s="13">
        <v>0</v>
      </c>
      <c r="I257" s="14">
        <f t="shared" si="11"/>
        <v>1196311.9899999998</v>
      </c>
      <c r="J257" s="12"/>
      <c r="K257" s="11"/>
      <c r="M257" s="15"/>
    </row>
    <row r="258" spans="1:13" outlineLevel="2">
      <c r="A258" s="11">
        <f t="shared" si="10"/>
        <v>254</v>
      </c>
      <c r="B258" s="11" t="s">
        <v>235</v>
      </c>
      <c r="C258" s="17" t="s">
        <v>509</v>
      </c>
      <c r="D258" s="12" t="s">
        <v>510</v>
      </c>
      <c r="E258" s="13">
        <v>76395.83</v>
      </c>
      <c r="F258" s="13">
        <v>0</v>
      </c>
      <c r="G258" s="13">
        <v>0</v>
      </c>
      <c r="I258" s="14">
        <f t="shared" si="11"/>
        <v>76395.83</v>
      </c>
      <c r="J258" s="12"/>
      <c r="K258" s="11"/>
      <c r="M258" s="15"/>
    </row>
    <row r="259" spans="1:13" outlineLevel="2">
      <c r="A259" s="11">
        <f t="shared" si="10"/>
        <v>255</v>
      </c>
      <c r="B259" s="11" t="s">
        <v>235</v>
      </c>
      <c r="C259" s="17" t="s">
        <v>455</v>
      </c>
      <c r="D259" s="12" t="s">
        <v>456</v>
      </c>
      <c r="E259" s="13">
        <v>2935</v>
      </c>
      <c r="F259" s="13">
        <v>0</v>
      </c>
      <c r="G259" s="13">
        <v>0</v>
      </c>
      <c r="I259" s="14">
        <f t="shared" si="11"/>
        <v>2935</v>
      </c>
      <c r="J259" s="12"/>
      <c r="K259" s="11"/>
      <c r="M259" s="15"/>
    </row>
    <row r="260" spans="1:13" s="6" customFormat="1" ht="13.5" outlineLevel="1" thickBot="1">
      <c r="A260" s="11">
        <f t="shared" si="10"/>
        <v>256</v>
      </c>
      <c r="B260" s="19" t="s">
        <v>457</v>
      </c>
      <c r="C260" s="20"/>
      <c r="D260" s="21" t="s">
        <v>458</v>
      </c>
      <c r="E260" s="22">
        <f>SUBTOTAL(9,E119:E259)</f>
        <v>690475890.71000004</v>
      </c>
      <c r="F260" s="22">
        <f>SUBTOTAL(9,F119:F259)</f>
        <v>-40020672.939999998</v>
      </c>
      <c r="G260" s="22">
        <f>SUBTOTAL(9,G119:G259)</f>
        <v>0</v>
      </c>
      <c r="H260" s="22"/>
      <c r="I260" s="23">
        <f>SUBTOTAL(9,I119:I259)</f>
        <v>650455217.77000022</v>
      </c>
      <c r="J260" s="24"/>
      <c r="K260" s="3"/>
      <c r="L260" s="3"/>
      <c r="M260" s="8"/>
    </row>
    <row r="261" spans="1:13" ht="13.5" outlineLevel="2" thickTop="1">
      <c r="A261" s="11">
        <f t="shared" si="10"/>
        <v>257</v>
      </c>
      <c r="B261" s="11" t="s">
        <v>511</v>
      </c>
      <c r="C261" s="17" t="s">
        <v>512</v>
      </c>
      <c r="D261" s="12" t="s">
        <v>513</v>
      </c>
      <c r="E261" s="13">
        <v>3488667.41</v>
      </c>
      <c r="F261" s="13">
        <v>0</v>
      </c>
      <c r="G261" s="13">
        <v>0</v>
      </c>
      <c r="I261" s="14">
        <f t="shared" ref="I261:I279" si="12">SUM(E261:G261)</f>
        <v>3488667.41</v>
      </c>
      <c r="K261" s="11"/>
      <c r="M261" s="15"/>
    </row>
    <row r="262" spans="1:13" outlineLevel="2">
      <c r="A262" s="11">
        <f t="shared" si="10"/>
        <v>258</v>
      </c>
      <c r="B262" s="11" t="s">
        <v>511</v>
      </c>
      <c r="C262" s="17" t="s">
        <v>514</v>
      </c>
      <c r="D262" s="12" t="s">
        <v>515</v>
      </c>
      <c r="E262" s="13">
        <v>9917898.5700000003</v>
      </c>
      <c r="F262" s="13">
        <v>0</v>
      </c>
      <c r="G262" s="13">
        <v>0</v>
      </c>
      <c r="I262" s="14">
        <f t="shared" si="12"/>
        <v>9917898.5700000003</v>
      </c>
      <c r="K262" s="11"/>
      <c r="M262" s="15"/>
    </row>
    <row r="263" spans="1:13" outlineLevel="2">
      <c r="A263" s="11">
        <f t="shared" si="10"/>
        <v>259</v>
      </c>
      <c r="B263" s="11" t="s">
        <v>511</v>
      </c>
      <c r="C263" s="17" t="s">
        <v>516</v>
      </c>
      <c r="D263" s="12" t="s">
        <v>517</v>
      </c>
      <c r="E263" s="13">
        <v>6845966.21</v>
      </c>
      <c r="F263" s="13">
        <v>0</v>
      </c>
      <c r="G263" s="13">
        <v>0</v>
      </c>
      <c r="I263" s="14">
        <f t="shared" si="12"/>
        <v>6845966.21</v>
      </c>
      <c r="K263" s="11"/>
      <c r="M263" s="15"/>
    </row>
    <row r="264" spans="1:13" outlineLevel="2">
      <c r="A264" s="11">
        <f t="shared" si="10"/>
        <v>260</v>
      </c>
      <c r="B264" s="11" t="s">
        <v>511</v>
      </c>
      <c r="C264" s="17" t="s">
        <v>518</v>
      </c>
      <c r="D264" s="12" t="s">
        <v>519</v>
      </c>
      <c r="E264" s="13">
        <v>3852063.84</v>
      </c>
      <c r="F264" s="13">
        <v>0</v>
      </c>
      <c r="G264" s="13">
        <v>0</v>
      </c>
      <c r="I264" s="14">
        <f t="shared" si="12"/>
        <v>3852063.84</v>
      </c>
      <c r="K264" s="11"/>
      <c r="M264" s="15"/>
    </row>
    <row r="265" spans="1:13" outlineLevel="2">
      <c r="A265" s="11">
        <f t="shared" si="10"/>
        <v>261</v>
      </c>
      <c r="B265" s="11" t="s">
        <v>511</v>
      </c>
      <c r="C265" s="17" t="s">
        <v>520</v>
      </c>
      <c r="D265" s="12" t="s">
        <v>521</v>
      </c>
      <c r="E265" s="13">
        <v>2040286.92</v>
      </c>
      <c r="F265" s="13">
        <v>0</v>
      </c>
      <c r="G265" s="13">
        <v>0</v>
      </c>
      <c r="I265" s="14">
        <f t="shared" si="12"/>
        <v>2040286.92</v>
      </c>
      <c r="K265" s="11"/>
      <c r="M265" s="15"/>
    </row>
    <row r="266" spans="1:13" outlineLevel="2">
      <c r="A266" s="11">
        <f t="shared" si="10"/>
        <v>262</v>
      </c>
      <c r="B266" s="11" t="s">
        <v>511</v>
      </c>
      <c r="C266" s="17" t="s">
        <v>522</v>
      </c>
      <c r="D266" s="12" t="s">
        <v>523</v>
      </c>
      <c r="E266" s="13">
        <v>794673.34</v>
      </c>
      <c r="F266" s="13">
        <v>0</v>
      </c>
      <c r="G266" s="13">
        <v>0</v>
      </c>
      <c r="I266" s="14">
        <f t="shared" si="12"/>
        <v>794673.34</v>
      </c>
      <c r="K266" s="11"/>
      <c r="M266" s="15"/>
    </row>
    <row r="267" spans="1:13" outlineLevel="2">
      <c r="A267" s="11">
        <f t="shared" si="10"/>
        <v>263</v>
      </c>
      <c r="B267" s="11" t="s">
        <v>511</v>
      </c>
      <c r="C267" s="17" t="s">
        <v>524</v>
      </c>
      <c r="D267" s="12" t="s">
        <v>525</v>
      </c>
      <c r="E267" s="13">
        <v>8351981.5899999999</v>
      </c>
      <c r="F267" s="13">
        <v>0</v>
      </c>
      <c r="G267" s="13">
        <v>0</v>
      </c>
      <c r="I267" s="14">
        <f t="shared" si="12"/>
        <v>8351981.5899999999</v>
      </c>
      <c r="K267" s="11"/>
      <c r="M267" s="15"/>
    </row>
    <row r="268" spans="1:13" outlineLevel="2">
      <c r="A268" s="11">
        <f t="shared" si="10"/>
        <v>264</v>
      </c>
      <c r="B268" s="11" t="s">
        <v>511</v>
      </c>
      <c r="C268" s="17" t="s">
        <v>526</v>
      </c>
      <c r="D268" s="12" t="s">
        <v>527</v>
      </c>
      <c r="E268" s="13">
        <v>2435618.58</v>
      </c>
      <c r="F268" s="13">
        <v>0</v>
      </c>
      <c r="G268" s="13">
        <v>0</v>
      </c>
      <c r="I268" s="14">
        <f t="shared" si="12"/>
        <v>2435618.58</v>
      </c>
      <c r="K268" s="11"/>
      <c r="M268" s="15"/>
    </row>
    <row r="269" spans="1:13" outlineLevel="2">
      <c r="A269" s="11">
        <f t="shared" si="10"/>
        <v>265</v>
      </c>
      <c r="B269" s="11" t="s">
        <v>511</v>
      </c>
      <c r="C269" s="17" t="s">
        <v>528</v>
      </c>
      <c r="D269" s="12" t="s">
        <v>529</v>
      </c>
      <c r="E269" s="13">
        <v>493999.14</v>
      </c>
      <c r="F269" s="13">
        <v>0</v>
      </c>
      <c r="G269" s="13">
        <v>0</v>
      </c>
      <c r="I269" s="14">
        <f t="shared" si="12"/>
        <v>493999.14</v>
      </c>
      <c r="K269" s="11"/>
      <c r="M269" s="15"/>
    </row>
    <row r="270" spans="1:13" outlineLevel="2">
      <c r="A270" s="11">
        <f t="shared" si="10"/>
        <v>266</v>
      </c>
      <c r="B270" s="11" t="s">
        <v>511</v>
      </c>
      <c r="C270" s="17" t="s">
        <v>530</v>
      </c>
      <c r="D270" s="12" t="s">
        <v>531</v>
      </c>
      <c r="E270" s="13">
        <v>2709638.83</v>
      </c>
      <c r="F270" s="13">
        <v>0</v>
      </c>
      <c r="G270" s="13">
        <v>0</v>
      </c>
      <c r="I270" s="14">
        <f t="shared" si="12"/>
        <v>2709638.83</v>
      </c>
      <c r="K270" s="11"/>
      <c r="M270" s="15"/>
    </row>
    <row r="271" spans="1:13" outlineLevel="2">
      <c r="A271" s="11">
        <f t="shared" si="10"/>
        <v>267</v>
      </c>
      <c r="B271" s="11" t="s">
        <v>511</v>
      </c>
      <c r="C271" s="17" t="s">
        <v>532</v>
      </c>
      <c r="D271" s="12" t="s">
        <v>533</v>
      </c>
      <c r="E271" s="13">
        <v>3841397.64</v>
      </c>
      <c r="F271" s="13">
        <v>0</v>
      </c>
      <c r="G271" s="13">
        <v>0</v>
      </c>
      <c r="I271" s="14">
        <f t="shared" si="12"/>
        <v>3841397.64</v>
      </c>
      <c r="K271" s="11"/>
      <c r="M271" s="15"/>
    </row>
    <row r="272" spans="1:13" outlineLevel="2">
      <c r="A272" s="11">
        <f t="shared" si="10"/>
        <v>268</v>
      </c>
      <c r="B272" s="11" t="s">
        <v>511</v>
      </c>
      <c r="C272" s="17" t="s">
        <v>534</v>
      </c>
      <c r="D272" s="12" t="s">
        <v>535</v>
      </c>
      <c r="E272" s="13">
        <v>1025254.07</v>
      </c>
      <c r="F272" s="13">
        <v>0</v>
      </c>
      <c r="G272" s="13">
        <v>0</v>
      </c>
      <c r="I272" s="14">
        <f t="shared" si="12"/>
        <v>1025254.07</v>
      </c>
      <c r="K272" s="11"/>
      <c r="M272" s="15"/>
    </row>
    <row r="273" spans="1:13" outlineLevel="2">
      <c r="A273" s="11">
        <f t="shared" si="10"/>
        <v>269</v>
      </c>
      <c r="B273" s="11" t="s">
        <v>511</v>
      </c>
      <c r="C273" s="17" t="s">
        <v>536</v>
      </c>
      <c r="D273" s="12" t="s">
        <v>537</v>
      </c>
      <c r="E273" s="13">
        <v>96884.41</v>
      </c>
      <c r="F273" s="13">
        <v>0</v>
      </c>
      <c r="G273" s="13">
        <v>0</v>
      </c>
      <c r="I273" s="14">
        <f t="shared" si="12"/>
        <v>96884.41</v>
      </c>
      <c r="K273" s="11"/>
      <c r="M273" s="15"/>
    </row>
    <row r="274" spans="1:13" outlineLevel="2">
      <c r="A274" s="11">
        <f t="shared" si="10"/>
        <v>270</v>
      </c>
      <c r="B274" s="11" t="s">
        <v>511</v>
      </c>
      <c r="C274" s="17" t="s">
        <v>538</v>
      </c>
      <c r="D274" s="12" t="s">
        <v>539</v>
      </c>
      <c r="E274" s="13">
        <v>1679673.69</v>
      </c>
      <c r="F274" s="13">
        <v>0</v>
      </c>
      <c r="G274" s="13">
        <v>0</v>
      </c>
      <c r="I274" s="14">
        <f t="shared" si="12"/>
        <v>1679673.69</v>
      </c>
      <c r="K274" s="11"/>
      <c r="M274" s="15"/>
    </row>
    <row r="275" spans="1:13" outlineLevel="2">
      <c r="A275" s="11">
        <f t="shared" ref="A275:A331" si="13">A274+1</f>
        <v>271</v>
      </c>
      <c r="B275" s="11" t="s">
        <v>511</v>
      </c>
      <c r="C275" s="17" t="s">
        <v>540</v>
      </c>
      <c r="D275" s="12" t="s">
        <v>541</v>
      </c>
      <c r="E275" s="13">
        <v>1051383.4099999999</v>
      </c>
      <c r="F275" s="13">
        <v>0</v>
      </c>
      <c r="G275" s="13">
        <v>0</v>
      </c>
      <c r="I275" s="14">
        <f t="shared" si="12"/>
        <v>1051383.4099999999</v>
      </c>
      <c r="K275" s="11"/>
      <c r="M275" s="15"/>
    </row>
    <row r="276" spans="1:13" outlineLevel="2">
      <c r="A276" s="11">
        <f t="shared" si="13"/>
        <v>272</v>
      </c>
      <c r="B276" s="11" t="s">
        <v>511</v>
      </c>
      <c r="C276" s="17" t="s">
        <v>542</v>
      </c>
      <c r="D276" s="12" t="s">
        <v>543</v>
      </c>
      <c r="E276" s="13">
        <v>2221966.7200000002</v>
      </c>
      <c r="F276" s="13">
        <v>0</v>
      </c>
      <c r="G276" s="13">
        <v>0</v>
      </c>
      <c r="I276" s="14">
        <f t="shared" si="12"/>
        <v>2221966.7200000002</v>
      </c>
      <c r="K276" s="11"/>
      <c r="M276" s="15"/>
    </row>
    <row r="277" spans="1:13" ht="12.75" customHeight="1" outlineLevel="2">
      <c r="A277" s="11">
        <f t="shared" si="13"/>
        <v>273</v>
      </c>
      <c r="B277" s="11" t="s">
        <v>511</v>
      </c>
      <c r="C277" s="679" t="s">
        <v>544</v>
      </c>
      <c r="D277" s="12" t="s">
        <v>545</v>
      </c>
      <c r="E277" s="13">
        <v>3007881.59</v>
      </c>
      <c r="F277" s="13">
        <v>0</v>
      </c>
      <c r="G277" s="13">
        <v>0</v>
      </c>
      <c r="I277" s="14">
        <f t="shared" si="12"/>
        <v>3007881.59</v>
      </c>
      <c r="J277" s="12"/>
      <c r="K277" s="11"/>
      <c r="M277" s="15"/>
    </row>
    <row r="278" spans="1:13" outlineLevel="2">
      <c r="A278" s="11">
        <f t="shared" si="13"/>
        <v>274</v>
      </c>
      <c r="B278" s="11" t="s">
        <v>511</v>
      </c>
      <c r="C278" s="17" t="s">
        <v>546</v>
      </c>
      <c r="D278" s="12" t="s">
        <v>547</v>
      </c>
      <c r="E278" s="13">
        <v>239919.86</v>
      </c>
      <c r="F278" s="13">
        <v>0</v>
      </c>
      <c r="G278" s="13">
        <v>0</v>
      </c>
      <c r="I278" s="14">
        <f t="shared" si="12"/>
        <v>239919.86</v>
      </c>
      <c r="J278" s="18"/>
      <c r="K278" s="11"/>
    </row>
    <row r="279" spans="1:13" outlineLevel="2">
      <c r="A279" s="11">
        <f t="shared" si="13"/>
        <v>275</v>
      </c>
      <c r="B279" s="11" t="s">
        <v>511</v>
      </c>
      <c r="C279" s="17" t="s">
        <v>548</v>
      </c>
      <c r="D279" s="12" t="s">
        <v>549</v>
      </c>
      <c r="E279" s="13">
        <v>7452150.5499999998</v>
      </c>
      <c r="F279" s="13">
        <v>0</v>
      </c>
      <c r="G279" s="13">
        <v>0</v>
      </c>
      <c r="I279" s="14">
        <f t="shared" si="12"/>
        <v>7452150.5499999998</v>
      </c>
      <c r="K279" s="11"/>
      <c r="M279" s="15"/>
    </row>
    <row r="280" spans="1:13" s="6" customFormat="1" ht="13.5" outlineLevel="1" thickBot="1">
      <c r="A280" s="11">
        <f t="shared" si="13"/>
        <v>276</v>
      </c>
      <c r="B280" s="19" t="s">
        <v>550</v>
      </c>
      <c r="C280" s="20"/>
      <c r="D280" s="21" t="s">
        <v>551</v>
      </c>
      <c r="E280" s="22">
        <f>SUBTOTAL(9,E261:E279)</f>
        <v>61547306.36999999</v>
      </c>
      <c r="F280" s="22">
        <f>SUBTOTAL(9,F261:F279)</f>
        <v>0</v>
      </c>
      <c r="G280" s="22">
        <f>SUBTOTAL(9,G261:G279)</f>
        <v>0</v>
      </c>
      <c r="H280" s="22"/>
      <c r="I280" s="23">
        <f>SUBTOTAL(9,I261:I279)</f>
        <v>61547306.36999999</v>
      </c>
      <c r="J280" s="24"/>
      <c r="K280" s="3"/>
      <c r="L280" s="3"/>
      <c r="M280" s="8"/>
    </row>
    <row r="281" spans="1:13" ht="13.5" outlineLevel="2" thickTop="1">
      <c r="A281" s="11">
        <f t="shared" si="13"/>
        <v>277</v>
      </c>
      <c r="B281" s="11" t="s">
        <v>552</v>
      </c>
      <c r="C281" s="17" t="s">
        <v>553</v>
      </c>
      <c r="D281" s="1" t="s">
        <v>554</v>
      </c>
      <c r="E281" s="13">
        <f>6006058.11</f>
        <v>6006058.1100000003</v>
      </c>
      <c r="F281" s="13">
        <v>0</v>
      </c>
      <c r="G281" s="13">
        <v>0</v>
      </c>
      <c r="H281" s="13">
        <f>'WS13-SSCDFac'!H5</f>
        <v>-1501514.5274999989</v>
      </c>
      <c r="I281" s="14">
        <f>SUM(E281:H281)</f>
        <v>4504543.5825000014</v>
      </c>
      <c r="J281" s="859" t="s">
        <v>1492</v>
      </c>
      <c r="K281" s="11"/>
    </row>
    <row r="282" spans="1:13" ht="12.75" customHeight="1" outlineLevel="2">
      <c r="A282" s="11">
        <f t="shared" si="13"/>
        <v>278</v>
      </c>
      <c r="B282" s="11" t="s">
        <v>552</v>
      </c>
      <c r="C282" s="17" t="s">
        <v>555</v>
      </c>
      <c r="D282" s="12" t="s">
        <v>556</v>
      </c>
      <c r="E282" s="13">
        <v>2542599.64</v>
      </c>
      <c r="F282" s="13">
        <v>0</v>
      </c>
      <c r="G282" s="13">
        <v>0</v>
      </c>
      <c r="H282" s="13">
        <f>'WS13-SSCDFac'!H6</f>
        <v>-720132.67026999965</v>
      </c>
      <c r="I282" s="14">
        <f t="shared" ref="I282:I283" si="14">SUM(E282:H282)</f>
        <v>1822466.9697300005</v>
      </c>
      <c r="J282" s="860"/>
      <c r="K282" s="11"/>
      <c r="M282" s="15"/>
    </row>
    <row r="283" spans="1:13" outlineLevel="2">
      <c r="A283" s="11">
        <f t="shared" si="13"/>
        <v>279</v>
      </c>
      <c r="B283" s="11" t="s">
        <v>552</v>
      </c>
      <c r="C283" s="17" t="s">
        <v>1421</v>
      </c>
      <c r="D283" s="12" t="s">
        <v>557</v>
      </c>
      <c r="E283" s="13">
        <v>12430495.15</v>
      </c>
      <c r="F283" s="13">
        <v>0</v>
      </c>
      <c r="G283" s="13">
        <v>0</v>
      </c>
      <c r="H283" s="13">
        <f>'WS13-SSCDFac'!H7</f>
        <v>-3854499.916824</v>
      </c>
      <c r="I283" s="14">
        <f t="shared" si="14"/>
        <v>8575995.2331760004</v>
      </c>
      <c r="J283" s="860"/>
      <c r="K283" s="11"/>
      <c r="M283" s="15"/>
    </row>
    <row r="284" spans="1:13" s="6" customFormat="1" ht="13.5" outlineLevel="1" thickBot="1">
      <c r="A284" s="11">
        <f t="shared" si="13"/>
        <v>280</v>
      </c>
      <c r="B284" s="19" t="s">
        <v>558</v>
      </c>
      <c r="C284" s="20"/>
      <c r="D284" s="21" t="s">
        <v>559</v>
      </c>
      <c r="E284" s="22">
        <f>SUBTOTAL(9,E281:E283)</f>
        <v>20979152.899999999</v>
      </c>
      <c r="F284" s="22">
        <f>SUBTOTAL(9,F281:F283)</f>
        <v>0</v>
      </c>
      <c r="G284" s="22">
        <f>SUBTOTAL(9,G281:G283)</f>
        <v>0</v>
      </c>
      <c r="H284" s="22">
        <f>SUBTOTAL(9,H281:H283)</f>
        <v>-6076147.1145939985</v>
      </c>
      <c r="I284" s="23">
        <f>SUBTOTAL(9,I281:I283)</f>
        <v>14903005.785406003</v>
      </c>
      <c r="J284" s="27"/>
      <c r="K284" s="3"/>
      <c r="L284" s="3"/>
      <c r="M284" s="8"/>
    </row>
    <row r="285" spans="1:13" ht="13.5" outlineLevel="2" thickTop="1">
      <c r="A285" s="11">
        <f t="shared" si="13"/>
        <v>281</v>
      </c>
      <c r="B285" s="11" t="s">
        <v>560</v>
      </c>
      <c r="C285" s="17" t="s">
        <v>561</v>
      </c>
      <c r="D285" s="12" t="s">
        <v>562</v>
      </c>
      <c r="E285" s="13">
        <v>69740.75</v>
      </c>
      <c r="F285" s="13">
        <v>0</v>
      </c>
      <c r="G285" s="13">
        <v>0</v>
      </c>
      <c r="I285" s="14">
        <f t="shared" ref="I285:I298" si="15">SUM(E285:G285)</f>
        <v>69740.75</v>
      </c>
      <c r="K285" s="11"/>
      <c r="M285" s="15"/>
    </row>
    <row r="286" spans="1:13" outlineLevel="2">
      <c r="A286" s="11">
        <f t="shared" si="13"/>
        <v>282</v>
      </c>
      <c r="B286" s="11" t="s">
        <v>560</v>
      </c>
      <c r="C286" s="17" t="s">
        <v>563</v>
      </c>
      <c r="D286" s="12" t="s">
        <v>564</v>
      </c>
      <c r="E286" s="13">
        <v>213000</v>
      </c>
      <c r="F286" s="13">
        <v>0</v>
      </c>
      <c r="G286" s="13">
        <v>0</v>
      </c>
      <c r="I286" s="14">
        <f t="shared" si="15"/>
        <v>213000</v>
      </c>
      <c r="K286" s="11"/>
      <c r="M286" s="15"/>
    </row>
    <row r="287" spans="1:13" outlineLevel="2">
      <c r="A287" s="11">
        <f t="shared" si="13"/>
        <v>283</v>
      </c>
      <c r="B287" s="11" t="s">
        <v>560</v>
      </c>
      <c r="C287" s="17" t="s">
        <v>565</v>
      </c>
      <c r="D287" s="12" t="s">
        <v>566</v>
      </c>
      <c r="E287" s="13">
        <v>218492.84</v>
      </c>
      <c r="F287" s="13">
        <v>0</v>
      </c>
      <c r="G287" s="13">
        <v>0</v>
      </c>
      <c r="I287" s="14">
        <f t="shared" si="15"/>
        <v>218492.84</v>
      </c>
      <c r="K287" s="11"/>
      <c r="M287" s="15"/>
    </row>
    <row r="288" spans="1:13" outlineLevel="2">
      <c r="A288" s="11">
        <f t="shared" si="13"/>
        <v>284</v>
      </c>
      <c r="B288" s="11" t="s">
        <v>560</v>
      </c>
      <c r="C288" s="17" t="s">
        <v>567</v>
      </c>
      <c r="D288" s="12" t="s">
        <v>568</v>
      </c>
      <c r="E288" s="13">
        <v>813859.77</v>
      </c>
      <c r="F288" s="13">
        <v>0</v>
      </c>
      <c r="G288" s="13">
        <v>0</v>
      </c>
      <c r="I288" s="14">
        <f t="shared" si="15"/>
        <v>813859.77</v>
      </c>
      <c r="K288" s="11"/>
      <c r="M288" s="15"/>
    </row>
    <row r="289" spans="1:13" outlineLevel="2">
      <c r="A289" s="11">
        <f t="shared" si="13"/>
        <v>285</v>
      </c>
      <c r="B289" s="11" t="s">
        <v>560</v>
      </c>
      <c r="C289" s="17" t="s">
        <v>569</v>
      </c>
      <c r="D289" s="12" t="s">
        <v>570</v>
      </c>
      <c r="E289" s="13">
        <f>519632.09+6569.16</f>
        <v>526201.25</v>
      </c>
      <c r="F289" s="13">
        <v>0</v>
      </c>
      <c r="G289" s="13">
        <v>0</v>
      </c>
      <c r="I289" s="14">
        <f t="shared" si="15"/>
        <v>526201.25</v>
      </c>
      <c r="K289" s="11"/>
      <c r="M289" s="15"/>
    </row>
    <row r="290" spans="1:13" outlineLevel="2">
      <c r="A290" s="11">
        <f t="shared" si="13"/>
        <v>286</v>
      </c>
      <c r="B290" s="11" t="s">
        <v>560</v>
      </c>
      <c r="C290" s="17" t="s">
        <v>571</v>
      </c>
      <c r="D290" s="12" t="s">
        <v>572</v>
      </c>
      <c r="E290" s="13">
        <v>170278</v>
      </c>
      <c r="F290" s="13">
        <v>0</v>
      </c>
      <c r="G290" s="13">
        <v>0</v>
      </c>
      <c r="I290" s="14">
        <f t="shared" si="15"/>
        <v>170278</v>
      </c>
      <c r="K290" s="11"/>
      <c r="M290" s="15"/>
    </row>
    <row r="291" spans="1:13" outlineLevel="2">
      <c r="A291" s="11">
        <f t="shared" si="13"/>
        <v>287</v>
      </c>
      <c r="B291" s="11" t="s">
        <v>560</v>
      </c>
      <c r="C291" s="17" t="s">
        <v>573</v>
      </c>
      <c r="D291" s="12" t="s">
        <v>574</v>
      </c>
      <c r="E291" s="13">
        <v>35070.980000000003</v>
      </c>
      <c r="F291" s="13">
        <v>0</v>
      </c>
      <c r="G291" s="13">
        <v>0</v>
      </c>
      <c r="I291" s="14">
        <f t="shared" si="15"/>
        <v>35070.980000000003</v>
      </c>
      <c r="K291" s="11"/>
      <c r="M291" s="15"/>
    </row>
    <row r="292" spans="1:13" outlineLevel="2">
      <c r="A292" s="11">
        <f t="shared" si="13"/>
        <v>288</v>
      </c>
      <c r="B292" s="11" t="s">
        <v>560</v>
      </c>
      <c r="C292" s="17" t="s">
        <v>575</v>
      </c>
      <c r="D292" s="12" t="s">
        <v>576</v>
      </c>
      <c r="E292" s="13">
        <v>163694.91</v>
      </c>
      <c r="F292" s="13">
        <v>0</v>
      </c>
      <c r="G292" s="13">
        <v>0</v>
      </c>
      <c r="I292" s="14">
        <f t="shared" si="15"/>
        <v>163694.91</v>
      </c>
      <c r="K292" s="11"/>
      <c r="M292" s="15"/>
    </row>
    <row r="293" spans="1:13" outlineLevel="2">
      <c r="A293" s="11">
        <f t="shared" si="13"/>
        <v>289</v>
      </c>
      <c r="B293" s="11" t="s">
        <v>560</v>
      </c>
      <c r="C293" s="17" t="s">
        <v>577</v>
      </c>
      <c r="D293" s="12" t="s">
        <v>578</v>
      </c>
      <c r="E293" s="13">
        <v>19074.86</v>
      </c>
      <c r="F293" s="13">
        <v>0</v>
      </c>
      <c r="G293" s="13">
        <v>0</v>
      </c>
      <c r="I293" s="14">
        <f t="shared" si="15"/>
        <v>19074.86</v>
      </c>
      <c r="K293" s="11"/>
      <c r="M293" s="15"/>
    </row>
    <row r="294" spans="1:13" outlineLevel="2">
      <c r="A294" s="11">
        <f t="shared" si="13"/>
        <v>290</v>
      </c>
      <c r="B294" s="11" t="s">
        <v>560</v>
      </c>
      <c r="C294" s="17" t="s">
        <v>579</v>
      </c>
      <c r="D294" s="12" t="s">
        <v>580</v>
      </c>
      <c r="E294" s="13">
        <v>127143.62</v>
      </c>
      <c r="F294" s="13">
        <v>0</v>
      </c>
      <c r="G294" s="13">
        <v>0</v>
      </c>
      <c r="I294" s="14">
        <f t="shared" si="15"/>
        <v>127143.62</v>
      </c>
      <c r="K294" s="11"/>
      <c r="M294" s="15"/>
    </row>
    <row r="295" spans="1:13" outlineLevel="2">
      <c r="A295" s="11">
        <f t="shared" si="13"/>
        <v>291</v>
      </c>
      <c r="B295" s="11" t="s">
        <v>560</v>
      </c>
      <c r="C295" s="17" t="s">
        <v>581</v>
      </c>
      <c r="D295" s="12" t="s">
        <v>582</v>
      </c>
      <c r="E295" s="13">
        <v>404166.08</v>
      </c>
      <c r="F295" s="13">
        <v>0</v>
      </c>
      <c r="G295" s="13">
        <v>0</v>
      </c>
      <c r="I295" s="14">
        <f t="shared" si="15"/>
        <v>404166.08</v>
      </c>
      <c r="K295" s="11"/>
      <c r="M295" s="15"/>
    </row>
    <row r="296" spans="1:13" outlineLevel="2">
      <c r="A296" s="11">
        <f t="shared" si="13"/>
        <v>292</v>
      </c>
      <c r="B296" s="11" t="s">
        <v>560</v>
      </c>
      <c r="C296" s="17" t="s">
        <v>583</v>
      </c>
      <c r="D296" s="12" t="s">
        <v>584</v>
      </c>
      <c r="E296" s="13">
        <v>192498.02</v>
      </c>
      <c r="F296" s="13">
        <v>-192498</v>
      </c>
      <c r="G296" s="13">
        <v>0</v>
      </c>
      <c r="I296" s="14">
        <f t="shared" si="15"/>
        <v>1.9999999989522621E-2</v>
      </c>
      <c r="K296" s="11"/>
      <c r="M296" s="15"/>
    </row>
    <row r="297" spans="1:13" outlineLevel="2">
      <c r="A297" s="11">
        <f t="shared" si="13"/>
        <v>293</v>
      </c>
      <c r="B297" s="11" t="s">
        <v>560</v>
      </c>
      <c r="C297" s="17" t="s">
        <v>585</v>
      </c>
      <c r="D297" s="12" t="s">
        <v>586</v>
      </c>
      <c r="E297" s="13">
        <v>71118</v>
      </c>
      <c r="F297" s="13">
        <v>0</v>
      </c>
      <c r="G297" s="13">
        <v>0</v>
      </c>
      <c r="I297" s="14">
        <f t="shared" si="15"/>
        <v>71118</v>
      </c>
      <c r="K297" s="11"/>
      <c r="M297" s="15"/>
    </row>
    <row r="298" spans="1:13" outlineLevel="2">
      <c r="A298" s="11">
        <f t="shared" si="13"/>
        <v>294</v>
      </c>
      <c r="B298" s="11" t="s">
        <v>560</v>
      </c>
      <c r="C298" s="17" t="s">
        <v>587</v>
      </c>
      <c r="D298" s="12" t="s">
        <v>588</v>
      </c>
      <c r="E298" s="13">
        <v>179327.81</v>
      </c>
      <c r="F298" s="13">
        <v>0</v>
      </c>
      <c r="G298" s="13">
        <v>0</v>
      </c>
      <c r="I298" s="14">
        <f t="shared" si="15"/>
        <v>179327.81</v>
      </c>
      <c r="K298" s="11"/>
      <c r="M298" s="15"/>
    </row>
    <row r="299" spans="1:13" s="6" customFormat="1" ht="13.5" outlineLevel="1" thickBot="1">
      <c r="A299" s="11">
        <f t="shared" si="13"/>
        <v>295</v>
      </c>
      <c r="B299" s="19" t="s">
        <v>589</v>
      </c>
      <c r="C299" s="20"/>
      <c r="D299" s="21" t="s">
        <v>590</v>
      </c>
      <c r="E299" s="22">
        <f>SUBTOTAL(9,E285:E298)</f>
        <v>3203666.89</v>
      </c>
      <c r="F299" s="22">
        <f>SUBTOTAL(9,F285:F298)</f>
        <v>-192498</v>
      </c>
      <c r="G299" s="22">
        <f>SUBTOTAL(9,G285:G298)</f>
        <v>0</v>
      </c>
      <c r="H299" s="22"/>
      <c r="I299" s="23">
        <f>SUBTOTAL(9,I285:I298)</f>
        <v>3011168.89</v>
      </c>
      <c r="J299" s="24"/>
      <c r="K299" s="3"/>
      <c r="L299" s="3"/>
      <c r="M299" s="8"/>
    </row>
    <row r="300" spans="1:13" ht="13.5" outlineLevel="2" thickTop="1">
      <c r="A300" s="11">
        <f t="shared" si="13"/>
        <v>296</v>
      </c>
      <c r="B300" s="11" t="s">
        <v>591</v>
      </c>
      <c r="C300" s="17" t="s">
        <v>592</v>
      </c>
      <c r="D300" s="12" t="s">
        <v>593</v>
      </c>
      <c r="E300" s="13">
        <v>81944</v>
      </c>
      <c r="F300" s="13">
        <v>0</v>
      </c>
      <c r="G300" s="13">
        <v>-81944</v>
      </c>
      <c r="I300" s="14">
        <f>SUM(E300:G300)</f>
        <v>0</v>
      </c>
      <c r="J300" s="12"/>
      <c r="K300" s="11"/>
      <c r="M300" s="15"/>
    </row>
    <row r="301" spans="1:13" outlineLevel="2">
      <c r="A301" s="11">
        <f t="shared" si="13"/>
        <v>297</v>
      </c>
      <c r="B301" s="11" t="s">
        <v>591</v>
      </c>
      <c r="C301" s="17" t="s">
        <v>594</v>
      </c>
      <c r="D301" s="12" t="s">
        <v>595</v>
      </c>
      <c r="E301" s="13">
        <v>64611.39</v>
      </c>
      <c r="F301" s="13">
        <v>0</v>
      </c>
      <c r="G301" s="13">
        <v>-64611</v>
      </c>
      <c r="I301" s="14">
        <f>SUM(E301:G301)</f>
        <v>0.38999999999941792</v>
      </c>
      <c r="K301" s="11"/>
      <c r="M301" s="15"/>
    </row>
    <row r="302" spans="1:13" outlineLevel="2">
      <c r="A302" s="11">
        <f t="shared" si="13"/>
        <v>298</v>
      </c>
      <c r="B302" s="11" t="s">
        <v>591</v>
      </c>
      <c r="C302" s="17" t="s">
        <v>596</v>
      </c>
      <c r="D302" s="12" t="s">
        <v>597</v>
      </c>
      <c r="E302" s="13">
        <v>922163.82</v>
      </c>
      <c r="F302" s="13">
        <v>0</v>
      </c>
      <c r="G302" s="13">
        <v>0</v>
      </c>
      <c r="I302" s="14">
        <f>SUM(E302:G302)</f>
        <v>922163.82</v>
      </c>
      <c r="K302" s="11"/>
      <c r="M302" s="15"/>
    </row>
    <row r="303" spans="1:13" outlineLevel="2">
      <c r="A303" s="11">
        <f t="shared" si="13"/>
        <v>299</v>
      </c>
      <c r="B303" s="11" t="s">
        <v>591</v>
      </c>
      <c r="C303" s="17" t="s">
        <v>598</v>
      </c>
      <c r="D303" s="12" t="s">
        <v>599</v>
      </c>
      <c r="E303" s="13">
        <v>690735.13</v>
      </c>
      <c r="F303" s="13">
        <v>0</v>
      </c>
      <c r="G303" s="13">
        <v>0</v>
      </c>
      <c r="I303" s="14">
        <f>SUM(E303:G303)</f>
        <v>690735.13</v>
      </c>
      <c r="K303" s="11"/>
      <c r="M303" s="15"/>
    </row>
    <row r="304" spans="1:13" s="6" customFormat="1" ht="13.5" outlineLevel="1" thickBot="1">
      <c r="A304" s="11">
        <f t="shared" si="13"/>
        <v>300</v>
      </c>
      <c r="B304" s="19" t="s">
        <v>600</v>
      </c>
      <c r="C304" s="20"/>
      <c r="D304" s="21" t="s">
        <v>601</v>
      </c>
      <c r="E304" s="22">
        <f>SUBTOTAL(9,E300:E303)</f>
        <v>1759454.3399999999</v>
      </c>
      <c r="F304" s="22">
        <f>SUBTOTAL(9,F300:F303)</f>
        <v>0</v>
      </c>
      <c r="G304" s="22">
        <f>SUBTOTAL(9,G300:G303)</f>
        <v>-146555</v>
      </c>
      <c r="H304" s="22"/>
      <c r="I304" s="23">
        <f>SUBTOTAL(9,I300:I303)</f>
        <v>1612899.3399999999</v>
      </c>
      <c r="J304" s="24"/>
      <c r="K304" s="3"/>
      <c r="L304" s="3"/>
      <c r="M304" s="8"/>
    </row>
    <row r="305" spans="1:13" ht="13.5" outlineLevel="2" thickTop="1">
      <c r="A305" s="11">
        <f t="shared" si="13"/>
        <v>301</v>
      </c>
      <c r="B305" s="11" t="s">
        <v>602</v>
      </c>
      <c r="C305" s="17" t="s">
        <v>603</v>
      </c>
      <c r="D305" s="12" t="s">
        <v>604</v>
      </c>
      <c r="E305" s="13">
        <v>17199.41</v>
      </c>
      <c r="F305" s="13">
        <v>0</v>
      </c>
      <c r="G305" s="13">
        <f>-(E305*$J$308)</f>
        <v>-5452.2129699999996</v>
      </c>
      <c r="I305" s="14">
        <f t="shared" ref="I305:I372" si="16">SUM(E305:G305)</f>
        <v>11747.197029999999</v>
      </c>
      <c r="J305" s="859" t="s">
        <v>2306</v>
      </c>
      <c r="K305" s="11"/>
    </row>
    <row r="306" spans="1:13" outlineLevel="2">
      <c r="A306" s="11">
        <f t="shared" si="13"/>
        <v>302</v>
      </c>
      <c r="B306" s="11" t="s">
        <v>602</v>
      </c>
      <c r="C306" s="17" t="s">
        <v>605</v>
      </c>
      <c r="D306" s="12" t="s">
        <v>606</v>
      </c>
      <c r="E306" s="13">
        <v>246174.69</v>
      </c>
      <c r="F306" s="13">
        <v>0</v>
      </c>
      <c r="G306" s="13">
        <f t="shared" ref="G306:G374" si="17">-(E306*$J$308)</f>
        <v>-78037.376730000004</v>
      </c>
      <c r="I306" s="14">
        <f t="shared" si="16"/>
        <v>168137.31326999998</v>
      </c>
      <c r="J306" s="860"/>
      <c r="K306" s="11"/>
    </row>
    <row r="307" spans="1:13" outlineLevel="2">
      <c r="A307" s="11">
        <f t="shared" si="13"/>
        <v>303</v>
      </c>
      <c r="B307" s="11" t="s">
        <v>602</v>
      </c>
      <c r="C307" s="17" t="s">
        <v>607</v>
      </c>
      <c r="D307" s="12" t="s">
        <v>608</v>
      </c>
      <c r="E307" s="13">
        <v>421019.06</v>
      </c>
      <c r="F307" s="13">
        <v>0</v>
      </c>
      <c r="G307" s="13">
        <f t="shared" si="17"/>
        <v>-133463.04201999999</v>
      </c>
      <c r="I307" s="14">
        <f t="shared" si="16"/>
        <v>287556.01798</v>
      </c>
      <c r="J307" s="860"/>
      <c r="K307" s="11"/>
    </row>
    <row r="308" spans="1:13" outlineLevel="2">
      <c r="A308" s="11">
        <f t="shared" si="13"/>
        <v>304</v>
      </c>
      <c r="B308" s="11" t="s">
        <v>602</v>
      </c>
      <c r="C308" s="17" t="s">
        <v>609</v>
      </c>
      <c r="D308" s="12" t="s">
        <v>610</v>
      </c>
      <c r="E308" s="13">
        <v>99834.58</v>
      </c>
      <c r="F308" s="13">
        <v>0</v>
      </c>
      <c r="G308" s="13">
        <f t="shared" si="17"/>
        <v>-31647.561860000002</v>
      </c>
      <c r="I308" s="14">
        <f t="shared" si="16"/>
        <v>68187.01814</v>
      </c>
      <c r="J308" s="28">
        <v>0.317</v>
      </c>
      <c r="K308" s="11"/>
      <c r="M308" s="15"/>
    </row>
    <row r="309" spans="1:13" outlineLevel="2">
      <c r="A309" s="11">
        <f t="shared" si="13"/>
        <v>305</v>
      </c>
      <c r="B309" s="11" t="s">
        <v>602</v>
      </c>
      <c r="C309" s="17" t="s">
        <v>611</v>
      </c>
      <c r="D309" s="12" t="s">
        <v>612</v>
      </c>
      <c r="E309" s="13">
        <v>324151.14</v>
      </c>
      <c r="F309" s="13">
        <v>0</v>
      </c>
      <c r="G309" s="13">
        <f t="shared" si="17"/>
        <v>-102755.91138000001</v>
      </c>
      <c r="I309" s="14">
        <f t="shared" si="16"/>
        <v>221395.22862000001</v>
      </c>
      <c r="K309" s="11"/>
      <c r="M309" s="15"/>
    </row>
    <row r="310" spans="1:13" outlineLevel="2">
      <c r="A310" s="11">
        <f t="shared" si="13"/>
        <v>306</v>
      </c>
      <c r="B310" s="11" t="s">
        <v>602</v>
      </c>
      <c r="C310" s="17" t="s">
        <v>613</v>
      </c>
      <c r="D310" s="12" t="s">
        <v>614</v>
      </c>
      <c r="E310" s="13">
        <v>255497.96</v>
      </c>
      <c r="F310" s="13">
        <v>0</v>
      </c>
      <c r="G310" s="13">
        <f t="shared" si="17"/>
        <v>-80992.853319999995</v>
      </c>
      <c r="I310" s="14">
        <f t="shared" si="16"/>
        <v>174505.10668</v>
      </c>
      <c r="K310" s="11"/>
      <c r="M310" s="15"/>
    </row>
    <row r="311" spans="1:13" outlineLevel="2">
      <c r="A311" s="11">
        <f t="shared" si="13"/>
        <v>307</v>
      </c>
      <c r="B311" s="11" t="s">
        <v>602</v>
      </c>
      <c r="C311" s="17" t="s">
        <v>615</v>
      </c>
      <c r="D311" s="12" t="s">
        <v>616</v>
      </c>
      <c r="E311" s="13">
        <v>196601.21</v>
      </c>
      <c r="F311" s="13">
        <v>0</v>
      </c>
      <c r="G311" s="13">
        <f t="shared" si="17"/>
        <v>-62322.583569999995</v>
      </c>
      <c r="I311" s="14">
        <f t="shared" si="16"/>
        <v>134278.62643</v>
      </c>
      <c r="K311" s="11"/>
      <c r="M311" s="15"/>
    </row>
    <row r="312" spans="1:13" outlineLevel="2">
      <c r="A312" s="11">
        <f t="shared" si="13"/>
        <v>308</v>
      </c>
      <c r="B312" s="11" t="s">
        <v>602</v>
      </c>
      <c r="C312" s="17" t="s">
        <v>617</v>
      </c>
      <c r="D312" s="12" t="s">
        <v>618</v>
      </c>
      <c r="E312" s="13">
        <v>10678.65</v>
      </c>
      <c r="F312" s="13">
        <v>0</v>
      </c>
      <c r="G312" s="13">
        <f t="shared" si="17"/>
        <v>-3385.1320499999997</v>
      </c>
      <c r="I312" s="14">
        <f t="shared" si="16"/>
        <v>7293.5179499999995</v>
      </c>
      <c r="K312" s="11"/>
      <c r="M312" s="15"/>
    </row>
    <row r="313" spans="1:13" outlineLevel="2">
      <c r="A313" s="11">
        <f t="shared" si="13"/>
        <v>309</v>
      </c>
      <c r="B313" s="11" t="s">
        <v>602</v>
      </c>
      <c r="C313" s="17" t="s">
        <v>619</v>
      </c>
      <c r="D313" s="12" t="s">
        <v>620</v>
      </c>
      <c r="E313" s="13">
        <v>113361.84</v>
      </c>
      <c r="F313" s="13">
        <v>0</v>
      </c>
      <c r="G313" s="13">
        <f t="shared" si="17"/>
        <v>-35935.703280000002</v>
      </c>
      <c r="I313" s="14">
        <f t="shared" si="16"/>
        <v>77426.136719999995</v>
      </c>
      <c r="K313" s="11"/>
      <c r="M313" s="15"/>
    </row>
    <row r="314" spans="1:13" outlineLevel="2">
      <c r="A314" s="11">
        <f t="shared" si="13"/>
        <v>310</v>
      </c>
      <c r="B314" s="11" t="s">
        <v>602</v>
      </c>
      <c r="C314" s="17" t="s">
        <v>621</v>
      </c>
      <c r="D314" s="12" t="s">
        <v>622</v>
      </c>
      <c r="E314" s="13">
        <v>568561.56000000006</v>
      </c>
      <c r="F314" s="13">
        <v>0</v>
      </c>
      <c r="G314" s="13">
        <f t="shared" si="17"/>
        <v>-180234.01452000003</v>
      </c>
      <c r="I314" s="14">
        <f t="shared" si="16"/>
        <v>388327.54548000003</v>
      </c>
      <c r="K314" s="11"/>
      <c r="M314" s="15"/>
    </row>
    <row r="315" spans="1:13" outlineLevel="2">
      <c r="A315" s="11">
        <f t="shared" si="13"/>
        <v>311</v>
      </c>
      <c r="B315" s="11" t="s">
        <v>602</v>
      </c>
      <c r="C315" s="17" t="s">
        <v>2336</v>
      </c>
      <c r="D315" s="12" t="s">
        <v>2337</v>
      </c>
      <c r="E315" s="13">
        <v>158945.60000000001</v>
      </c>
      <c r="G315" s="13">
        <v>-136495</v>
      </c>
      <c r="I315" s="14">
        <f t="shared" si="16"/>
        <v>22450.600000000006</v>
      </c>
      <c r="K315" s="11"/>
      <c r="M315" s="15"/>
    </row>
    <row r="316" spans="1:13" outlineLevel="2">
      <c r="A316" s="11">
        <f t="shared" si="13"/>
        <v>312</v>
      </c>
      <c r="B316" s="11" t="s">
        <v>602</v>
      </c>
      <c r="C316" s="17" t="s">
        <v>623</v>
      </c>
      <c r="D316" s="12" t="s">
        <v>624</v>
      </c>
      <c r="E316" s="13">
        <f>248434.53+148239.05</f>
        <v>396673.57999999996</v>
      </c>
      <c r="F316" s="13">
        <v>0</v>
      </c>
      <c r="G316" s="13">
        <f t="shared" si="17"/>
        <v>-125745.52485999999</v>
      </c>
      <c r="I316" s="14">
        <f t="shared" si="16"/>
        <v>270928.05513999995</v>
      </c>
      <c r="K316" s="11"/>
      <c r="M316" s="15"/>
    </row>
    <row r="317" spans="1:13" outlineLevel="2">
      <c r="A317" s="11">
        <f t="shared" si="13"/>
        <v>313</v>
      </c>
      <c r="B317" s="11" t="s">
        <v>602</v>
      </c>
      <c r="C317" s="17" t="s">
        <v>625</v>
      </c>
      <c r="D317" s="12" t="s">
        <v>626</v>
      </c>
      <c r="E317" s="13">
        <v>227955.26</v>
      </c>
      <c r="F317" s="13">
        <v>0</v>
      </c>
      <c r="G317" s="13">
        <f t="shared" si="17"/>
        <v>-72261.817420000007</v>
      </c>
      <c r="I317" s="14">
        <f t="shared" si="16"/>
        <v>155693.44258</v>
      </c>
      <c r="K317" s="11"/>
      <c r="M317" s="15"/>
    </row>
    <row r="318" spans="1:13" outlineLevel="2">
      <c r="A318" s="11">
        <f t="shared" si="13"/>
        <v>314</v>
      </c>
      <c r="B318" s="11" t="s">
        <v>602</v>
      </c>
      <c r="C318" s="17" t="s">
        <v>627</v>
      </c>
      <c r="D318" s="12" t="s">
        <v>628</v>
      </c>
      <c r="E318" s="13">
        <v>149227.87</v>
      </c>
      <c r="F318" s="13">
        <v>0</v>
      </c>
      <c r="G318" s="13">
        <f t="shared" si="17"/>
        <v>-47305.234790000002</v>
      </c>
      <c r="I318" s="14">
        <f t="shared" si="16"/>
        <v>101922.63520999999</v>
      </c>
      <c r="K318" s="11"/>
      <c r="M318" s="15"/>
    </row>
    <row r="319" spans="1:13" outlineLevel="2">
      <c r="A319" s="11">
        <f t="shared" si="13"/>
        <v>315</v>
      </c>
      <c r="B319" s="11" t="s">
        <v>602</v>
      </c>
      <c r="C319" s="17" t="s">
        <v>629</v>
      </c>
      <c r="D319" s="12" t="s">
        <v>630</v>
      </c>
      <c r="E319" s="13">
        <v>147129.10999999999</v>
      </c>
      <c r="F319" s="13">
        <v>0</v>
      </c>
      <c r="G319" s="13">
        <f t="shared" si="17"/>
        <v>-46639.92787</v>
      </c>
      <c r="I319" s="14">
        <f t="shared" si="16"/>
        <v>100489.18212999999</v>
      </c>
      <c r="K319" s="11"/>
      <c r="M319" s="15"/>
    </row>
    <row r="320" spans="1:13" outlineLevel="2">
      <c r="A320" s="11">
        <f t="shared" si="13"/>
        <v>316</v>
      </c>
      <c r="B320" s="11" t="s">
        <v>602</v>
      </c>
      <c r="C320" s="17" t="s">
        <v>631</v>
      </c>
      <c r="D320" s="12" t="s">
        <v>632</v>
      </c>
      <c r="E320" s="13">
        <v>11441.22</v>
      </c>
      <c r="F320" s="13">
        <v>0</v>
      </c>
      <c r="G320" s="13">
        <f t="shared" si="17"/>
        <v>-3626.8667399999999</v>
      </c>
      <c r="I320" s="14">
        <f t="shared" si="16"/>
        <v>7814.3532599999999</v>
      </c>
      <c r="K320" s="11"/>
      <c r="M320" s="15"/>
    </row>
    <row r="321" spans="1:13" outlineLevel="2">
      <c r="A321" s="11">
        <f t="shared" si="13"/>
        <v>317</v>
      </c>
      <c r="B321" s="11" t="s">
        <v>602</v>
      </c>
      <c r="C321" s="17" t="s">
        <v>633</v>
      </c>
      <c r="D321" s="12" t="s">
        <v>634</v>
      </c>
      <c r="E321" s="13">
        <v>92595.35</v>
      </c>
      <c r="F321" s="13">
        <v>0</v>
      </c>
      <c r="G321" s="13">
        <f t="shared" si="17"/>
        <v>-29352.725950000004</v>
      </c>
      <c r="I321" s="14">
        <f t="shared" si="16"/>
        <v>63242.624049999999</v>
      </c>
      <c r="K321" s="11"/>
      <c r="M321" s="15"/>
    </row>
    <row r="322" spans="1:13" outlineLevel="2">
      <c r="A322" s="11">
        <f t="shared" si="13"/>
        <v>318</v>
      </c>
      <c r="B322" s="11" t="s">
        <v>602</v>
      </c>
      <c r="C322" s="17" t="s">
        <v>635</v>
      </c>
      <c r="D322" s="12" t="s">
        <v>636</v>
      </c>
      <c r="E322" s="13">
        <v>107342.37</v>
      </c>
      <c r="F322" s="13">
        <v>0</v>
      </c>
      <c r="G322" s="13">
        <f>-(E322*$J$308)</f>
        <v>-34027.531289999999</v>
      </c>
      <c r="I322" s="14">
        <f t="shared" si="16"/>
        <v>73314.838709999996</v>
      </c>
      <c r="K322" s="11"/>
      <c r="M322" s="15"/>
    </row>
    <row r="323" spans="1:13" outlineLevel="2">
      <c r="A323" s="11">
        <f t="shared" si="13"/>
        <v>319</v>
      </c>
      <c r="B323" s="11" t="s">
        <v>602</v>
      </c>
      <c r="C323" s="17" t="s">
        <v>637</v>
      </c>
      <c r="D323" s="12" t="s">
        <v>638</v>
      </c>
      <c r="E323" s="13">
        <v>194708.81</v>
      </c>
      <c r="F323" s="13">
        <v>0</v>
      </c>
      <c r="G323" s="13">
        <f t="shared" si="17"/>
        <v>-61722.692770000001</v>
      </c>
      <c r="I323" s="14">
        <f t="shared" si="16"/>
        <v>132986.11723</v>
      </c>
      <c r="K323" s="11"/>
      <c r="M323" s="15"/>
    </row>
    <row r="324" spans="1:13" outlineLevel="2">
      <c r="A324" s="11">
        <f t="shared" si="13"/>
        <v>320</v>
      </c>
      <c r="B324" s="11" t="s">
        <v>602</v>
      </c>
      <c r="C324" s="17" t="s">
        <v>639</v>
      </c>
      <c r="D324" s="12" t="s">
        <v>640</v>
      </c>
      <c r="E324" s="13">
        <v>693235.96</v>
      </c>
      <c r="F324" s="13">
        <v>0</v>
      </c>
      <c r="G324" s="13">
        <f t="shared" si="17"/>
        <v>-219755.79931999999</v>
      </c>
      <c r="I324" s="14">
        <f t="shared" si="16"/>
        <v>473480.16067999997</v>
      </c>
      <c r="K324" s="11"/>
      <c r="M324" s="15"/>
    </row>
    <row r="325" spans="1:13" ht="13.5" customHeight="1" outlineLevel="2">
      <c r="A325" s="11">
        <f t="shared" si="13"/>
        <v>321</v>
      </c>
      <c r="B325" s="11" t="s">
        <v>602</v>
      </c>
      <c r="C325" s="17" t="s">
        <v>641</v>
      </c>
      <c r="D325" s="12" t="s">
        <v>642</v>
      </c>
      <c r="E325" s="13">
        <v>15666.79</v>
      </c>
      <c r="F325" s="13">
        <v>0</v>
      </c>
      <c r="G325" s="13">
        <f t="shared" si="17"/>
        <v>-4966.3724300000003</v>
      </c>
      <c r="I325" s="14">
        <f t="shared" si="16"/>
        <v>10700.417570000001</v>
      </c>
      <c r="K325" s="11"/>
      <c r="M325" s="15"/>
    </row>
    <row r="326" spans="1:13" outlineLevel="2">
      <c r="A326" s="11">
        <f t="shared" si="13"/>
        <v>322</v>
      </c>
      <c r="B326" s="11" t="s">
        <v>602</v>
      </c>
      <c r="C326" s="17" t="s">
        <v>2317</v>
      </c>
      <c r="D326" s="12" t="s">
        <v>643</v>
      </c>
      <c r="E326" s="13">
        <v>284048.28000000003</v>
      </c>
      <c r="F326" s="13">
        <v>0</v>
      </c>
      <c r="G326" s="13">
        <f t="shared" si="17"/>
        <v>-90043.304760000014</v>
      </c>
      <c r="I326" s="14">
        <f t="shared" si="16"/>
        <v>194004.97524</v>
      </c>
      <c r="K326" s="11"/>
      <c r="M326" s="15"/>
    </row>
    <row r="327" spans="1:13" outlineLevel="2">
      <c r="A327" s="11">
        <f t="shared" si="13"/>
        <v>323</v>
      </c>
      <c r="B327" s="11" t="s">
        <v>602</v>
      </c>
      <c r="C327" s="17" t="s">
        <v>644</v>
      </c>
      <c r="D327" s="12" t="s">
        <v>645</v>
      </c>
      <c r="E327" s="13">
        <v>15293.08</v>
      </c>
      <c r="F327" s="13">
        <v>0</v>
      </c>
      <c r="G327" s="13">
        <f t="shared" si="17"/>
        <v>-4847.9063599999999</v>
      </c>
      <c r="I327" s="14">
        <f t="shared" si="16"/>
        <v>10445.173640000001</v>
      </c>
      <c r="K327" s="11"/>
      <c r="M327" s="15"/>
    </row>
    <row r="328" spans="1:13" outlineLevel="2">
      <c r="A328" s="11">
        <f t="shared" si="13"/>
        <v>324</v>
      </c>
      <c r="B328" s="11" t="s">
        <v>602</v>
      </c>
      <c r="C328" s="17" t="s">
        <v>646</v>
      </c>
      <c r="D328" s="12" t="s">
        <v>647</v>
      </c>
      <c r="E328" s="13">
        <v>735399.34</v>
      </c>
      <c r="F328" s="13">
        <v>0</v>
      </c>
      <c r="G328" s="13">
        <f t="shared" si="17"/>
        <v>-233121.59078</v>
      </c>
      <c r="I328" s="14">
        <f t="shared" si="16"/>
        <v>502277.74922</v>
      </c>
      <c r="K328" s="11"/>
      <c r="M328" s="15"/>
    </row>
    <row r="329" spans="1:13" outlineLevel="2">
      <c r="A329" s="11">
        <f t="shared" si="13"/>
        <v>325</v>
      </c>
      <c r="B329" s="11" t="s">
        <v>602</v>
      </c>
      <c r="C329" s="17" t="s">
        <v>648</v>
      </c>
      <c r="D329" s="12" t="s">
        <v>649</v>
      </c>
      <c r="E329" s="13">
        <v>66872.3</v>
      </c>
      <c r="F329" s="13">
        <v>0</v>
      </c>
      <c r="G329" s="13">
        <f t="shared" si="17"/>
        <v>-21198.519100000001</v>
      </c>
      <c r="I329" s="14">
        <f t="shared" si="16"/>
        <v>45673.780899999998</v>
      </c>
      <c r="K329" s="11"/>
      <c r="M329" s="15"/>
    </row>
    <row r="330" spans="1:13" outlineLevel="2">
      <c r="A330" s="11">
        <f t="shared" si="13"/>
        <v>326</v>
      </c>
      <c r="B330" s="11" t="s">
        <v>602</v>
      </c>
      <c r="C330" s="17" t="s">
        <v>650</v>
      </c>
      <c r="D330" s="12" t="s">
        <v>651</v>
      </c>
      <c r="E330" s="13">
        <v>105280.95</v>
      </c>
      <c r="F330" s="13">
        <v>0</v>
      </c>
      <c r="G330" s="13">
        <f t="shared" si="17"/>
        <v>-33374.061150000001</v>
      </c>
      <c r="I330" s="14">
        <f t="shared" si="16"/>
        <v>71906.888849999988</v>
      </c>
      <c r="K330" s="11"/>
      <c r="M330" s="15"/>
    </row>
    <row r="331" spans="1:13" outlineLevel="2">
      <c r="A331" s="11">
        <f t="shared" si="13"/>
        <v>327</v>
      </c>
      <c r="B331" s="11" t="s">
        <v>602</v>
      </c>
      <c r="C331" s="17" t="s">
        <v>652</v>
      </c>
      <c r="D331" s="12" t="s">
        <v>653</v>
      </c>
      <c r="E331" s="13">
        <v>293101.19</v>
      </c>
      <c r="F331" s="13">
        <v>0</v>
      </c>
      <c r="G331" s="13">
        <f t="shared" si="17"/>
        <v>-92913.077229999995</v>
      </c>
      <c r="I331" s="14">
        <f t="shared" si="16"/>
        <v>200188.11277000001</v>
      </c>
      <c r="K331" s="11"/>
      <c r="M331" s="15"/>
    </row>
    <row r="332" spans="1:13" outlineLevel="2">
      <c r="A332" s="11">
        <f t="shared" ref="A332:A399" si="18">A331+1</f>
        <v>328</v>
      </c>
      <c r="B332" s="11" t="s">
        <v>602</v>
      </c>
      <c r="C332" s="17" t="s">
        <v>654</v>
      </c>
      <c r="D332" s="12" t="s">
        <v>655</v>
      </c>
      <c r="E332" s="13">
        <v>1159069.74</v>
      </c>
      <c r="F332" s="13">
        <v>0</v>
      </c>
      <c r="G332" s="13">
        <f t="shared" si="17"/>
        <v>-367425.10758000001</v>
      </c>
      <c r="I332" s="14">
        <f t="shared" si="16"/>
        <v>791644.63241999992</v>
      </c>
      <c r="K332" s="11"/>
      <c r="M332" s="15"/>
    </row>
    <row r="333" spans="1:13" outlineLevel="2">
      <c r="A333" s="11">
        <f t="shared" si="18"/>
        <v>329</v>
      </c>
      <c r="B333" s="11" t="s">
        <v>602</v>
      </c>
      <c r="C333" s="17" t="s">
        <v>656</v>
      </c>
      <c r="D333" s="12" t="s">
        <v>657</v>
      </c>
      <c r="E333" s="13">
        <v>1399.06</v>
      </c>
      <c r="F333" s="13">
        <v>0</v>
      </c>
      <c r="G333" s="13">
        <f t="shared" si="17"/>
        <v>-443.50202000000002</v>
      </c>
      <c r="I333" s="14">
        <f t="shared" si="16"/>
        <v>955.55797999999993</v>
      </c>
      <c r="K333" s="11"/>
    </row>
    <row r="334" spans="1:13" outlineLevel="2">
      <c r="A334" s="11">
        <f t="shared" si="18"/>
        <v>330</v>
      </c>
      <c r="B334" s="11" t="s">
        <v>602</v>
      </c>
      <c r="C334" s="17" t="s">
        <v>658</v>
      </c>
      <c r="D334" s="12" t="s">
        <v>659</v>
      </c>
      <c r="E334" s="13">
        <v>11106.51</v>
      </c>
      <c r="F334" s="13">
        <v>0</v>
      </c>
      <c r="G334" s="13">
        <f t="shared" si="17"/>
        <v>-3520.7636700000003</v>
      </c>
      <c r="I334" s="14">
        <f t="shared" si="16"/>
        <v>7585.7463299999999</v>
      </c>
      <c r="K334" s="11"/>
      <c r="M334" s="15"/>
    </row>
    <row r="335" spans="1:13" outlineLevel="2">
      <c r="A335" s="11">
        <f t="shared" si="18"/>
        <v>331</v>
      </c>
      <c r="B335" s="11" t="s">
        <v>602</v>
      </c>
      <c r="C335" s="17" t="s">
        <v>660</v>
      </c>
      <c r="D335" s="12" t="s">
        <v>661</v>
      </c>
      <c r="E335" s="13">
        <v>251028.92</v>
      </c>
      <c r="F335" s="13">
        <v>0</v>
      </c>
      <c r="G335" s="13">
        <f>-(E335*$J$308)</f>
        <v>-79576.16764</v>
      </c>
      <c r="I335" s="14">
        <f t="shared" si="16"/>
        <v>171452.75236000001</v>
      </c>
      <c r="K335" s="11"/>
      <c r="M335" s="15"/>
    </row>
    <row r="336" spans="1:13" outlineLevel="2">
      <c r="A336" s="11">
        <f t="shared" si="18"/>
        <v>332</v>
      </c>
      <c r="B336" s="11" t="s">
        <v>602</v>
      </c>
      <c r="C336" s="17" t="s">
        <v>662</v>
      </c>
      <c r="D336" s="12" t="s">
        <v>663</v>
      </c>
      <c r="E336" s="13">
        <v>52564.95</v>
      </c>
      <c r="F336" s="13">
        <v>0</v>
      </c>
      <c r="G336" s="13">
        <f t="shared" si="17"/>
        <v>-16663.08915</v>
      </c>
      <c r="I336" s="14">
        <f t="shared" si="16"/>
        <v>35901.860849999997</v>
      </c>
      <c r="K336" s="11"/>
      <c r="M336" s="15"/>
    </row>
    <row r="337" spans="1:13" outlineLevel="2">
      <c r="A337" s="11">
        <f t="shared" si="18"/>
        <v>333</v>
      </c>
      <c r="B337" s="11" t="s">
        <v>602</v>
      </c>
      <c r="C337" s="17" t="s">
        <v>664</v>
      </c>
      <c r="D337" s="12" t="s">
        <v>665</v>
      </c>
      <c r="E337" s="13">
        <v>1926</v>
      </c>
      <c r="F337" s="13">
        <v>0</v>
      </c>
      <c r="G337" s="13">
        <f t="shared" si="17"/>
        <v>-610.54200000000003</v>
      </c>
      <c r="I337" s="14">
        <f t="shared" si="16"/>
        <v>1315.4580000000001</v>
      </c>
      <c r="K337" s="11"/>
      <c r="M337" s="15"/>
    </row>
    <row r="338" spans="1:13" outlineLevel="2">
      <c r="A338" s="11">
        <f t="shared" si="18"/>
        <v>334</v>
      </c>
      <c r="B338" s="11" t="s">
        <v>602</v>
      </c>
      <c r="C338" s="17" t="s">
        <v>666</v>
      </c>
      <c r="D338" s="12" t="s">
        <v>667</v>
      </c>
      <c r="E338" s="13">
        <v>80620.039999999994</v>
      </c>
      <c r="F338" s="13">
        <v>0</v>
      </c>
      <c r="G338" s="13">
        <f t="shared" si="17"/>
        <v>-25556.552679999997</v>
      </c>
      <c r="I338" s="14">
        <f t="shared" si="16"/>
        <v>55063.48732</v>
      </c>
      <c r="K338" s="11"/>
      <c r="M338" s="15"/>
    </row>
    <row r="339" spans="1:13" outlineLevel="2">
      <c r="A339" s="11">
        <f t="shared" si="18"/>
        <v>335</v>
      </c>
      <c r="B339" s="11" t="s">
        <v>602</v>
      </c>
      <c r="C339" s="17" t="s">
        <v>668</v>
      </c>
      <c r="D339" s="12" t="s">
        <v>669</v>
      </c>
      <c r="E339" s="13">
        <v>63659.87</v>
      </c>
      <c r="F339" s="13">
        <v>0</v>
      </c>
      <c r="G339" s="13">
        <f t="shared" si="17"/>
        <v>-20180.178790000002</v>
      </c>
      <c r="I339" s="14">
        <f t="shared" si="16"/>
        <v>43479.691210000005</v>
      </c>
      <c r="K339" s="11"/>
      <c r="M339" s="15"/>
    </row>
    <row r="340" spans="1:13" outlineLevel="2">
      <c r="A340" s="11">
        <f t="shared" si="18"/>
        <v>336</v>
      </c>
      <c r="B340" s="11" t="s">
        <v>602</v>
      </c>
      <c r="C340" s="17" t="s">
        <v>670</v>
      </c>
      <c r="D340" s="12" t="s">
        <v>671</v>
      </c>
      <c r="E340" s="13">
        <v>273047.09999999998</v>
      </c>
      <c r="F340" s="13">
        <v>0</v>
      </c>
      <c r="G340" s="13">
        <f t="shared" si="17"/>
        <v>-86555.930699999997</v>
      </c>
      <c r="I340" s="14">
        <f t="shared" si="16"/>
        <v>186491.16929999998</v>
      </c>
      <c r="K340" s="11"/>
      <c r="M340" s="15"/>
    </row>
    <row r="341" spans="1:13" outlineLevel="2">
      <c r="A341" s="11">
        <f t="shared" si="18"/>
        <v>337</v>
      </c>
      <c r="B341" s="11" t="s">
        <v>602</v>
      </c>
      <c r="C341" s="17" t="s">
        <v>672</v>
      </c>
      <c r="D341" s="12" t="s">
        <v>673</v>
      </c>
      <c r="E341" s="13">
        <v>518897.76</v>
      </c>
      <c r="F341" s="13">
        <v>0</v>
      </c>
      <c r="G341" s="13">
        <f t="shared" si="17"/>
        <v>-164490.58992</v>
      </c>
      <c r="I341" s="14">
        <f t="shared" si="16"/>
        <v>354407.17008000001</v>
      </c>
      <c r="K341" s="11"/>
      <c r="M341" s="15"/>
    </row>
    <row r="342" spans="1:13" outlineLevel="2">
      <c r="A342" s="11">
        <f t="shared" si="18"/>
        <v>338</v>
      </c>
      <c r="B342" s="11" t="s">
        <v>602</v>
      </c>
      <c r="C342" s="17" t="s">
        <v>674</v>
      </c>
      <c r="D342" s="12" t="s">
        <v>675</v>
      </c>
      <c r="E342" s="13">
        <v>882795.2</v>
      </c>
      <c r="F342" s="13">
        <v>0</v>
      </c>
      <c r="G342" s="13">
        <f t="shared" si="17"/>
        <v>-279846.0784</v>
      </c>
      <c r="I342" s="14">
        <f t="shared" si="16"/>
        <v>602949.12159999995</v>
      </c>
      <c r="K342" s="11"/>
      <c r="M342" s="15"/>
    </row>
    <row r="343" spans="1:13" outlineLevel="2">
      <c r="A343" s="11">
        <f t="shared" si="18"/>
        <v>339</v>
      </c>
      <c r="B343" s="11" t="s">
        <v>602</v>
      </c>
      <c r="C343" s="17" t="s">
        <v>676</v>
      </c>
      <c r="D343" s="12" t="s">
        <v>677</v>
      </c>
      <c r="E343" s="13">
        <v>399366.77</v>
      </c>
      <c r="F343" s="13">
        <v>0</v>
      </c>
      <c r="G343" s="13">
        <f t="shared" si="17"/>
        <v>-126599.26609</v>
      </c>
      <c r="I343" s="14">
        <f t="shared" si="16"/>
        <v>272767.50391000003</v>
      </c>
      <c r="K343" s="11"/>
      <c r="M343" s="15"/>
    </row>
    <row r="344" spans="1:13" outlineLevel="2">
      <c r="A344" s="11">
        <f t="shared" si="18"/>
        <v>340</v>
      </c>
      <c r="B344" s="11" t="s">
        <v>602</v>
      </c>
      <c r="C344" s="17" t="s">
        <v>678</v>
      </c>
      <c r="D344" s="12" t="s">
        <v>679</v>
      </c>
      <c r="E344" s="13">
        <v>79113.22</v>
      </c>
      <c r="F344" s="13">
        <v>0</v>
      </c>
      <c r="G344" s="13">
        <f t="shared" si="17"/>
        <v>-25078.890739999999</v>
      </c>
      <c r="I344" s="14">
        <f t="shared" si="16"/>
        <v>54034.329259999999</v>
      </c>
      <c r="K344" s="11"/>
      <c r="M344" s="15"/>
    </row>
    <row r="345" spans="1:13" outlineLevel="2">
      <c r="A345" s="11">
        <f t="shared" si="18"/>
        <v>341</v>
      </c>
      <c r="B345" s="11" t="s">
        <v>602</v>
      </c>
      <c r="C345" s="17" t="s">
        <v>680</v>
      </c>
      <c r="D345" s="12" t="s">
        <v>681</v>
      </c>
      <c r="E345" s="13">
        <v>1821.43</v>
      </c>
      <c r="F345" s="13">
        <v>0</v>
      </c>
      <c r="G345" s="13">
        <f t="shared" si="17"/>
        <v>-577.39331000000004</v>
      </c>
      <c r="I345" s="14">
        <f t="shared" si="16"/>
        <v>1244.0366899999999</v>
      </c>
      <c r="K345" s="11"/>
      <c r="M345" s="15"/>
    </row>
    <row r="346" spans="1:13" outlineLevel="2">
      <c r="A346" s="11">
        <f t="shared" si="18"/>
        <v>342</v>
      </c>
      <c r="B346" s="11" t="s">
        <v>602</v>
      </c>
      <c r="C346" s="17" t="s">
        <v>682</v>
      </c>
      <c r="D346" s="12" t="s">
        <v>683</v>
      </c>
      <c r="E346" s="13">
        <v>75189.87</v>
      </c>
      <c r="F346" s="13">
        <v>0</v>
      </c>
      <c r="G346" s="13">
        <f t="shared" si="17"/>
        <v>-23835.18879</v>
      </c>
      <c r="I346" s="14">
        <f t="shared" si="16"/>
        <v>51354.681209999995</v>
      </c>
      <c r="K346" s="11"/>
      <c r="M346" s="15"/>
    </row>
    <row r="347" spans="1:13" outlineLevel="2">
      <c r="A347" s="11">
        <f t="shared" si="18"/>
        <v>343</v>
      </c>
      <c r="B347" s="11" t="s">
        <v>602</v>
      </c>
      <c r="C347" s="17" t="s">
        <v>684</v>
      </c>
      <c r="D347" s="12" t="s">
        <v>685</v>
      </c>
      <c r="E347" s="13">
        <v>147040.89000000001</v>
      </c>
      <c r="F347" s="13">
        <v>0</v>
      </c>
      <c r="G347" s="13">
        <f t="shared" si="17"/>
        <v>-46611.962130000007</v>
      </c>
      <c r="I347" s="14">
        <f t="shared" si="16"/>
        <v>100428.92787000001</v>
      </c>
      <c r="K347" s="11"/>
      <c r="M347" s="15"/>
    </row>
    <row r="348" spans="1:13" outlineLevel="2">
      <c r="A348" s="11">
        <f t="shared" si="18"/>
        <v>344</v>
      </c>
      <c r="B348" s="11" t="s">
        <v>602</v>
      </c>
      <c r="C348" s="17" t="s">
        <v>686</v>
      </c>
      <c r="D348" s="12" t="s">
        <v>687</v>
      </c>
      <c r="E348" s="13">
        <v>231893.37</v>
      </c>
      <c r="F348" s="13">
        <v>0</v>
      </c>
      <c r="G348" s="13">
        <f>-(E348*$J$308)</f>
        <v>-73510.19829</v>
      </c>
      <c r="I348" s="14">
        <f t="shared" si="16"/>
        <v>158383.17171</v>
      </c>
      <c r="K348" s="11"/>
      <c r="M348" s="15"/>
    </row>
    <row r="349" spans="1:13" outlineLevel="2">
      <c r="A349" s="11">
        <f t="shared" si="18"/>
        <v>345</v>
      </c>
      <c r="B349" s="11" t="s">
        <v>602</v>
      </c>
      <c r="C349" s="17" t="s">
        <v>688</v>
      </c>
      <c r="D349" s="12" t="s">
        <v>689</v>
      </c>
      <c r="E349" s="13">
        <v>165480.70000000001</v>
      </c>
      <c r="F349" s="13">
        <v>0</v>
      </c>
      <c r="G349" s="13">
        <f t="shared" si="17"/>
        <v>-52457.381900000008</v>
      </c>
      <c r="I349" s="14">
        <f t="shared" si="16"/>
        <v>113023.3181</v>
      </c>
      <c r="K349" s="11"/>
      <c r="M349" s="15"/>
    </row>
    <row r="350" spans="1:13" outlineLevel="2">
      <c r="A350" s="11">
        <f t="shared" si="18"/>
        <v>346</v>
      </c>
      <c r="B350" s="11" t="s">
        <v>602</v>
      </c>
      <c r="C350" s="17" t="s">
        <v>690</v>
      </c>
      <c r="D350" s="12" t="s">
        <v>691</v>
      </c>
      <c r="E350" s="13">
        <v>962213.42</v>
      </c>
      <c r="F350" s="13">
        <v>0</v>
      </c>
      <c r="G350" s="13">
        <f t="shared" si="17"/>
        <v>-305021.65414</v>
      </c>
      <c r="I350" s="14">
        <f t="shared" si="16"/>
        <v>657191.76586000004</v>
      </c>
      <c r="K350" s="11"/>
      <c r="M350" s="15"/>
    </row>
    <row r="351" spans="1:13" outlineLevel="2">
      <c r="A351" s="11">
        <f t="shared" si="18"/>
        <v>347</v>
      </c>
      <c r="B351" s="11" t="s">
        <v>602</v>
      </c>
      <c r="C351" s="17" t="s">
        <v>692</v>
      </c>
      <c r="D351" s="12" t="s">
        <v>693</v>
      </c>
      <c r="E351" s="13">
        <v>204548</v>
      </c>
      <c r="F351" s="13">
        <v>0</v>
      </c>
      <c r="G351" s="13">
        <f t="shared" si="17"/>
        <v>-64841.716</v>
      </c>
      <c r="I351" s="14">
        <f t="shared" si="16"/>
        <v>139706.28399999999</v>
      </c>
      <c r="K351" s="11"/>
      <c r="M351" s="15"/>
    </row>
    <row r="352" spans="1:13" outlineLevel="2">
      <c r="A352" s="11">
        <f t="shared" si="18"/>
        <v>348</v>
      </c>
      <c r="B352" s="11" t="s">
        <v>602</v>
      </c>
      <c r="C352" s="17" t="s">
        <v>694</v>
      </c>
      <c r="D352" s="12" t="s">
        <v>695</v>
      </c>
      <c r="E352" s="13">
        <v>99569.22</v>
      </c>
      <c r="F352" s="13">
        <v>0</v>
      </c>
      <c r="G352" s="13">
        <f t="shared" si="17"/>
        <v>-31563.442740000002</v>
      </c>
      <c r="I352" s="14">
        <f t="shared" si="16"/>
        <v>68005.777260000003</v>
      </c>
      <c r="K352" s="11"/>
      <c r="M352" s="15"/>
    </row>
    <row r="353" spans="1:13" outlineLevel="2">
      <c r="A353" s="11">
        <f t="shared" si="18"/>
        <v>349</v>
      </c>
      <c r="B353" s="11" t="s">
        <v>602</v>
      </c>
      <c r="C353" s="17" t="s">
        <v>696</v>
      </c>
      <c r="D353" s="12" t="s">
        <v>697</v>
      </c>
      <c r="E353" s="13">
        <v>2527</v>
      </c>
      <c r="F353" s="13">
        <v>0</v>
      </c>
      <c r="G353" s="13">
        <f t="shared" si="17"/>
        <v>-801.05899999999997</v>
      </c>
      <c r="I353" s="14">
        <f t="shared" si="16"/>
        <v>1725.941</v>
      </c>
      <c r="K353" s="11"/>
      <c r="M353" s="15"/>
    </row>
    <row r="354" spans="1:13" outlineLevel="2">
      <c r="A354" s="11">
        <f t="shared" si="18"/>
        <v>350</v>
      </c>
      <c r="B354" s="11" t="s">
        <v>602</v>
      </c>
      <c r="C354" s="17" t="s">
        <v>698</v>
      </c>
      <c r="D354" s="12" t="s">
        <v>699</v>
      </c>
      <c r="E354" s="13">
        <v>76407.48</v>
      </c>
      <c r="F354" s="13">
        <v>0</v>
      </c>
      <c r="G354" s="13">
        <f t="shared" si="17"/>
        <v>-24221.171159999998</v>
      </c>
      <c r="I354" s="14">
        <f t="shared" si="16"/>
        <v>52186.308839999998</v>
      </c>
      <c r="K354" s="11"/>
      <c r="M354" s="15"/>
    </row>
    <row r="355" spans="1:13" outlineLevel="2">
      <c r="A355" s="11">
        <f t="shared" si="18"/>
        <v>351</v>
      </c>
      <c r="B355" s="11" t="s">
        <v>602</v>
      </c>
      <c r="C355" s="17" t="s">
        <v>700</v>
      </c>
      <c r="D355" s="12" t="s">
        <v>701</v>
      </c>
      <c r="E355" s="13">
        <v>206549.66</v>
      </c>
      <c r="F355" s="13">
        <v>0</v>
      </c>
      <c r="G355" s="13">
        <f t="shared" si="17"/>
        <v>-65476.24222</v>
      </c>
      <c r="I355" s="14">
        <f t="shared" si="16"/>
        <v>141073.41778000002</v>
      </c>
      <c r="K355" s="11"/>
      <c r="M355" s="15"/>
    </row>
    <row r="356" spans="1:13" outlineLevel="2">
      <c r="A356" s="11">
        <f t="shared" si="18"/>
        <v>352</v>
      </c>
      <c r="B356" s="11" t="s">
        <v>602</v>
      </c>
      <c r="C356" s="17" t="s">
        <v>702</v>
      </c>
      <c r="D356" s="12" t="s">
        <v>703</v>
      </c>
      <c r="E356" s="13">
        <v>212943.86</v>
      </c>
      <c r="F356" s="13">
        <v>0</v>
      </c>
      <c r="G356" s="13">
        <f t="shared" si="17"/>
        <v>-67503.20362</v>
      </c>
      <c r="I356" s="14">
        <f t="shared" si="16"/>
        <v>145440.65638</v>
      </c>
      <c r="K356" s="11"/>
      <c r="M356" s="15"/>
    </row>
    <row r="357" spans="1:13" outlineLevel="2">
      <c r="A357" s="11">
        <f t="shared" si="18"/>
        <v>353</v>
      </c>
      <c r="B357" s="11" t="s">
        <v>602</v>
      </c>
      <c r="C357" s="17" t="s">
        <v>2442</v>
      </c>
      <c r="D357" s="12" t="s">
        <v>2443</v>
      </c>
      <c r="E357" s="13">
        <v>21003.3</v>
      </c>
      <c r="G357" s="13">
        <f t="shared" si="17"/>
        <v>-6658.0460999999996</v>
      </c>
      <c r="I357" s="14">
        <f t="shared" si="16"/>
        <v>14345.2539</v>
      </c>
      <c r="K357" s="11"/>
      <c r="M357" s="15"/>
    </row>
    <row r="358" spans="1:13" outlineLevel="2">
      <c r="A358" s="11">
        <f t="shared" si="18"/>
        <v>354</v>
      </c>
      <c r="B358" s="11" t="s">
        <v>602</v>
      </c>
      <c r="C358" s="17" t="s">
        <v>704</v>
      </c>
      <c r="D358" s="12" t="s">
        <v>705</v>
      </c>
      <c r="E358" s="13">
        <v>507269.59</v>
      </c>
      <c r="F358" s="13">
        <v>0</v>
      </c>
      <c r="G358" s="13">
        <f>-(E358*$J$308)</f>
        <v>-160804.46003000002</v>
      </c>
      <c r="I358" s="14">
        <f t="shared" si="16"/>
        <v>346465.12997000001</v>
      </c>
      <c r="K358" s="11"/>
      <c r="M358" s="15"/>
    </row>
    <row r="359" spans="1:13" outlineLevel="2">
      <c r="A359" s="11">
        <f t="shared" si="18"/>
        <v>355</v>
      </c>
      <c r="B359" s="11" t="s">
        <v>602</v>
      </c>
      <c r="C359" s="17" t="s">
        <v>706</v>
      </c>
      <c r="D359" s="12" t="s">
        <v>707</v>
      </c>
      <c r="E359" s="13">
        <v>68763.06</v>
      </c>
      <c r="F359" s="13">
        <v>0</v>
      </c>
      <c r="G359" s="13">
        <f t="shared" si="17"/>
        <v>-21797.890019999999</v>
      </c>
      <c r="I359" s="14">
        <f t="shared" si="16"/>
        <v>46965.169979999999</v>
      </c>
      <c r="K359" s="11"/>
      <c r="M359" s="15"/>
    </row>
    <row r="360" spans="1:13" outlineLevel="2">
      <c r="A360" s="11">
        <f t="shared" si="18"/>
        <v>356</v>
      </c>
      <c r="B360" s="11" t="s">
        <v>602</v>
      </c>
      <c r="C360" s="17" t="s">
        <v>708</v>
      </c>
      <c r="D360" s="12" t="s">
        <v>709</v>
      </c>
      <c r="E360" s="13">
        <v>114124.35</v>
      </c>
      <c r="F360" s="13">
        <v>0</v>
      </c>
      <c r="G360" s="13">
        <f t="shared" si="17"/>
        <v>-36177.418949999999</v>
      </c>
      <c r="I360" s="14">
        <f t="shared" si="16"/>
        <v>77946.931050000014</v>
      </c>
      <c r="K360" s="11"/>
      <c r="M360" s="15"/>
    </row>
    <row r="361" spans="1:13" outlineLevel="2">
      <c r="A361" s="11">
        <f t="shared" si="18"/>
        <v>357</v>
      </c>
      <c r="B361" s="11" t="s">
        <v>602</v>
      </c>
      <c r="C361" s="17" t="s">
        <v>477</v>
      </c>
      <c r="D361" s="12" t="s">
        <v>478</v>
      </c>
      <c r="E361" s="13">
        <v>130348.08</v>
      </c>
      <c r="F361" s="13">
        <v>0</v>
      </c>
      <c r="G361" s="13">
        <f t="shared" si="17"/>
        <v>-41320.341359999999</v>
      </c>
      <c r="I361" s="14">
        <f t="shared" si="16"/>
        <v>89027.738639999996</v>
      </c>
      <c r="K361" s="11"/>
      <c r="M361" s="15"/>
    </row>
    <row r="362" spans="1:13" outlineLevel="2">
      <c r="A362" s="11">
        <f t="shared" si="18"/>
        <v>358</v>
      </c>
      <c r="B362" s="11" t="s">
        <v>602</v>
      </c>
      <c r="C362" s="17" t="s">
        <v>710</v>
      </c>
      <c r="D362" s="12" t="s">
        <v>711</v>
      </c>
      <c r="E362" s="13">
        <v>326153.21000000002</v>
      </c>
      <c r="F362" s="13">
        <v>0</v>
      </c>
      <c r="G362" s="13">
        <f t="shared" si="17"/>
        <v>-103390.56757000001</v>
      </c>
      <c r="I362" s="14">
        <f t="shared" si="16"/>
        <v>222762.64243000001</v>
      </c>
      <c r="K362" s="11"/>
      <c r="M362" s="15"/>
    </row>
    <row r="363" spans="1:13" outlineLevel="2">
      <c r="A363" s="11">
        <f t="shared" si="18"/>
        <v>359</v>
      </c>
      <c r="B363" s="11" t="s">
        <v>602</v>
      </c>
      <c r="C363" s="17" t="s">
        <v>712</v>
      </c>
      <c r="D363" s="12" t="s">
        <v>713</v>
      </c>
      <c r="E363" s="13">
        <v>380212.21</v>
      </c>
      <c r="F363" s="13">
        <v>0</v>
      </c>
      <c r="G363" s="13">
        <f t="shared" si="17"/>
        <v>-120527.27057000001</v>
      </c>
      <c r="I363" s="14">
        <f t="shared" si="16"/>
        <v>259684.93943000003</v>
      </c>
      <c r="K363" s="11"/>
      <c r="M363" s="15"/>
    </row>
    <row r="364" spans="1:13" outlineLevel="2">
      <c r="A364" s="11">
        <f t="shared" si="18"/>
        <v>360</v>
      </c>
      <c r="B364" s="11" t="s">
        <v>602</v>
      </c>
      <c r="C364" s="17" t="s">
        <v>714</v>
      </c>
      <c r="D364" s="12" t="s">
        <v>715</v>
      </c>
      <c r="E364" s="13">
        <v>109068.74</v>
      </c>
      <c r="F364" s="13">
        <v>0</v>
      </c>
      <c r="G364" s="13">
        <f t="shared" si="17"/>
        <v>-34574.790580000001</v>
      </c>
      <c r="I364" s="14">
        <f t="shared" si="16"/>
        <v>74493.949420000004</v>
      </c>
      <c r="K364" s="11"/>
      <c r="M364" s="15"/>
    </row>
    <row r="365" spans="1:13" outlineLevel="2">
      <c r="A365" s="11">
        <f t="shared" si="18"/>
        <v>361</v>
      </c>
      <c r="B365" s="11" t="s">
        <v>602</v>
      </c>
      <c r="C365" s="17" t="s">
        <v>2444</v>
      </c>
      <c r="D365" s="12" t="s">
        <v>2445</v>
      </c>
      <c r="E365" s="13">
        <v>785698.39</v>
      </c>
      <c r="G365" s="13">
        <f t="shared" si="17"/>
        <v>-249066.38963000002</v>
      </c>
      <c r="I365" s="14">
        <f t="shared" si="16"/>
        <v>536632.00037000002</v>
      </c>
      <c r="K365" s="11"/>
      <c r="M365" s="15"/>
    </row>
    <row r="366" spans="1:13" outlineLevel="2">
      <c r="A366" s="11">
        <f t="shared" si="18"/>
        <v>362</v>
      </c>
      <c r="B366" s="11" t="s">
        <v>602</v>
      </c>
      <c r="C366" s="17" t="s">
        <v>716</v>
      </c>
      <c r="D366" s="12" t="s">
        <v>717</v>
      </c>
      <c r="E366" s="13">
        <v>99222.88</v>
      </c>
      <c r="F366" s="13">
        <v>0</v>
      </c>
      <c r="G366" s="13">
        <f t="shared" si="17"/>
        <v>-31453.652960000003</v>
      </c>
      <c r="I366" s="14">
        <f t="shared" si="16"/>
        <v>67769.227039999998</v>
      </c>
      <c r="K366" s="11"/>
      <c r="M366" s="15"/>
    </row>
    <row r="367" spans="1:13" outlineLevel="2">
      <c r="A367" s="11">
        <f t="shared" si="18"/>
        <v>363</v>
      </c>
      <c r="B367" s="11" t="s">
        <v>602</v>
      </c>
      <c r="C367" s="17" t="s">
        <v>718</v>
      </c>
      <c r="D367" s="12" t="s">
        <v>719</v>
      </c>
      <c r="E367" s="13">
        <v>301613.96999999997</v>
      </c>
      <c r="F367" s="13">
        <v>0</v>
      </c>
      <c r="G367" s="13">
        <f t="shared" si="17"/>
        <v>-95611.628489999988</v>
      </c>
      <c r="I367" s="14">
        <f t="shared" si="16"/>
        <v>206002.34151</v>
      </c>
      <c r="K367" s="11"/>
      <c r="M367" s="15"/>
    </row>
    <row r="368" spans="1:13" outlineLevel="2">
      <c r="A368" s="11">
        <f t="shared" si="18"/>
        <v>364</v>
      </c>
      <c r="B368" s="11" t="s">
        <v>602</v>
      </c>
      <c r="C368" s="17" t="s">
        <v>720</v>
      </c>
      <c r="D368" s="12" t="s">
        <v>721</v>
      </c>
      <c r="E368" s="13">
        <v>423094</v>
      </c>
      <c r="F368" s="13">
        <v>0</v>
      </c>
      <c r="G368" s="13">
        <f t="shared" si="17"/>
        <v>-134120.79800000001</v>
      </c>
      <c r="I368" s="14">
        <f t="shared" si="16"/>
        <v>288973.20199999999</v>
      </c>
      <c r="K368" s="11"/>
      <c r="M368" s="15"/>
    </row>
    <row r="369" spans="1:13" outlineLevel="2">
      <c r="A369" s="11">
        <f t="shared" si="18"/>
        <v>365</v>
      </c>
      <c r="B369" s="11" t="s">
        <v>602</v>
      </c>
      <c r="C369" s="17" t="s">
        <v>722</v>
      </c>
      <c r="D369" s="12" t="s">
        <v>723</v>
      </c>
      <c r="E369" s="13">
        <v>61203.72</v>
      </c>
      <c r="F369" s="13">
        <v>0</v>
      </c>
      <c r="G369" s="13">
        <f t="shared" si="17"/>
        <v>-19401.579239999999</v>
      </c>
      <c r="I369" s="14">
        <f t="shared" si="16"/>
        <v>41802.140760000002</v>
      </c>
      <c r="K369" s="11"/>
      <c r="M369" s="15"/>
    </row>
    <row r="370" spans="1:13" outlineLevel="2">
      <c r="A370" s="11">
        <f t="shared" si="18"/>
        <v>366</v>
      </c>
      <c r="B370" s="11" t="s">
        <v>602</v>
      </c>
      <c r="C370" s="17" t="s">
        <v>724</v>
      </c>
      <c r="D370" s="12" t="s">
        <v>725</v>
      </c>
      <c r="E370" s="13">
        <v>303953.87</v>
      </c>
      <c r="F370" s="13">
        <v>0</v>
      </c>
      <c r="G370" s="13">
        <f t="shared" si="17"/>
        <v>-96353.376789999995</v>
      </c>
      <c r="I370" s="14">
        <f t="shared" si="16"/>
        <v>207600.49320999999</v>
      </c>
      <c r="K370" s="11"/>
      <c r="M370" s="15"/>
    </row>
    <row r="371" spans="1:13" outlineLevel="2">
      <c r="A371" s="11">
        <f t="shared" si="18"/>
        <v>367</v>
      </c>
      <c r="B371" s="11" t="s">
        <v>602</v>
      </c>
      <c r="C371" s="17" t="s">
        <v>726</v>
      </c>
      <c r="D371" s="12" t="s">
        <v>727</v>
      </c>
      <c r="E371" s="13">
        <v>80798.66</v>
      </c>
      <c r="F371" s="13">
        <v>0</v>
      </c>
      <c r="G371" s="13">
        <f>-(E371*$J$308)</f>
        <v>-25613.175220000001</v>
      </c>
      <c r="I371" s="14">
        <f t="shared" si="16"/>
        <v>55185.484779999999</v>
      </c>
      <c r="K371" s="11"/>
      <c r="M371" s="15"/>
    </row>
    <row r="372" spans="1:13" outlineLevel="2">
      <c r="A372" s="11">
        <f t="shared" si="18"/>
        <v>368</v>
      </c>
      <c r="B372" s="11" t="s">
        <v>602</v>
      </c>
      <c r="C372" s="17" t="s">
        <v>728</v>
      </c>
      <c r="D372" s="12" t="s">
        <v>729</v>
      </c>
      <c r="E372" s="13">
        <v>148752.31</v>
      </c>
      <c r="F372" s="13">
        <v>0</v>
      </c>
      <c r="G372" s="13">
        <f t="shared" si="17"/>
        <v>-47154.48227</v>
      </c>
      <c r="I372" s="14">
        <f t="shared" si="16"/>
        <v>101597.82772999999</v>
      </c>
      <c r="K372" s="11"/>
      <c r="M372" s="15"/>
    </row>
    <row r="373" spans="1:13" outlineLevel="2">
      <c r="A373" s="11">
        <f t="shared" si="18"/>
        <v>369</v>
      </c>
      <c r="B373" s="11" t="s">
        <v>602</v>
      </c>
      <c r="C373" s="17" t="s">
        <v>730</v>
      </c>
      <c r="D373" s="12" t="s">
        <v>731</v>
      </c>
      <c r="E373" s="13">
        <v>315049.13</v>
      </c>
      <c r="F373" s="13">
        <v>0</v>
      </c>
      <c r="G373" s="13">
        <f t="shared" si="17"/>
        <v>-99870.574210000006</v>
      </c>
      <c r="I373" s="14">
        <f t="shared" ref="I373:I437" si="19">SUM(E373:G373)</f>
        <v>215178.55579000001</v>
      </c>
      <c r="K373" s="11"/>
      <c r="M373" s="15"/>
    </row>
    <row r="374" spans="1:13" outlineLevel="2">
      <c r="A374" s="11">
        <f t="shared" si="18"/>
        <v>370</v>
      </c>
      <c r="B374" s="11" t="s">
        <v>602</v>
      </c>
      <c r="C374" s="17" t="s">
        <v>732</v>
      </c>
      <c r="D374" s="12" t="s">
        <v>733</v>
      </c>
      <c r="E374" s="13">
        <v>368770.93</v>
      </c>
      <c r="F374" s="13">
        <v>0</v>
      </c>
      <c r="G374" s="13">
        <f t="shared" si="17"/>
        <v>-116900.38481</v>
      </c>
      <c r="I374" s="14">
        <f t="shared" si="19"/>
        <v>251870.54518999998</v>
      </c>
      <c r="K374" s="11"/>
      <c r="M374" s="15"/>
    </row>
    <row r="375" spans="1:13" outlineLevel="2">
      <c r="A375" s="11">
        <f t="shared" si="18"/>
        <v>371</v>
      </c>
      <c r="B375" s="11" t="s">
        <v>602</v>
      </c>
      <c r="C375" s="17" t="s">
        <v>734</v>
      </c>
      <c r="D375" s="12" t="s">
        <v>735</v>
      </c>
      <c r="E375" s="13">
        <v>272857.44</v>
      </c>
      <c r="F375" s="13">
        <v>0</v>
      </c>
      <c r="G375" s="13">
        <f t="shared" ref="G375:G397" si="20">-(E375*$J$308)</f>
        <v>-86495.808480000007</v>
      </c>
      <c r="I375" s="14">
        <f t="shared" si="19"/>
        <v>186361.63152</v>
      </c>
      <c r="K375" s="11"/>
      <c r="M375" s="15"/>
    </row>
    <row r="376" spans="1:13" outlineLevel="2">
      <c r="A376" s="11">
        <f t="shared" si="18"/>
        <v>372</v>
      </c>
      <c r="B376" s="11" t="s">
        <v>602</v>
      </c>
      <c r="C376" s="17" t="s">
        <v>736</v>
      </c>
      <c r="D376" s="12" t="s">
        <v>737</v>
      </c>
      <c r="E376" s="13">
        <v>23846.98</v>
      </c>
      <c r="F376" s="13">
        <v>0</v>
      </c>
      <c r="G376" s="13">
        <f t="shared" si="20"/>
        <v>-7559.4926599999999</v>
      </c>
      <c r="I376" s="14">
        <f t="shared" si="19"/>
        <v>16287.48734</v>
      </c>
      <c r="K376" s="11"/>
      <c r="M376" s="15"/>
    </row>
    <row r="377" spans="1:13" outlineLevel="2">
      <c r="A377" s="11">
        <f t="shared" si="18"/>
        <v>373</v>
      </c>
      <c r="B377" s="11" t="s">
        <v>602</v>
      </c>
      <c r="C377" s="17" t="s">
        <v>2331</v>
      </c>
      <c r="D377" s="12" t="s">
        <v>2330</v>
      </c>
      <c r="E377" s="13">
        <v>736184.44</v>
      </c>
      <c r="G377" s="13">
        <f t="shared" si="20"/>
        <v>-233370.46747999999</v>
      </c>
      <c r="I377" s="14">
        <f t="shared" si="19"/>
        <v>502813.97251999995</v>
      </c>
      <c r="K377" s="11"/>
      <c r="M377" s="15"/>
    </row>
    <row r="378" spans="1:13" outlineLevel="2">
      <c r="A378" s="11">
        <f t="shared" si="18"/>
        <v>374</v>
      </c>
      <c r="B378" s="11" t="s">
        <v>602</v>
      </c>
      <c r="C378" s="17" t="s">
        <v>738</v>
      </c>
      <c r="D378" s="12" t="s">
        <v>739</v>
      </c>
      <c r="E378" s="13">
        <v>74835.460000000006</v>
      </c>
      <c r="F378" s="13">
        <v>0</v>
      </c>
      <c r="G378" s="13">
        <f t="shared" si="20"/>
        <v>-23722.840820000001</v>
      </c>
      <c r="I378" s="14">
        <f t="shared" si="19"/>
        <v>51112.619180000009</v>
      </c>
      <c r="K378" s="11"/>
      <c r="M378" s="15"/>
    </row>
    <row r="379" spans="1:13" outlineLevel="2">
      <c r="A379" s="11">
        <f t="shared" si="18"/>
        <v>375</v>
      </c>
      <c r="B379" s="11" t="s">
        <v>602</v>
      </c>
      <c r="C379" s="17" t="s">
        <v>740</v>
      </c>
      <c r="D379" s="12" t="s">
        <v>741</v>
      </c>
      <c r="E379" s="13">
        <v>109706.08</v>
      </c>
      <c r="F379" s="13">
        <v>0</v>
      </c>
      <c r="G379" s="13">
        <f t="shared" si="20"/>
        <v>-34776.827360000003</v>
      </c>
      <c r="I379" s="14">
        <f t="shared" si="19"/>
        <v>74929.252639999992</v>
      </c>
      <c r="K379" s="11"/>
      <c r="M379" s="15"/>
    </row>
    <row r="380" spans="1:13" outlineLevel="2">
      <c r="A380" s="11">
        <f t="shared" si="18"/>
        <v>376</v>
      </c>
      <c r="B380" s="11" t="s">
        <v>602</v>
      </c>
      <c r="C380" s="17" t="s">
        <v>742</v>
      </c>
      <c r="D380" s="12" t="s">
        <v>743</v>
      </c>
      <c r="E380" s="13">
        <v>882588.11</v>
      </c>
      <c r="F380" s="13">
        <v>0</v>
      </c>
      <c r="G380" s="13">
        <f t="shared" si="20"/>
        <v>-279780.43086999998</v>
      </c>
      <c r="I380" s="14">
        <f t="shared" si="19"/>
        <v>602807.67913000006</v>
      </c>
      <c r="K380" s="11"/>
      <c r="M380" s="15"/>
    </row>
    <row r="381" spans="1:13" outlineLevel="2">
      <c r="A381" s="11">
        <f t="shared" si="18"/>
        <v>377</v>
      </c>
      <c r="B381" s="11" t="s">
        <v>602</v>
      </c>
      <c r="C381" s="17" t="s">
        <v>744</v>
      </c>
      <c r="D381" s="12" t="s">
        <v>745</v>
      </c>
      <c r="E381" s="13">
        <v>68891.070000000007</v>
      </c>
      <c r="F381" s="13">
        <v>0</v>
      </c>
      <c r="G381" s="13">
        <f t="shared" si="20"/>
        <v>-21838.469190000003</v>
      </c>
      <c r="I381" s="14">
        <f t="shared" si="19"/>
        <v>47052.600810000004</v>
      </c>
      <c r="K381" s="11"/>
      <c r="M381" s="15"/>
    </row>
    <row r="382" spans="1:13" outlineLevel="2">
      <c r="A382" s="11">
        <f t="shared" si="18"/>
        <v>378</v>
      </c>
      <c r="B382" s="11" t="s">
        <v>602</v>
      </c>
      <c r="C382" s="17" t="s">
        <v>746</v>
      </c>
      <c r="D382" s="12" t="s">
        <v>747</v>
      </c>
      <c r="E382" s="13">
        <v>302700.90999999997</v>
      </c>
      <c r="F382" s="13">
        <v>0</v>
      </c>
      <c r="G382" s="13">
        <f t="shared" si="20"/>
        <v>-95956.188469999994</v>
      </c>
      <c r="I382" s="14">
        <f t="shared" si="19"/>
        <v>206744.72152999998</v>
      </c>
      <c r="K382" s="11"/>
      <c r="M382" s="15"/>
    </row>
    <row r="383" spans="1:13" outlineLevel="2">
      <c r="A383" s="11">
        <f t="shared" si="18"/>
        <v>379</v>
      </c>
      <c r="B383" s="11" t="s">
        <v>602</v>
      </c>
      <c r="C383" s="17" t="s">
        <v>748</v>
      </c>
      <c r="D383" s="12" t="s">
        <v>749</v>
      </c>
      <c r="E383" s="13">
        <v>22883.759999999998</v>
      </c>
      <c r="F383" s="13">
        <v>0</v>
      </c>
      <c r="G383" s="13">
        <f t="shared" si="20"/>
        <v>-7254.1519199999993</v>
      </c>
      <c r="I383" s="14">
        <f t="shared" si="19"/>
        <v>15629.608079999998</v>
      </c>
      <c r="K383" s="11"/>
      <c r="M383" s="15"/>
    </row>
    <row r="384" spans="1:13" outlineLevel="2">
      <c r="A384" s="11">
        <f t="shared" si="18"/>
        <v>380</v>
      </c>
      <c r="B384" s="11" t="s">
        <v>602</v>
      </c>
      <c r="C384" s="17" t="s">
        <v>750</v>
      </c>
      <c r="D384" s="12" t="s">
        <v>751</v>
      </c>
      <c r="E384" s="13">
        <v>145723.24</v>
      </c>
      <c r="F384" s="13">
        <v>0</v>
      </c>
      <c r="G384" s="13">
        <f t="shared" si="20"/>
        <v>-46194.267079999998</v>
      </c>
      <c r="I384" s="14">
        <f t="shared" si="19"/>
        <v>99528.97292</v>
      </c>
      <c r="K384" s="11"/>
      <c r="M384" s="15"/>
    </row>
    <row r="385" spans="1:13" outlineLevel="2">
      <c r="A385" s="11">
        <f t="shared" si="18"/>
        <v>381</v>
      </c>
      <c r="B385" s="11" t="s">
        <v>602</v>
      </c>
      <c r="C385" s="17" t="s">
        <v>752</v>
      </c>
      <c r="D385" s="12" t="s">
        <v>753</v>
      </c>
      <c r="E385" s="13">
        <v>22896.21</v>
      </c>
      <c r="F385" s="13">
        <v>0</v>
      </c>
      <c r="G385" s="13">
        <f t="shared" si="20"/>
        <v>-7258.0985700000001</v>
      </c>
      <c r="I385" s="14">
        <f t="shared" si="19"/>
        <v>15638.111429999999</v>
      </c>
      <c r="K385" s="11"/>
      <c r="M385" s="15"/>
    </row>
    <row r="386" spans="1:13" outlineLevel="2">
      <c r="A386" s="11">
        <f t="shared" si="18"/>
        <v>382</v>
      </c>
      <c r="B386" s="11" t="s">
        <v>602</v>
      </c>
      <c r="C386" s="17" t="s">
        <v>754</v>
      </c>
      <c r="D386" s="12" t="s">
        <v>755</v>
      </c>
      <c r="E386" s="13">
        <v>201837.42</v>
      </c>
      <c r="F386" s="13">
        <v>0</v>
      </c>
      <c r="G386" s="13">
        <f t="shared" si="20"/>
        <v>-63982.462140000003</v>
      </c>
      <c r="I386" s="14">
        <f t="shared" si="19"/>
        <v>137854.95786000002</v>
      </c>
      <c r="K386" s="11"/>
      <c r="M386" s="15"/>
    </row>
    <row r="387" spans="1:13" outlineLevel="2">
      <c r="A387" s="11">
        <f t="shared" si="18"/>
        <v>383</v>
      </c>
      <c r="B387" s="11" t="s">
        <v>602</v>
      </c>
      <c r="C387" s="17" t="s">
        <v>756</v>
      </c>
      <c r="D387" s="12" t="s">
        <v>757</v>
      </c>
      <c r="E387" s="13">
        <v>66494.63</v>
      </c>
      <c r="F387" s="13">
        <v>0</v>
      </c>
      <c r="G387" s="13">
        <f t="shared" si="20"/>
        <v>-21078.797710000003</v>
      </c>
      <c r="I387" s="14">
        <f t="shared" si="19"/>
        <v>45415.832290000006</v>
      </c>
      <c r="K387" s="11"/>
      <c r="M387" s="15"/>
    </row>
    <row r="388" spans="1:13" outlineLevel="2">
      <c r="A388" s="11">
        <f t="shared" si="18"/>
        <v>384</v>
      </c>
      <c r="B388" s="11" t="s">
        <v>602</v>
      </c>
      <c r="C388" s="17" t="s">
        <v>758</v>
      </c>
      <c r="D388" s="12" t="s">
        <v>759</v>
      </c>
      <c r="E388" s="13">
        <v>231172.47</v>
      </c>
      <c r="F388" s="13">
        <v>0</v>
      </c>
      <c r="G388" s="13">
        <f t="shared" si="20"/>
        <v>-73281.672990000006</v>
      </c>
      <c r="I388" s="14">
        <f t="shared" si="19"/>
        <v>157890.79700999998</v>
      </c>
      <c r="K388" s="11"/>
      <c r="M388" s="15"/>
    </row>
    <row r="389" spans="1:13" outlineLevel="2">
      <c r="A389" s="11">
        <f t="shared" si="18"/>
        <v>385</v>
      </c>
      <c r="B389" s="11" t="s">
        <v>602</v>
      </c>
      <c r="C389" s="17" t="s">
        <v>760</v>
      </c>
      <c r="D389" s="12" t="s">
        <v>761</v>
      </c>
      <c r="E389" s="13">
        <v>210227.06</v>
      </c>
      <c r="F389" s="13">
        <v>0</v>
      </c>
      <c r="G389" s="13">
        <f t="shared" si="20"/>
        <v>-66641.978019999995</v>
      </c>
      <c r="I389" s="14">
        <f t="shared" si="19"/>
        <v>143585.08198000002</v>
      </c>
      <c r="K389" s="11"/>
      <c r="M389" s="15"/>
    </row>
    <row r="390" spans="1:13" outlineLevel="2">
      <c r="A390" s="11">
        <f t="shared" si="18"/>
        <v>386</v>
      </c>
      <c r="B390" s="11" t="s">
        <v>602</v>
      </c>
      <c r="C390" s="17" t="s">
        <v>762</v>
      </c>
      <c r="D390" s="12" t="s">
        <v>763</v>
      </c>
      <c r="E390" s="13">
        <v>768138.58</v>
      </c>
      <c r="F390" s="13">
        <v>0</v>
      </c>
      <c r="G390" s="13">
        <f t="shared" si="20"/>
        <v>-243499.92986</v>
      </c>
      <c r="I390" s="14">
        <f t="shared" si="19"/>
        <v>524638.65013999993</v>
      </c>
      <c r="K390" s="11"/>
      <c r="M390" s="15"/>
    </row>
    <row r="391" spans="1:13" outlineLevel="2">
      <c r="A391" s="11">
        <f t="shared" si="18"/>
        <v>387</v>
      </c>
      <c r="B391" s="11" t="s">
        <v>602</v>
      </c>
      <c r="C391" s="17" t="s">
        <v>764</v>
      </c>
      <c r="D391" s="12" t="s">
        <v>765</v>
      </c>
      <c r="E391" s="13">
        <v>90226.7</v>
      </c>
      <c r="F391" s="13">
        <v>0</v>
      </c>
      <c r="G391" s="13">
        <f t="shared" si="20"/>
        <v>-28601.8639</v>
      </c>
      <c r="I391" s="14">
        <f t="shared" si="19"/>
        <v>61624.8361</v>
      </c>
      <c r="K391" s="11"/>
      <c r="M391" s="15"/>
    </row>
    <row r="392" spans="1:13" outlineLevel="2">
      <c r="A392" s="11">
        <f t="shared" si="18"/>
        <v>388</v>
      </c>
      <c r="B392" s="11" t="s">
        <v>602</v>
      </c>
      <c r="C392" s="17" t="s">
        <v>766</v>
      </c>
      <c r="D392" s="12" t="s">
        <v>767</v>
      </c>
      <c r="E392" s="13">
        <v>46981.39</v>
      </c>
      <c r="F392" s="13">
        <v>0</v>
      </c>
      <c r="G392" s="13">
        <f t="shared" si="20"/>
        <v>-14893.100630000001</v>
      </c>
      <c r="I392" s="14">
        <f t="shared" si="19"/>
        <v>32088.289369999999</v>
      </c>
      <c r="K392" s="11"/>
      <c r="M392" s="15"/>
    </row>
    <row r="393" spans="1:13" outlineLevel="2">
      <c r="A393" s="11">
        <f t="shared" si="18"/>
        <v>389</v>
      </c>
      <c r="B393" s="11" t="s">
        <v>602</v>
      </c>
      <c r="C393" s="17" t="s">
        <v>768</v>
      </c>
      <c r="D393" s="12" t="s">
        <v>769</v>
      </c>
      <c r="E393" s="13">
        <v>267394.71999999997</v>
      </c>
      <c r="F393" s="13">
        <v>0</v>
      </c>
      <c r="G393" s="13">
        <f t="shared" si="20"/>
        <v>-84764.126239999998</v>
      </c>
      <c r="I393" s="14">
        <f t="shared" si="19"/>
        <v>182630.59375999996</v>
      </c>
      <c r="K393" s="11"/>
      <c r="M393" s="15"/>
    </row>
    <row r="394" spans="1:13" outlineLevel="2">
      <c r="A394" s="11">
        <f t="shared" si="18"/>
        <v>390</v>
      </c>
      <c r="B394" s="11" t="s">
        <v>602</v>
      </c>
      <c r="C394" s="17" t="s">
        <v>770</v>
      </c>
      <c r="D394" s="12" t="s">
        <v>771</v>
      </c>
      <c r="E394" s="13">
        <v>202225.56</v>
      </c>
      <c r="F394" s="13">
        <v>0</v>
      </c>
      <c r="G394" s="13">
        <f t="shared" si="20"/>
        <v>-64105.502520000002</v>
      </c>
      <c r="I394" s="14">
        <f t="shared" si="19"/>
        <v>138120.05747999999</v>
      </c>
      <c r="K394" s="11"/>
      <c r="M394" s="15"/>
    </row>
    <row r="395" spans="1:13" outlineLevel="2">
      <c r="A395" s="11">
        <f t="shared" si="18"/>
        <v>391</v>
      </c>
      <c r="B395" s="11" t="s">
        <v>602</v>
      </c>
      <c r="C395" s="17" t="s">
        <v>772</v>
      </c>
      <c r="D395" s="12" t="s">
        <v>773</v>
      </c>
      <c r="E395" s="13">
        <v>536504.47</v>
      </c>
      <c r="F395" s="13">
        <v>0</v>
      </c>
      <c r="G395" s="13">
        <f t="shared" si="20"/>
        <v>-170071.91699</v>
      </c>
      <c r="I395" s="14">
        <f t="shared" si="19"/>
        <v>366432.55300999997</v>
      </c>
      <c r="K395" s="11"/>
      <c r="M395" s="15"/>
    </row>
    <row r="396" spans="1:13" outlineLevel="2">
      <c r="A396" s="11">
        <f t="shared" si="18"/>
        <v>392</v>
      </c>
      <c r="B396" s="11" t="s">
        <v>602</v>
      </c>
      <c r="C396" s="17" t="s">
        <v>774</v>
      </c>
      <c r="D396" s="12" t="s">
        <v>775</v>
      </c>
      <c r="E396" s="13">
        <v>1051554.3700000001</v>
      </c>
      <c r="F396" s="13">
        <v>0</v>
      </c>
      <c r="G396" s="13">
        <f t="shared" si="20"/>
        <v>-333342.73529000004</v>
      </c>
      <c r="I396" s="14">
        <f t="shared" si="19"/>
        <v>718211.63471000013</v>
      </c>
      <c r="K396" s="11"/>
      <c r="M396" s="15"/>
    </row>
    <row r="397" spans="1:13" outlineLevel="2">
      <c r="A397" s="11">
        <f t="shared" si="18"/>
        <v>393</v>
      </c>
      <c r="B397" s="11" t="s">
        <v>602</v>
      </c>
      <c r="C397" s="17" t="s">
        <v>776</v>
      </c>
      <c r="D397" s="12" t="s">
        <v>777</v>
      </c>
      <c r="E397" s="13">
        <v>751512.5</v>
      </c>
      <c r="F397" s="13">
        <v>0</v>
      </c>
      <c r="G397" s="13">
        <f t="shared" si="20"/>
        <v>-238229.46249999999</v>
      </c>
      <c r="I397" s="14">
        <f t="shared" si="19"/>
        <v>513283.03749999998</v>
      </c>
      <c r="K397" s="11"/>
      <c r="M397" s="15"/>
    </row>
    <row r="398" spans="1:13" outlineLevel="2">
      <c r="A398" s="11">
        <f t="shared" si="18"/>
        <v>394</v>
      </c>
      <c r="B398" s="11" t="s">
        <v>602</v>
      </c>
      <c r="C398" s="17" t="s">
        <v>778</v>
      </c>
      <c r="D398" s="12" t="s">
        <v>779</v>
      </c>
      <c r="E398" s="13">
        <v>723452.46</v>
      </c>
      <c r="F398" s="13">
        <v>0</v>
      </c>
      <c r="G398" s="13">
        <f>-(E398*$J$308)</f>
        <v>-229334.42981999999</v>
      </c>
      <c r="I398" s="14">
        <f t="shared" si="19"/>
        <v>494118.03018</v>
      </c>
      <c r="K398" s="11"/>
      <c r="M398" s="15"/>
    </row>
    <row r="399" spans="1:13" outlineLevel="2">
      <c r="A399" s="11">
        <f t="shared" si="18"/>
        <v>395</v>
      </c>
      <c r="B399" s="11" t="s">
        <v>602</v>
      </c>
      <c r="C399" s="17" t="s">
        <v>780</v>
      </c>
      <c r="D399" s="12" t="s">
        <v>781</v>
      </c>
      <c r="E399" s="13">
        <v>48470.16</v>
      </c>
      <c r="F399" s="13">
        <v>0</v>
      </c>
      <c r="G399" s="13">
        <f t="shared" ref="G399:G413" si="21">-(E399*$J$308)</f>
        <v>-15365.040720000001</v>
      </c>
      <c r="I399" s="14">
        <f t="shared" si="19"/>
        <v>33105.119279999999</v>
      </c>
      <c r="K399" s="11"/>
      <c r="M399" s="15"/>
    </row>
    <row r="400" spans="1:13" outlineLevel="2">
      <c r="A400" s="11">
        <f t="shared" ref="A400:A463" si="22">A399+1</f>
        <v>396</v>
      </c>
      <c r="B400" s="11" t="s">
        <v>602</v>
      </c>
      <c r="C400" s="17" t="s">
        <v>782</v>
      </c>
      <c r="D400" s="12" t="s">
        <v>783</v>
      </c>
      <c r="E400" s="13">
        <v>79073.789999999994</v>
      </c>
      <c r="F400" s="13">
        <v>0</v>
      </c>
      <c r="G400" s="13">
        <f t="shared" si="21"/>
        <v>-25066.39143</v>
      </c>
      <c r="I400" s="14">
        <f t="shared" si="19"/>
        <v>54007.39856999999</v>
      </c>
      <c r="K400" s="11"/>
      <c r="M400" s="15"/>
    </row>
    <row r="401" spans="1:13" outlineLevel="2">
      <c r="A401" s="11">
        <f t="shared" si="22"/>
        <v>397</v>
      </c>
      <c r="B401" s="11" t="s">
        <v>602</v>
      </c>
      <c r="C401" s="17" t="s">
        <v>2295</v>
      </c>
      <c r="D401" s="12" t="s">
        <v>784</v>
      </c>
      <c r="E401" s="13">
        <v>330604.18</v>
      </c>
      <c r="G401" s="13">
        <f t="shared" si="21"/>
        <v>-104801.52506</v>
      </c>
      <c r="I401" s="14">
        <f t="shared" si="19"/>
        <v>225802.65493999998</v>
      </c>
      <c r="K401" s="11"/>
      <c r="M401" s="15"/>
    </row>
    <row r="402" spans="1:13" outlineLevel="2">
      <c r="A402" s="11">
        <f t="shared" si="22"/>
        <v>398</v>
      </c>
      <c r="B402" s="11" t="s">
        <v>602</v>
      </c>
      <c r="C402" s="17" t="s">
        <v>785</v>
      </c>
      <c r="D402" s="12" t="s">
        <v>786</v>
      </c>
      <c r="E402" s="13">
        <v>54516.4</v>
      </c>
      <c r="F402" s="13">
        <v>0</v>
      </c>
      <c r="G402" s="13">
        <f t="shared" si="21"/>
        <v>-17281.698800000002</v>
      </c>
      <c r="I402" s="14">
        <f t="shared" si="19"/>
        <v>37234.701199999996</v>
      </c>
      <c r="K402" s="11"/>
      <c r="M402" s="15"/>
    </row>
    <row r="403" spans="1:13" outlineLevel="2">
      <c r="A403" s="11">
        <f t="shared" si="22"/>
        <v>399</v>
      </c>
      <c r="B403" s="11" t="s">
        <v>602</v>
      </c>
      <c r="C403" s="17" t="s">
        <v>787</v>
      </c>
      <c r="D403" s="12" t="s">
        <v>788</v>
      </c>
      <c r="E403" s="13">
        <v>32444.86</v>
      </c>
      <c r="F403" s="13">
        <v>0</v>
      </c>
      <c r="G403" s="13">
        <f t="shared" si="21"/>
        <v>-10285.020620000001</v>
      </c>
      <c r="I403" s="14">
        <f t="shared" si="19"/>
        <v>22159.839379999998</v>
      </c>
      <c r="K403" s="11"/>
      <c r="M403" s="15"/>
    </row>
    <row r="404" spans="1:13" outlineLevel="2">
      <c r="A404" s="11">
        <f t="shared" si="22"/>
        <v>400</v>
      </c>
      <c r="B404" s="11" t="s">
        <v>602</v>
      </c>
      <c r="C404" s="17" t="s">
        <v>789</v>
      </c>
      <c r="D404" s="12" t="s">
        <v>790</v>
      </c>
      <c r="E404" s="13">
        <v>793844.24</v>
      </c>
      <c r="F404" s="13">
        <v>0</v>
      </c>
      <c r="G404" s="13">
        <f t="shared" si="21"/>
        <v>-251648.62408000001</v>
      </c>
      <c r="I404" s="14">
        <f t="shared" si="19"/>
        <v>542195.61592000001</v>
      </c>
      <c r="K404" s="11"/>
      <c r="M404" s="15"/>
    </row>
    <row r="405" spans="1:13" outlineLevel="2">
      <c r="A405" s="11">
        <f t="shared" si="22"/>
        <v>401</v>
      </c>
      <c r="B405" s="11" t="s">
        <v>602</v>
      </c>
      <c r="C405" s="17" t="s">
        <v>791</v>
      </c>
      <c r="D405" s="12" t="s">
        <v>792</v>
      </c>
      <c r="E405" s="13">
        <v>69987.59</v>
      </c>
      <c r="F405" s="13">
        <v>0</v>
      </c>
      <c r="G405" s="13">
        <f t="shared" si="21"/>
        <v>-22186.066029999998</v>
      </c>
      <c r="I405" s="14">
        <f t="shared" si="19"/>
        <v>47801.523969999995</v>
      </c>
      <c r="K405" s="11"/>
      <c r="M405" s="15"/>
    </row>
    <row r="406" spans="1:13" outlineLevel="2">
      <c r="A406" s="11">
        <f t="shared" si="22"/>
        <v>402</v>
      </c>
      <c r="B406" s="11" t="s">
        <v>602</v>
      </c>
      <c r="C406" s="17" t="s">
        <v>793</v>
      </c>
      <c r="D406" s="12" t="s">
        <v>794</v>
      </c>
      <c r="E406" s="13">
        <v>172792.24</v>
      </c>
      <c r="F406" s="13">
        <v>0</v>
      </c>
      <c r="G406" s="13">
        <f t="shared" si="21"/>
        <v>-54775.140079999997</v>
      </c>
      <c r="I406" s="14">
        <f t="shared" si="19"/>
        <v>118017.09991999999</v>
      </c>
      <c r="K406" s="11"/>
      <c r="M406" s="15"/>
    </row>
    <row r="407" spans="1:13" outlineLevel="2">
      <c r="A407" s="11">
        <f t="shared" si="22"/>
        <v>403</v>
      </c>
      <c r="B407" s="11" t="s">
        <v>602</v>
      </c>
      <c r="C407" s="17" t="s">
        <v>795</v>
      </c>
      <c r="D407" s="12" t="s">
        <v>796</v>
      </c>
      <c r="E407" s="13">
        <v>300728.23</v>
      </c>
      <c r="F407" s="13">
        <v>0</v>
      </c>
      <c r="G407" s="13">
        <f t="shared" si="21"/>
        <v>-95330.848910000001</v>
      </c>
      <c r="I407" s="14">
        <f t="shared" si="19"/>
        <v>205397.38108999998</v>
      </c>
      <c r="K407" s="11"/>
      <c r="M407" s="15"/>
    </row>
    <row r="408" spans="1:13" outlineLevel="2">
      <c r="A408" s="11">
        <f t="shared" si="22"/>
        <v>404</v>
      </c>
      <c r="B408" s="11" t="s">
        <v>602</v>
      </c>
      <c r="C408" s="17" t="s">
        <v>797</v>
      </c>
      <c r="D408" s="12" t="s">
        <v>798</v>
      </c>
      <c r="E408" s="13">
        <v>196623.63</v>
      </c>
      <c r="F408" s="13">
        <v>0</v>
      </c>
      <c r="G408" s="13">
        <f t="shared" si="21"/>
        <v>-62329.690710000003</v>
      </c>
      <c r="I408" s="14">
        <f t="shared" si="19"/>
        <v>134293.93929000001</v>
      </c>
      <c r="K408" s="11"/>
      <c r="M408" s="15"/>
    </row>
    <row r="409" spans="1:13" outlineLevel="2">
      <c r="A409" s="11">
        <f t="shared" si="22"/>
        <v>405</v>
      </c>
      <c r="B409" s="11" t="s">
        <v>602</v>
      </c>
      <c r="C409" s="17" t="s">
        <v>799</v>
      </c>
      <c r="D409" s="12" t="s">
        <v>800</v>
      </c>
      <c r="E409" s="13">
        <v>516514.5</v>
      </c>
      <c r="F409" s="13">
        <v>0</v>
      </c>
      <c r="G409" s="13">
        <f t="shared" si="21"/>
        <v>-163735.09650000001</v>
      </c>
      <c r="I409" s="14">
        <f t="shared" si="19"/>
        <v>352779.40350000001</v>
      </c>
      <c r="K409" s="11"/>
      <c r="M409" s="15"/>
    </row>
    <row r="410" spans="1:13" outlineLevel="2">
      <c r="A410" s="11">
        <f t="shared" si="22"/>
        <v>406</v>
      </c>
      <c r="B410" s="11" t="s">
        <v>602</v>
      </c>
      <c r="C410" s="17" t="s">
        <v>801</v>
      </c>
      <c r="D410" s="12" t="s">
        <v>802</v>
      </c>
      <c r="E410" s="13">
        <v>15011.61</v>
      </c>
      <c r="F410" s="13">
        <v>0</v>
      </c>
      <c r="G410" s="13">
        <f t="shared" si="21"/>
        <v>-4758.68037</v>
      </c>
      <c r="I410" s="14">
        <f t="shared" si="19"/>
        <v>10252.929630000001</v>
      </c>
      <c r="K410" s="11"/>
      <c r="M410" s="15"/>
    </row>
    <row r="411" spans="1:13" outlineLevel="2">
      <c r="A411" s="11">
        <f t="shared" si="22"/>
        <v>407</v>
      </c>
      <c r="B411" s="11" t="s">
        <v>602</v>
      </c>
      <c r="C411" s="17" t="s">
        <v>803</v>
      </c>
      <c r="D411" s="12" t="s">
        <v>804</v>
      </c>
      <c r="E411" s="13">
        <v>125057.06</v>
      </c>
      <c r="F411" s="13">
        <v>0</v>
      </c>
      <c r="G411" s="13">
        <f t="shared" si="21"/>
        <v>-39643.088020000003</v>
      </c>
      <c r="I411" s="14">
        <f t="shared" si="19"/>
        <v>85413.971980000002</v>
      </c>
      <c r="K411" s="11"/>
      <c r="M411" s="15"/>
    </row>
    <row r="412" spans="1:13" outlineLevel="2">
      <c r="A412" s="11">
        <f t="shared" si="22"/>
        <v>408</v>
      </c>
      <c r="B412" s="11" t="s">
        <v>602</v>
      </c>
      <c r="C412" s="17" t="s">
        <v>805</v>
      </c>
      <c r="D412" s="12" t="s">
        <v>806</v>
      </c>
      <c r="E412" s="13">
        <v>128241.53</v>
      </c>
      <c r="F412" s="13">
        <v>0</v>
      </c>
      <c r="G412" s="13">
        <f t="shared" si="21"/>
        <v>-40652.565009999998</v>
      </c>
      <c r="I412" s="14">
        <f t="shared" si="19"/>
        <v>87588.964990000008</v>
      </c>
      <c r="K412" s="11"/>
      <c r="M412" s="15"/>
    </row>
    <row r="413" spans="1:13" outlineLevel="2">
      <c r="A413" s="11">
        <f t="shared" si="22"/>
        <v>409</v>
      </c>
      <c r="B413" s="11" t="s">
        <v>602</v>
      </c>
      <c r="C413" s="17" t="s">
        <v>807</v>
      </c>
      <c r="D413" s="12" t="s">
        <v>808</v>
      </c>
      <c r="E413" s="13">
        <v>216330.02</v>
      </c>
      <c r="F413" s="13">
        <v>0</v>
      </c>
      <c r="G413" s="13">
        <f t="shared" si="21"/>
        <v>-68576.616339999993</v>
      </c>
      <c r="I413" s="14">
        <f t="shared" si="19"/>
        <v>147753.40366000001</v>
      </c>
      <c r="K413" s="11"/>
      <c r="M413" s="15"/>
    </row>
    <row r="414" spans="1:13" outlineLevel="2">
      <c r="A414" s="11">
        <f t="shared" si="22"/>
        <v>410</v>
      </c>
      <c r="B414" s="11" t="s">
        <v>602</v>
      </c>
      <c r="C414" s="17" t="s">
        <v>809</v>
      </c>
      <c r="D414" s="12" t="s">
        <v>810</v>
      </c>
      <c r="E414" s="13">
        <v>577873.56000000006</v>
      </c>
      <c r="F414" s="13">
        <v>0</v>
      </c>
      <c r="G414" s="13">
        <f>-(E414*$J$308)</f>
        <v>-183185.91852000001</v>
      </c>
      <c r="I414" s="14">
        <f t="shared" si="19"/>
        <v>394687.64148000005</v>
      </c>
      <c r="K414" s="11"/>
      <c r="M414" s="15"/>
    </row>
    <row r="415" spans="1:13" outlineLevel="2">
      <c r="A415" s="11">
        <f t="shared" si="22"/>
        <v>411</v>
      </c>
      <c r="B415" s="11" t="s">
        <v>602</v>
      </c>
      <c r="C415" s="17" t="s">
        <v>811</v>
      </c>
      <c r="D415" s="12" t="s">
        <v>812</v>
      </c>
      <c r="E415" s="13">
        <v>367629.89</v>
      </c>
      <c r="F415" s="13">
        <v>0</v>
      </c>
      <c r="G415" s="13">
        <f t="shared" ref="G415:G430" si="23">-(E415*$J$308)</f>
        <v>-116538.67513</v>
      </c>
      <c r="I415" s="14">
        <f t="shared" si="19"/>
        <v>251091.21487000003</v>
      </c>
      <c r="K415" s="11"/>
      <c r="M415" s="15"/>
    </row>
    <row r="416" spans="1:13" outlineLevel="2">
      <c r="A416" s="11">
        <f t="shared" si="22"/>
        <v>412</v>
      </c>
      <c r="B416" s="11" t="s">
        <v>602</v>
      </c>
      <c r="C416" s="17" t="s">
        <v>813</v>
      </c>
      <c r="D416" s="12" t="s">
        <v>814</v>
      </c>
      <c r="E416" s="13">
        <v>578065.68000000005</v>
      </c>
      <c r="F416" s="13">
        <v>0</v>
      </c>
      <c r="G416" s="13">
        <f t="shared" si="23"/>
        <v>-183246.82056000002</v>
      </c>
      <c r="I416" s="14">
        <f t="shared" si="19"/>
        <v>394818.85944000003</v>
      </c>
      <c r="K416" s="11"/>
      <c r="M416" s="15"/>
    </row>
    <row r="417" spans="1:13" outlineLevel="2">
      <c r="A417" s="11">
        <f t="shared" si="22"/>
        <v>413</v>
      </c>
      <c r="B417" s="11" t="s">
        <v>602</v>
      </c>
      <c r="C417" s="17" t="s">
        <v>815</v>
      </c>
      <c r="D417" s="12" t="s">
        <v>816</v>
      </c>
      <c r="E417" s="13">
        <v>16445.21</v>
      </c>
      <c r="F417" s="13">
        <v>0</v>
      </c>
      <c r="G417" s="13">
        <f t="shared" si="23"/>
        <v>-5213.1315699999996</v>
      </c>
      <c r="I417" s="14">
        <f t="shared" si="19"/>
        <v>11232.07843</v>
      </c>
      <c r="K417" s="11"/>
      <c r="M417" s="15"/>
    </row>
    <row r="418" spans="1:13" outlineLevel="2">
      <c r="A418" s="11">
        <f t="shared" si="22"/>
        <v>414</v>
      </c>
      <c r="B418" s="11" t="s">
        <v>602</v>
      </c>
      <c r="C418" s="17" t="s">
        <v>817</v>
      </c>
      <c r="D418" s="12" t="s">
        <v>818</v>
      </c>
      <c r="E418" s="13">
        <v>7684.53</v>
      </c>
      <c r="F418" s="13">
        <v>0</v>
      </c>
      <c r="G418" s="13">
        <f t="shared" si="23"/>
        <v>-2435.9960099999998</v>
      </c>
      <c r="I418" s="14">
        <f t="shared" si="19"/>
        <v>5248.5339899999999</v>
      </c>
      <c r="K418" s="11"/>
      <c r="M418" s="15"/>
    </row>
    <row r="419" spans="1:13" outlineLevel="2">
      <c r="A419" s="11">
        <f t="shared" si="22"/>
        <v>415</v>
      </c>
      <c r="B419" s="11" t="s">
        <v>602</v>
      </c>
      <c r="C419" s="17" t="s">
        <v>819</v>
      </c>
      <c r="D419" s="12" t="s">
        <v>820</v>
      </c>
      <c r="E419" s="13">
        <v>1646</v>
      </c>
      <c r="F419" s="13">
        <v>0</v>
      </c>
      <c r="G419" s="13">
        <f t="shared" si="23"/>
        <v>-521.78200000000004</v>
      </c>
      <c r="I419" s="14">
        <f t="shared" si="19"/>
        <v>1124.2179999999998</v>
      </c>
      <c r="K419" s="11"/>
      <c r="M419" s="15"/>
    </row>
    <row r="420" spans="1:13" outlineLevel="2">
      <c r="A420" s="11">
        <f t="shared" si="22"/>
        <v>416</v>
      </c>
      <c r="B420" s="11" t="s">
        <v>602</v>
      </c>
      <c r="C420" s="17" t="s">
        <v>821</v>
      </c>
      <c r="D420" s="12" t="s">
        <v>822</v>
      </c>
      <c r="E420" s="13">
        <v>107002.99</v>
      </c>
      <c r="F420" s="13">
        <v>0</v>
      </c>
      <c r="G420" s="13">
        <f t="shared" si="23"/>
        <v>-33919.947830000005</v>
      </c>
      <c r="I420" s="14">
        <f t="shared" si="19"/>
        <v>73083.042170000001</v>
      </c>
      <c r="K420" s="11"/>
      <c r="M420" s="15"/>
    </row>
    <row r="421" spans="1:13" outlineLevel="2">
      <c r="A421" s="11">
        <f t="shared" si="22"/>
        <v>417</v>
      </c>
      <c r="B421" s="11" t="s">
        <v>602</v>
      </c>
      <c r="C421" s="17" t="s">
        <v>823</v>
      </c>
      <c r="D421" s="12" t="s">
        <v>824</v>
      </c>
      <c r="E421" s="13">
        <v>83843.78</v>
      </c>
      <c r="F421" s="13">
        <v>0</v>
      </c>
      <c r="G421" s="13">
        <f t="shared" si="23"/>
        <v>-26578.47826</v>
      </c>
      <c r="I421" s="14">
        <f t="shared" si="19"/>
        <v>57265.301739999995</v>
      </c>
      <c r="K421" s="11"/>
      <c r="M421" s="15"/>
    </row>
    <row r="422" spans="1:13" outlineLevel="2">
      <c r="A422" s="11">
        <f t="shared" si="22"/>
        <v>418</v>
      </c>
      <c r="B422" s="11" t="s">
        <v>602</v>
      </c>
      <c r="C422" s="17" t="s">
        <v>825</v>
      </c>
      <c r="D422" s="12" t="s">
        <v>826</v>
      </c>
      <c r="E422" s="13">
        <v>530458.91</v>
      </c>
      <c r="F422" s="13">
        <v>0</v>
      </c>
      <c r="G422" s="13">
        <f t="shared" si="23"/>
        <v>-168155.47447000002</v>
      </c>
      <c r="I422" s="14">
        <f t="shared" si="19"/>
        <v>362303.43553000002</v>
      </c>
      <c r="K422" s="11"/>
      <c r="M422" s="15"/>
    </row>
    <row r="423" spans="1:13" outlineLevel="2">
      <c r="A423" s="11">
        <f t="shared" si="22"/>
        <v>419</v>
      </c>
      <c r="B423" s="11" t="s">
        <v>602</v>
      </c>
      <c r="C423" s="17" t="s">
        <v>827</v>
      </c>
      <c r="D423" s="12" t="s">
        <v>828</v>
      </c>
      <c r="E423" s="13">
        <v>186734.58</v>
      </c>
      <c r="F423" s="13">
        <v>0</v>
      </c>
      <c r="G423" s="13">
        <f t="shared" si="23"/>
        <v>-59194.861859999997</v>
      </c>
      <c r="I423" s="14">
        <f t="shared" si="19"/>
        <v>127539.71813999998</v>
      </c>
      <c r="K423" s="11"/>
      <c r="M423" s="15"/>
    </row>
    <row r="424" spans="1:13" outlineLevel="2">
      <c r="A424" s="11">
        <f t="shared" si="22"/>
        <v>420</v>
      </c>
      <c r="B424" s="11" t="s">
        <v>602</v>
      </c>
      <c r="C424" s="17" t="s">
        <v>829</v>
      </c>
      <c r="D424" s="12" t="s">
        <v>830</v>
      </c>
      <c r="E424" s="13">
        <v>3758.31</v>
      </c>
      <c r="F424" s="13">
        <v>0</v>
      </c>
      <c r="G424" s="13">
        <f t="shared" si="23"/>
        <v>-1191.38427</v>
      </c>
      <c r="I424" s="14">
        <f t="shared" si="19"/>
        <v>2566.9257299999999</v>
      </c>
      <c r="K424" s="11"/>
      <c r="M424" s="15"/>
    </row>
    <row r="425" spans="1:13" outlineLevel="2">
      <c r="A425" s="11">
        <f t="shared" si="22"/>
        <v>421</v>
      </c>
      <c r="B425" s="11" t="s">
        <v>602</v>
      </c>
      <c r="C425" s="17" t="s">
        <v>831</v>
      </c>
      <c r="D425" s="12" t="s">
        <v>832</v>
      </c>
      <c r="E425" s="13">
        <v>27264.31</v>
      </c>
      <c r="F425" s="13">
        <v>0</v>
      </c>
      <c r="G425" s="13">
        <f t="shared" si="23"/>
        <v>-8642.7862700000005</v>
      </c>
      <c r="I425" s="14">
        <f t="shared" si="19"/>
        <v>18621.523730000001</v>
      </c>
      <c r="K425" s="11"/>
      <c r="M425" s="15"/>
    </row>
    <row r="426" spans="1:13" outlineLevel="2">
      <c r="A426" s="11">
        <f t="shared" si="22"/>
        <v>422</v>
      </c>
      <c r="B426" s="11" t="s">
        <v>602</v>
      </c>
      <c r="C426" s="17" t="s">
        <v>833</v>
      </c>
      <c r="D426" s="12" t="s">
        <v>834</v>
      </c>
      <c r="E426" s="13">
        <v>4771.8900000000003</v>
      </c>
      <c r="F426" s="13">
        <v>0</v>
      </c>
      <c r="G426" s="13">
        <f t="shared" si="23"/>
        <v>-1512.6891300000002</v>
      </c>
      <c r="I426" s="14">
        <f t="shared" si="19"/>
        <v>3259.2008700000001</v>
      </c>
      <c r="K426" s="11"/>
      <c r="M426" s="15"/>
    </row>
    <row r="427" spans="1:13" outlineLevel="2">
      <c r="A427" s="11">
        <f t="shared" si="22"/>
        <v>423</v>
      </c>
      <c r="B427" s="11" t="s">
        <v>602</v>
      </c>
      <c r="C427" s="17" t="s">
        <v>835</v>
      </c>
      <c r="D427" s="12" t="s">
        <v>836</v>
      </c>
      <c r="E427" s="13">
        <v>340932.16</v>
      </c>
      <c r="F427" s="13">
        <v>0</v>
      </c>
      <c r="G427" s="13">
        <f t="shared" si="23"/>
        <v>-108075.49471999999</v>
      </c>
      <c r="I427" s="14">
        <f t="shared" si="19"/>
        <v>232856.66527999999</v>
      </c>
      <c r="K427" s="11"/>
      <c r="M427" s="15"/>
    </row>
    <row r="428" spans="1:13" outlineLevel="2">
      <c r="A428" s="11">
        <f t="shared" si="22"/>
        <v>424</v>
      </c>
      <c r="B428" s="11" t="s">
        <v>602</v>
      </c>
      <c r="C428" s="17" t="s">
        <v>837</v>
      </c>
      <c r="D428" s="12" t="s">
        <v>838</v>
      </c>
      <c r="E428" s="13">
        <v>161748.41</v>
      </c>
      <c r="F428" s="13">
        <v>0</v>
      </c>
      <c r="G428" s="13">
        <f t="shared" si="23"/>
        <v>-51274.245970000004</v>
      </c>
      <c r="I428" s="14">
        <f t="shared" si="19"/>
        <v>110474.16403</v>
      </c>
      <c r="K428" s="11"/>
      <c r="M428" s="15"/>
    </row>
    <row r="429" spans="1:13" outlineLevel="2">
      <c r="A429" s="11">
        <f t="shared" si="22"/>
        <v>425</v>
      </c>
      <c r="B429" s="11" t="s">
        <v>602</v>
      </c>
      <c r="C429" s="17" t="s">
        <v>839</v>
      </c>
      <c r="D429" s="12" t="s">
        <v>840</v>
      </c>
      <c r="E429" s="13">
        <v>166315.1</v>
      </c>
      <c r="F429" s="13">
        <v>0</v>
      </c>
      <c r="G429" s="13">
        <f t="shared" si="23"/>
        <v>-52721.886700000003</v>
      </c>
      <c r="I429" s="14">
        <f t="shared" si="19"/>
        <v>113593.2133</v>
      </c>
      <c r="K429" s="11"/>
      <c r="M429" s="15"/>
    </row>
    <row r="430" spans="1:13" outlineLevel="2">
      <c r="A430" s="11">
        <f t="shared" si="22"/>
        <v>426</v>
      </c>
      <c r="B430" s="11" t="s">
        <v>602</v>
      </c>
      <c r="C430" s="17" t="s">
        <v>841</v>
      </c>
      <c r="D430" s="12" t="s">
        <v>842</v>
      </c>
      <c r="E430" s="13">
        <v>267563.39</v>
      </c>
      <c r="F430" s="13">
        <v>0</v>
      </c>
      <c r="G430" s="13">
        <f t="shared" si="23"/>
        <v>-84817.594630000007</v>
      </c>
      <c r="I430" s="14">
        <f t="shared" si="19"/>
        <v>182745.79537000001</v>
      </c>
      <c r="K430" s="11"/>
      <c r="M430" s="15"/>
    </row>
    <row r="431" spans="1:13" outlineLevel="2">
      <c r="A431" s="11">
        <f t="shared" si="22"/>
        <v>427</v>
      </c>
      <c r="B431" s="11" t="s">
        <v>602</v>
      </c>
      <c r="C431" s="17" t="s">
        <v>843</v>
      </c>
      <c r="D431" s="12" t="s">
        <v>844</v>
      </c>
      <c r="E431" s="13">
        <v>226933.71</v>
      </c>
      <c r="F431" s="13">
        <v>0</v>
      </c>
      <c r="G431" s="13">
        <f>-(E431*$J$308)</f>
        <v>-71937.986069999999</v>
      </c>
      <c r="I431" s="14">
        <f t="shared" si="19"/>
        <v>154995.72392999998</v>
      </c>
      <c r="K431" s="11"/>
      <c r="M431" s="15"/>
    </row>
    <row r="432" spans="1:13" outlineLevel="2">
      <c r="A432" s="11">
        <f t="shared" si="22"/>
        <v>428</v>
      </c>
      <c r="B432" s="11" t="s">
        <v>602</v>
      </c>
      <c r="C432" s="17" t="s">
        <v>845</v>
      </c>
      <c r="D432" s="12" t="s">
        <v>846</v>
      </c>
      <c r="E432" s="13">
        <v>172921.71</v>
      </c>
      <c r="F432" s="13">
        <v>0</v>
      </c>
      <c r="G432" s="13">
        <f>-(E432*$J$308)</f>
        <v>-54816.182069999995</v>
      </c>
      <c r="I432" s="14">
        <f t="shared" si="19"/>
        <v>118105.52793</v>
      </c>
      <c r="K432" s="11"/>
      <c r="M432" s="15"/>
    </row>
    <row r="433" spans="1:13" outlineLevel="2">
      <c r="A433" s="11">
        <f t="shared" si="22"/>
        <v>429</v>
      </c>
      <c r="B433" s="11" t="s">
        <v>602</v>
      </c>
      <c r="C433" s="17" t="s">
        <v>847</v>
      </c>
      <c r="D433" s="12" t="s">
        <v>848</v>
      </c>
      <c r="E433" s="13">
        <v>396722.21</v>
      </c>
      <c r="F433" s="13">
        <v>0</v>
      </c>
      <c r="G433" s="13">
        <f t="shared" ref="G433:G443" si="24">-(E433*$J$308)</f>
        <v>-125760.94057000001</v>
      </c>
      <c r="I433" s="14">
        <f t="shared" si="19"/>
        <v>270961.26942999999</v>
      </c>
      <c r="K433" s="11"/>
      <c r="M433" s="15"/>
    </row>
    <row r="434" spans="1:13" outlineLevel="2">
      <c r="A434" s="11">
        <f t="shared" si="22"/>
        <v>430</v>
      </c>
      <c r="B434" s="11" t="s">
        <v>602</v>
      </c>
      <c r="C434" s="17" t="s">
        <v>849</v>
      </c>
      <c r="D434" s="12" t="s">
        <v>850</v>
      </c>
      <c r="E434" s="13">
        <v>1164374.43</v>
      </c>
      <c r="F434" s="13">
        <v>0</v>
      </c>
      <c r="G434" s="13">
        <f t="shared" si="24"/>
        <v>-369106.69430999999</v>
      </c>
      <c r="I434" s="14">
        <f t="shared" si="19"/>
        <v>795267.73569</v>
      </c>
      <c r="K434" s="11"/>
      <c r="M434" s="15"/>
    </row>
    <row r="435" spans="1:13" outlineLevel="2">
      <c r="A435" s="11">
        <f t="shared" si="22"/>
        <v>431</v>
      </c>
      <c r="B435" s="11" t="s">
        <v>602</v>
      </c>
      <c r="C435" s="17" t="s">
        <v>851</v>
      </c>
      <c r="D435" s="12" t="s">
        <v>852</v>
      </c>
      <c r="E435" s="13">
        <v>1237</v>
      </c>
      <c r="F435" s="13">
        <v>0</v>
      </c>
      <c r="G435" s="13">
        <f t="shared" si="24"/>
        <v>-392.12900000000002</v>
      </c>
      <c r="I435" s="14">
        <f t="shared" si="19"/>
        <v>844.87099999999998</v>
      </c>
      <c r="K435" s="11"/>
      <c r="M435" s="15"/>
    </row>
    <row r="436" spans="1:13" outlineLevel="2">
      <c r="A436" s="11">
        <f t="shared" si="22"/>
        <v>432</v>
      </c>
      <c r="B436" s="11" t="s">
        <v>602</v>
      </c>
      <c r="C436" s="17" t="s">
        <v>853</v>
      </c>
      <c r="D436" s="12" t="s">
        <v>854</v>
      </c>
      <c r="E436" s="13">
        <v>87666.99</v>
      </c>
      <c r="F436" s="13">
        <v>0</v>
      </c>
      <c r="G436" s="13">
        <f t="shared" si="24"/>
        <v>-27790.435830000002</v>
      </c>
      <c r="I436" s="14">
        <f t="shared" si="19"/>
        <v>59876.554170000003</v>
      </c>
      <c r="K436" s="11"/>
      <c r="M436" s="15"/>
    </row>
    <row r="437" spans="1:13" outlineLevel="2">
      <c r="A437" s="11">
        <f t="shared" si="22"/>
        <v>433</v>
      </c>
      <c r="B437" s="11" t="s">
        <v>602</v>
      </c>
      <c r="C437" s="17" t="s">
        <v>855</v>
      </c>
      <c r="D437" s="12" t="s">
        <v>856</v>
      </c>
      <c r="E437" s="13">
        <v>1052565.6299999999</v>
      </c>
      <c r="F437" s="13">
        <v>0</v>
      </c>
      <c r="G437" s="13">
        <f t="shared" si="24"/>
        <v>-333663.30471</v>
      </c>
      <c r="I437" s="14">
        <f t="shared" si="19"/>
        <v>718902.32528999983</v>
      </c>
      <c r="K437" s="11"/>
      <c r="M437" s="15"/>
    </row>
    <row r="438" spans="1:13" outlineLevel="2">
      <c r="A438" s="11">
        <f t="shared" si="22"/>
        <v>434</v>
      </c>
      <c r="B438" s="11" t="s">
        <v>602</v>
      </c>
      <c r="C438" s="17" t="s">
        <v>857</v>
      </c>
      <c r="D438" s="12" t="s">
        <v>858</v>
      </c>
      <c r="E438" s="13">
        <v>427162.42</v>
      </c>
      <c r="F438" s="13">
        <v>0</v>
      </c>
      <c r="G438" s="13">
        <f t="shared" si="24"/>
        <v>-135410.48713999998</v>
      </c>
      <c r="I438" s="14">
        <f t="shared" ref="I438:I463" si="25">SUM(E438:G438)</f>
        <v>291751.93286</v>
      </c>
      <c r="K438" s="11"/>
      <c r="M438" s="15"/>
    </row>
    <row r="439" spans="1:13" outlineLevel="2">
      <c r="A439" s="11">
        <f t="shared" si="22"/>
        <v>435</v>
      </c>
      <c r="B439" s="11" t="s">
        <v>602</v>
      </c>
      <c r="C439" s="17" t="s">
        <v>859</v>
      </c>
      <c r="D439" s="12" t="s">
        <v>860</v>
      </c>
      <c r="E439" s="13">
        <v>330717.93</v>
      </c>
      <c r="F439" s="13">
        <v>0</v>
      </c>
      <c r="G439" s="13">
        <f t="shared" si="24"/>
        <v>-104837.58381</v>
      </c>
      <c r="I439" s="14">
        <f t="shared" si="25"/>
        <v>225880.34619000001</v>
      </c>
      <c r="J439" s="29"/>
      <c r="K439" s="11"/>
      <c r="M439" s="15"/>
    </row>
    <row r="440" spans="1:13" outlineLevel="2">
      <c r="A440" s="11">
        <f t="shared" si="22"/>
        <v>436</v>
      </c>
      <c r="B440" s="11" t="s">
        <v>602</v>
      </c>
      <c r="C440" s="17" t="s">
        <v>861</v>
      </c>
      <c r="D440" s="12" t="s">
        <v>862</v>
      </c>
      <c r="E440" s="13">
        <v>1366</v>
      </c>
      <c r="F440" s="13">
        <v>0</v>
      </c>
      <c r="G440" s="13">
        <f t="shared" si="24"/>
        <v>-433.02199999999999</v>
      </c>
      <c r="I440" s="14">
        <f t="shared" si="25"/>
        <v>932.97800000000007</v>
      </c>
      <c r="J440" s="29"/>
      <c r="K440" s="11"/>
      <c r="M440" s="15"/>
    </row>
    <row r="441" spans="1:13" outlineLevel="2">
      <c r="A441" s="11">
        <f t="shared" si="22"/>
        <v>437</v>
      </c>
      <c r="B441" s="11" t="s">
        <v>602</v>
      </c>
      <c r="C441" s="17" t="s">
        <v>863</v>
      </c>
      <c r="D441" s="12" t="s">
        <v>864</v>
      </c>
      <c r="E441" s="13">
        <v>532434.87</v>
      </c>
      <c r="F441" s="13">
        <v>0</v>
      </c>
      <c r="G441" s="13">
        <f t="shared" si="24"/>
        <v>-168781.85378999999</v>
      </c>
      <c r="I441" s="14">
        <f t="shared" si="25"/>
        <v>363653.01621000003</v>
      </c>
      <c r="J441" s="29"/>
      <c r="K441" s="11"/>
      <c r="M441" s="15"/>
    </row>
    <row r="442" spans="1:13" outlineLevel="2">
      <c r="A442" s="11">
        <f t="shared" si="22"/>
        <v>438</v>
      </c>
      <c r="B442" s="11" t="s">
        <v>602</v>
      </c>
      <c r="C442" s="17" t="s">
        <v>865</v>
      </c>
      <c r="D442" s="12" t="s">
        <v>866</v>
      </c>
      <c r="E442" s="13">
        <v>549514.41</v>
      </c>
      <c r="F442" s="13">
        <v>0</v>
      </c>
      <c r="G442" s="13">
        <f t="shared" si="24"/>
        <v>-174196.06797</v>
      </c>
      <c r="I442" s="14">
        <f t="shared" si="25"/>
        <v>375318.34203000006</v>
      </c>
      <c r="J442" s="29"/>
      <c r="K442" s="11"/>
      <c r="M442" s="15"/>
    </row>
    <row r="443" spans="1:13" outlineLevel="2">
      <c r="A443" s="11">
        <f t="shared" si="22"/>
        <v>439</v>
      </c>
      <c r="B443" s="11" t="s">
        <v>602</v>
      </c>
      <c r="C443" s="17" t="s">
        <v>867</v>
      </c>
      <c r="D443" s="12" t="s">
        <v>868</v>
      </c>
      <c r="E443" s="13">
        <v>295982.49</v>
      </c>
      <c r="F443" s="13">
        <v>0</v>
      </c>
      <c r="G443" s="13">
        <f t="shared" si="24"/>
        <v>-93826.449330000003</v>
      </c>
      <c r="I443" s="14">
        <f t="shared" si="25"/>
        <v>202156.04066999999</v>
      </c>
      <c r="J443" s="29"/>
      <c r="K443" s="11"/>
      <c r="M443" s="15"/>
    </row>
    <row r="444" spans="1:13" outlineLevel="2">
      <c r="A444" s="11">
        <f t="shared" si="22"/>
        <v>440</v>
      </c>
      <c r="B444" s="11" t="s">
        <v>602</v>
      </c>
      <c r="C444" s="17" t="s">
        <v>869</v>
      </c>
      <c r="D444" s="12" t="s">
        <v>870</v>
      </c>
      <c r="E444" s="13">
        <v>1853</v>
      </c>
      <c r="F444" s="13">
        <v>0</v>
      </c>
      <c r="G444" s="13">
        <f>-(E444*$J$308)</f>
        <v>-587.40099999999995</v>
      </c>
      <c r="I444" s="14">
        <f t="shared" si="25"/>
        <v>1265.5990000000002</v>
      </c>
      <c r="J444" s="29"/>
      <c r="K444" s="11"/>
      <c r="M444" s="15"/>
    </row>
    <row r="445" spans="1:13" outlineLevel="2">
      <c r="A445" s="11">
        <f t="shared" si="22"/>
        <v>441</v>
      </c>
      <c r="B445" s="11" t="s">
        <v>602</v>
      </c>
      <c r="C445" s="17" t="s">
        <v>871</v>
      </c>
      <c r="D445" s="12" t="s">
        <v>872</v>
      </c>
      <c r="E445" s="13">
        <v>50053.17</v>
      </c>
      <c r="F445" s="13">
        <v>0</v>
      </c>
      <c r="G445" s="13">
        <f t="shared" ref="G445:G463" si="26">-(E445*$J$308)</f>
        <v>-15866.854890000001</v>
      </c>
      <c r="I445" s="14">
        <f t="shared" si="25"/>
        <v>34186.315109999996</v>
      </c>
      <c r="J445" s="29"/>
      <c r="K445" s="11"/>
      <c r="M445" s="15"/>
    </row>
    <row r="446" spans="1:13" outlineLevel="2">
      <c r="A446" s="11">
        <f t="shared" si="22"/>
        <v>442</v>
      </c>
      <c r="B446" s="11" t="s">
        <v>602</v>
      </c>
      <c r="C446" s="17" t="s">
        <v>873</v>
      </c>
      <c r="D446" s="12" t="s">
        <v>874</v>
      </c>
      <c r="E446" s="13">
        <v>469050.13</v>
      </c>
      <c r="F446" s="13">
        <v>0</v>
      </c>
      <c r="G446" s="13">
        <f t="shared" si="26"/>
        <v>-148688.89121</v>
      </c>
      <c r="I446" s="14">
        <f t="shared" si="25"/>
        <v>320361.23878999997</v>
      </c>
      <c r="J446" s="29"/>
      <c r="K446" s="11"/>
      <c r="M446" s="15"/>
    </row>
    <row r="447" spans="1:13" outlineLevel="2">
      <c r="A447" s="11">
        <f t="shared" si="22"/>
        <v>443</v>
      </c>
      <c r="B447" s="11" t="s">
        <v>602</v>
      </c>
      <c r="C447" s="17" t="s">
        <v>875</v>
      </c>
      <c r="D447" s="12" t="s">
        <v>876</v>
      </c>
      <c r="E447" s="13">
        <v>459861.27</v>
      </c>
      <c r="F447" s="13">
        <v>0</v>
      </c>
      <c r="G447" s="13">
        <f t="shared" si="26"/>
        <v>-145776.02259000001</v>
      </c>
      <c r="I447" s="14">
        <f t="shared" si="25"/>
        <v>314085.24741000001</v>
      </c>
      <c r="J447" s="29"/>
      <c r="K447" s="11"/>
      <c r="M447" s="15"/>
    </row>
    <row r="448" spans="1:13" outlineLevel="2">
      <c r="A448" s="11">
        <f t="shared" si="22"/>
        <v>444</v>
      </c>
      <c r="B448" s="11" t="s">
        <v>602</v>
      </c>
      <c r="C448" s="17" t="s">
        <v>877</v>
      </c>
      <c r="D448" s="12" t="s">
        <v>878</v>
      </c>
      <c r="E448" s="13">
        <v>8781.5400000000009</v>
      </c>
      <c r="F448" s="13">
        <v>0</v>
      </c>
      <c r="G448" s="13">
        <f t="shared" si="26"/>
        <v>-2783.7481800000005</v>
      </c>
      <c r="I448" s="14">
        <f t="shared" si="25"/>
        <v>5997.7918200000004</v>
      </c>
      <c r="J448" s="29"/>
      <c r="K448" s="11"/>
      <c r="M448" s="15"/>
    </row>
    <row r="449" spans="1:13" outlineLevel="2">
      <c r="A449" s="11">
        <f t="shared" si="22"/>
        <v>445</v>
      </c>
      <c r="B449" s="11" t="s">
        <v>602</v>
      </c>
      <c r="C449" s="17" t="s">
        <v>879</v>
      </c>
      <c r="D449" s="12" t="s">
        <v>880</v>
      </c>
      <c r="E449" s="13">
        <v>106095.81</v>
      </c>
      <c r="F449" s="13">
        <v>0</v>
      </c>
      <c r="G449" s="13">
        <f t="shared" si="26"/>
        <v>-33632.371769999998</v>
      </c>
      <c r="I449" s="14">
        <f t="shared" si="25"/>
        <v>72463.43823</v>
      </c>
      <c r="J449" s="29"/>
      <c r="K449" s="11"/>
      <c r="M449" s="15"/>
    </row>
    <row r="450" spans="1:13" outlineLevel="2">
      <c r="A450" s="11">
        <f t="shared" si="22"/>
        <v>446</v>
      </c>
      <c r="B450" s="11" t="s">
        <v>602</v>
      </c>
      <c r="C450" s="17" t="s">
        <v>881</v>
      </c>
      <c r="D450" s="12" t="s">
        <v>882</v>
      </c>
      <c r="E450" s="13">
        <v>216887.19</v>
      </c>
      <c r="F450" s="13">
        <v>0</v>
      </c>
      <c r="G450" s="13">
        <f t="shared" si="26"/>
        <v>-68753.239230000007</v>
      </c>
      <c r="I450" s="14">
        <f t="shared" si="25"/>
        <v>148133.95077</v>
      </c>
      <c r="J450" s="29"/>
      <c r="K450" s="11"/>
      <c r="M450" s="15"/>
    </row>
    <row r="451" spans="1:13" outlineLevel="2">
      <c r="A451" s="11">
        <f t="shared" si="22"/>
        <v>447</v>
      </c>
      <c r="B451" s="11" t="s">
        <v>602</v>
      </c>
      <c r="C451" s="17" t="s">
        <v>883</v>
      </c>
      <c r="D451" s="12" t="s">
        <v>884</v>
      </c>
      <c r="E451" s="13">
        <v>588189.96</v>
      </c>
      <c r="F451" s="13">
        <v>0</v>
      </c>
      <c r="G451" s="13">
        <f t="shared" si="26"/>
        <v>-186456.21732</v>
      </c>
      <c r="I451" s="14">
        <f t="shared" si="25"/>
        <v>401733.74267999997</v>
      </c>
      <c r="J451" s="29"/>
      <c r="K451" s="11"/>
      <c r="M451" s="15"/>
    </row>
    <row r="452" spans="1:13" outlineLevel="2">
      <c r="A452" s="11">
        <f t="shared" si="22"/>
        <v>448</v>
      </c>
      <c r="B452" s="11" t="s">
        <v>602</v>
      </c>
      <c r="C452" s="17" t="s">
        <v>885</v>
      </c>
      <c r="D452" s="12" t="s">
        <v>886</v>
      </c>
      <c r="E452" s="13">
        <v>1239694.3500000001</v>
      </c>
      <c r="F452" s="13">
        <v>0</v>
      </c>
      <c r="G452" s="13">
        <f t="shared" si="26"/>
        <v>-392983.10895000002</v>
      </c>
      <c r="I452" s="14">
        <f t="shared" si="25"/>
        <v>846711.24105000007</v>
      </c>
      <c r="J452" s="29"/>
      <c r="K452" s="11"/>
      <c r="M452" s="15"/>
    </row>
    <row r="453" spans="1:13" outlineLevel="2">
      <c r="A453" s="11">
        <f t="shared" si="22"/>
        <v>449</v>
      </c>
      <c r="B453" s="11" t="s">
        <v>602</v>
      </c>
      <c r="C453" s="17" t="s">
        <v>887</v>
      </c>
      <c r="D453" s="12" t="s">
        <v>888</v>
      </c>
      <c r="E453" s="13">
        <v>145955.72</v>
      </c>
      <c r="F453" s="13">
        <v>0</v>
      </c>
      <c r="G453" s="13">
        <f t="shared" si="26"/>
        <v>-46267.963239999997</v>
      </c>
      <c r="I453" s="14">
        <f t="shared" si="25"/>
        <v>99687.756760000004</v>
      </c>
      <c r="J453" s="29"/>
      <c r="K453" s="11"/>
      <c r="M453" s="15"/>
    </row>
    <row r="454" spans="1:13" outlineLevel="2">
      <c r="A454" s="11">
        <f t="shared" si="22"/>
        <v>450</v>
      </c>
      <c r="B454" s="11" t="s">
        <v>602</v>
      </c>
      <c r="C454" s="17" t="s">
        <v>889</v>
      </c>
      <c r="D454" s="12" t="s">
        <v>890</v>
      </c>
      <c r="E454" s="13">
        <v>98596.95</v>
      </c>
      <c r="F454" s="13">
        <v>0</v>
      </c>
      <c r="G454" s="13">
        <f t="shared" si="26"/>
        <v>-31255.23315</v>
      </c>
      <c r="I454" s="14">
        <f t="shared" si="25"/>
        <v>67341.716849999997</v>
      </c>
      <c r="J454" s="29"/>
      <c r="K454" s="11"/>
      <c r="M454" s="15"/>
    </row>
    <row r="455" spans="1:13" outlineLevel="2">
      <c r="A455" s="11">
        <f t="shared" si="22"/>
        <v>451</v>
      </c>
      <c r="B455" s="11" t="s">
        <v>602</v>
      </c>
      <c r="C455" s="17" t="s">
        <v>891</v>
      </c>
      <c r="D455" s="12" t="s">
        <v>892</v>
      </c>
      <c r="E455" s="13">
        <v>479342.66</v>
      </c>
      <c r="F455" s="13">
        <v>0</v>
      </c>
      <c r="G455" s="13">
        <f t="shared" si="26"/>
        <v>-151951.62321999998</v>
      </c>
      <c r="I455" s="14">
        <f t="shared" si="25"/>
        <v>327391.03677999997</v>
      </c>
      <c r="J455" s="29"/>
      <c r="K455" s="11"/>
      <c r="M455" s="15"/>
    </row>
    <row r="456" spans="1:13" outlineLevel="2">
      <c r="A456" s="11">
        <f t="shared" si="22"/>
        <v>452</v>
      </c>
      <c r="B456" s="11" t="s">
        <v>602</v>
      </c>
      <c r="C456" s="17" t="s">
        <v>893</v>
      </c>
      <c r="D456" s="12" t="s">
        <v>894</v>
      </c>
      <c r="E456" s="13">
        <v>721884.45</v>
      </c>
      <c r="F456" s="13">
        <v>0</v>
      </c>
      <c r="G456" s="13">
        <f t="shared" si="26"/>
        <v>-228837.37065</v>
      </c>
      <c r="I456" s="14">
        <f t="shared" si="25"/>
        <v>493047.07934999996</v>
      </c>
      <c r="J456" s="29"/>
      <c r="K456" s="11"/>
      <c r="M456" s="15"/>
    </row>
    <row r="457" spans="1:13" outlineLevel="2">
      <c r="A457" s="11">
        <f t="shared" si="22"/>
        <v>453</v>
      </c>
      <c r="B457" s="11" t="s">
        <v>602</v>
      </c>
      <c r="C457" s="17" t="s">
        <v>895</v>
      </c>
      <c r="D457" s="12" t="s">
        <v>896</v>
      </c>
      <c r="E457" s="13">
        <v>17781.11</v>
      </c>
      <c r="F457" s="13">
        <v>0</v>
      </c>
      <c r="G457" s="13">
        <f t="shared" si="26"/>
        <v>-5636.6118700000006</v>
      </c>
      <c r="I457" s="14">
        <f t="shared" si="25"/>
        <v>12144.49813</v>
      </c>
      <c r="K457" s="11"/>
      <c r="M457" s="15"/>
    </row>
    <row r="458" spans="1:13" outlineLevel="2">
      <c r="A458" s="11">
        <f t="shared" si="22"/>
        <v>454</v>
      </c>
      <c r="B458" s="11" t="s">
        <v>602</v>
      </c>
      <c r="C458" s="17" t="s">
        <v>897</v>
      </c>
      <c r="D458" s="12" t="s">
        <v>898</v>
      </c>
      <c r="E458" s="13">
        <v>682468.71</v>
      </c>
      <c r="F458" s="13">
        <v>0</v>
      </c>
      <c r="G458" s="13">
        <f t="shared" si="26"/>
        <v>-216342.58106999999</v>
      </c>
      <c r="I458" s="14">
        <f t="shared" si="25"/>
        <v>466126.12893000001</v>
      </c>
      <c r="K458" s="11"/>
      <c r="M458" s="15"/>
    </row>
    <row r="459" spans="1:13" outlineLevel="2">
      <c r="A459" s="11">
        <f t="shared" si="22"/>
        <v>455</v>
      </c>
      <c r="B459" s="11" t="s">
        <v>602</v>
      </c>
      <c r="C459" s="17" t="s">
        <v>899</v>
      </c>
      <c r="D459" s="12" t="s">
        <v>900</v>
      </c>
      <c r="E459" s="13">
        <v>19002.97</v>
      </c>
      <c r="F459" s="13">
        <v>0</v>
      </c>
      <c r="G459" s="13">
        <f t="shared" si="26"/>
        <v>-6023.9414900000002</v>
      </c>
      <c r="I459" s="14">
        <f t="shared" si="25"/>
        <v>12979.02851</v>
      </c>
      <c r="K459" s="11"/>
      <c r="M459" s="15"/>
    </row>
    <row r="460" spans="1:13" outlineLevel="2">
      <c r="A460" s="11">
        <f t="shared" si="22"/>
        <v>456</v>
      </c>
      <c r="B460" s="11" t="s">
        <v>602</v>
      </c>
      <c r="C460" s="17" t="s">
        <v>901</v>
      </c>
      <c r="D460" s="12" t="s">
        <v>902</v>
      </c>
      <c r="E460" s="13">
        <v>91987.25</v>
      </c>
      <c r="F460" s="13">
        <v>0</v>
      </c>
      <c r="G460" s="13">
        <f>-(E460*$J$308)</f>
        <v>-29159.95825</v>
      </c>
      <c r="I460" s="14">
        <f t="shared" si="25"/>
        <v>62827.291750000004</v>
      </c>
      <c r="J460" s="14"/>
      <c r="K460" s="11"/>
      <c r="L460" s="14"/>
      <c r="M460" s="14"/>
    </row>
    <row r="461" spans="1:13" outlineLevel="2">
      <c r="A461" s="11">
        <f t="shared" si="22"/>
        <v>457</v>
      </c>
      <c r="B461" s="11" t="s">
        <v>602</v>
      </c>
      <c r="C461" s="17" t="s">
        <v>2318</v>
      </c>
      <c r="D461" s="12" t="s">
        <v>903</v>
      </c>
      <c r="E461" s="13">
        <v>165594.23999999999</v>
      </c>
      <c r="F461" s="13">
        <v>0</v>
      </c>
      <c r="G461" s="13">
        <f t="shared" si="26"/>
        <v>-52493.374079999994</v>
      </c>
      <c r="I461" s="14">
        <f t="shared" si="25"/>
        <v>113100.86592</v>
      </c>
      <c r="J461" s="12"/>
      <c r="K461" s="11"/>
      <c r="M461" s="15"/>
    </row>
    <row r="462" spans="1:13" outlineLevel="2">
      <c r="A462" s="11">
        <f t="shared" si="22"/>
        <v>458</v>
      </c>
      <c r="B462" s="11" t="s">
        <v>602</v>
      </c>
      <c r="C462" s="17" t="s">
        <v>904</v>
      </c>
      <c r="D462" s="12" t="s">
        <v>905</v>
      </c>
      <c r="E462" s="13">
        <v>28279.89</v>
      </c>
      <c r="F462" s="13">
        <v>0</v>
      </c>
      <c r="G462" s="13">
        <f t="shared" si="26"/>
        <v>-8964.7251300000007</v>
      </c>
      <c r="I462" s="14">
        <f t="shared" si="25"/>
        <v>19315.164870000001</v>
      </c>
      <c r="J462" s="12"/>
      <c r="K462" s="11"/>
    </row>
    <row r="463" spans="1:13" outlineLevel="2">
      <c r="A463" s="11">
        <f t="shared" si="22"/>
        <v>459</v>
      </c>
      <c r="B463" s="11" t="s">
        <v>602</v>
      </c>
      <c r="C463" s="12" t="s">
        <v>2319</v>
      </c>
      <c r="D463" s="12" t="s">
        <v>906</v>
      </c>
      <c r="E463" s="13">
        <f>72507.65+150859.01</f>
        <v>223366.66</v>
      </c>
      <c r="F463" s="13">
        <v>0</v>
      </c>
      <c r="G463" s="13">
        <f t="shared" si="26"/>
        <v>-70807.231220000001</v>
      </c>
      <c r="I463" s="14">
        <f t="shared" si="25"/>
        <v>152559.42878000002</v>
      </c>
      <c r="J463" s="12"/>
      <c r="K463" s="11"/>
      <c r="M463" s="15"/>
    </row>
    <row r="464" spans="1:13" s="6" customFormat="1" ht="13.5" outlineLevel="1" thickBot="1">
      <c r="A464" s="11">
        <f t="shared" ref="A464:A503" si="27">A463+1</f>
        <v>460</v>
      </c>
      <c r="B464" s="19" t="s">
        <v>907</v>
      </c>
      <c r="C464" s="21"/>
      <c r="D464" s="21" t="s">
        <v>908</v>
      </c>
      <c r="E464" s="22">
        <f>SUBTOTAL(9,E305:E463)</f>
        <v>42029019.200000003</v>
      </c>
      <c r="F464" s="22">
        <f>SUBTOTAL(9,F305:F463)</f>
        <v>0</v>
      </c>
      <c r="G464" s="22">
        <f>SUBTOTAL(9,G305:G463)</f>
        <v>-13409308.331200005</v>
      </c>
      <c r="H464" s="22"/>
      <c r="I464" s="23">
        <f>SUBTOTAL(9,I305:I463)</f>
        <v>28619710.868800007</v>
      </c>
      <c r="K464" s="3"/>
      <c r="L464" s="3"/>
      <c r="M464" s="8"/>
    </row>
    <row r="465" spans="1:13" ht="13.5" outlineLevel="2" thickTop="1">
      <c r="A465" s="11">
        <f t="shared" si="27"/>
        <v>461</v>
      </c>
      <c r="B465" s="11" t="s">
        <v>909</v>
      </c>
      <c r="C465" s="17" t="s">
        <v>910</v>
      </c>
      <c r="D465" s="12" t="s">
        <v>911</v>
      </c>
      <c r="E465" s="13">
        <v>19890751.77</v>
      </c>
      <c r="F465" s="13">
        <v>0</v>
      </c>
      <c r="G465" s="13">
        <v>0</v>
      </c>
      <c r="I465" s="14">
        <f>SUM(E465:G465)</f>
        <v>19890751.77</v>
      </c>
      <c r="J465" s="12"/>
      <c r="K465" s="11"/>
      <c r="M465" s="15"/>
    </row>
    <row r="466" spans="1:13" outlineLevel="2">
      <c r="A466" s="11">
        <f t="shared" si="27"/>
        <v>462</v>
      </c>
      <c r="B466" s="11" t="s">
        <v>909</v>
      </c>
      <c r="C466" s="679" t="s">
        <v>910</v>
      </c>
      <c r="D466" s="12" t="s">
        <v>912</v>
      </c>
      <c r="E466" s="13">
        <v>3680368.76</v>
      </c>
      <c r="F466" s="13">
        <v>0</v>
      </c>
      <c r="G466" s="13">
        <v>0</v>
      </c>
      <c r="I466" s="14">
        <f>SUM(E466:G466)</f>
        <v>3680368.76</v>
      </c>
      <c r="J466" s="12"/>
      <c r="K466" s="11"/>
      <c r="M466" s="15"/>
    </row>
    <row r="467" spans="1:13" s="6" customFormat="1" ht="13.5" outlineLevel="1" thickBot="1">
      <c r="A467" s="11">
        <f t="shared" si="27"/>
        <v>463</v>
      </c>
      <c r="B467" s="19" t="s">
        <v>913</v>
      </c>
      <c r="C467" s="30"/>
      <c r="D467" s="21" t="s">
        <v>914</v>
      </c>
      <c r="E467" s="22">
        <f>SUBTOTAL(9,E465:E466)</f>
        <v>23571120.530000001</v>
      </c>
      <c r="F467" s="22">
        <f>SUBTOTAL(9,F465:F466)</f>
        <v>0</v>
      </c>
      <c r="G467" s="22">
        <f>SUBTOTAL(9,G465:G466)</f>
        <v>0</v>
      </c>
      <c r="H467" s="22"/>
      <c r="I467" s="23">
        <f>SUBTOTAL(9,I465:I466)</f>
        <v>23571120.530000001</v>
      </c>
      <c r="K467" s="3"/>
      <c r="L467" s="3"/>
      <c r="M467" s="8"/>
    </row>
    <row r="468" spans="1:13" ht="13.5" outlineLevel="2" thickTop="1">
      <c r="A468" s="11">
        <f t="shared" si="27"/>
        <v>464</v>
      </c>
      <c r="B468" s="11" t="s">
        <v>915</v>
      </c>
      <c r="C468" s="17" t="s">
        <v>916</v>
      </c>
      <c r="D468" s="12" t="s">
        <v>917</v>
      </c>
      <c r="E468" s="13">
        <v>650000.85</v>
      </c>
      <c r="F468" s="13">
        <v>-650001</v>
      </c>
      <c r="G468" s="13">
        <v>0</v>
      </c>
      <c r="I468" s="14">
        <f t="shared" ref="I468:I484" si="28">SUM(E468:G468)</f>
        <v>-0.15000000002328306</v>
      </c>
      <c r="J468" s="859"/>
      <c r="K468" s="11"/>
      <c r="M468" s="15"/>
    </row>
    <row r="469" spans="1:13" outlineLevel="2">
      <c r="A469" s="11">
        <f t="shared" si="27"/>
        <v>465</v>
      </c>
      <c r="B469" s="11" t="s">
        <v>915</v>
      </c>
      <c r="C469" s="17" t="s">
        <v>918</v>
      </c>
      <c r="D469" s="12" t="s">
        <v>919</v>
      </c>
      <c r="E469" s="13">
        <v>184827.19</v>
      </c>
      <c r="F469" s="13">
        <v>-184827</v>
      </c>
      <c r="G469" s="13">
        <v>0</v>
      </c>
      <c r="I469" s="14">
        <f t="shared" si="28"/>
        <v>0.19000000000232831</v>
      </c>
      <c r="J469" s="860"/>
      <c r="K469" s="11"/>
      <c r="M469" s="15"/>
    </row>
    <row r="470" spans="1:13" outlineLevel="2">
      <c r="A470" s="11">
        <f t="shared" si="27"/>
        <v>466</v>
      </c>
      <c r="B470" s="11" t="s">
        <v>915</v>
      </c>
      <c r="C470" s="17" t="s">
        <v>920</v>
      </c>
      <c r="D470" s="12" t="s">
        <v>921</v>
      </c>
      <c r="E470" s="13">
        <v>223594.2</v>
      </c>
      <c r="F470" s="13">
        <v>-223594</v>
      </c>
      <c r="G470" s="13">
        <v>0</v>
      </c>
      <c r="I470" s="14">
        <f t="shared" si="28"/>
        <v>0.20000000001164153</v>
      </c>
      <c r="J470" s="860"/>
      <c r="K470" s="11"/>
      <c r="M470" s="15"/>
    </row>
    <row r="471" spans="1:13" outlineLevel="2">
      <c r="A471" s="11">
        <f t="shared" si="27"/>
        <v>467</v>
      </c>
      <c r="B471" s="11" t="s">
        <v>915</v>
      </c>
      <c r="C471" s="17" t="s">
        <v>922</v>
      </c>
      <c r="D471" s="12" t="s">
        <v>923</v>
      </c>
      <c r="E471" s="13">
        <v>171256.71</v>
      </c>
      <c r="F471" s="13">
        <v>-171257</v>
      </c>
      <c r="G471" s="13">
        <v>0</v>
      </c>
      <c r="I471" s="14">
        <f t="shared" si="28"/>
        <v>-0.29000000000814907</v>
      </c>
      <c r="K471" s="11"/>
      <c r="M471" s="15"/>
    </row>
    <row r="472" spans="1:13" outlineLevel="2">
      <c r="A472" s="11">
        <f t="shared" si="27"/>
        <v>468</v>
      </c>
      <c r="B472" s="11" t="s">
        <v>915</v>
      </c>
      <c r="C472" s="17" t="s">
        <v>924</v>
      </c>
      <c r="D472" s="12" t="s">
        <v>925</v>
      </c>
      <c r="E472" s="13">
        <v>25505.599999999999</v>
      </c>
      <c r="F472" s="13">
        <v>-25506</v>
      </c>
      <c r="G472" s="13">
        <v>0</v>
      </c>
      <c r="I472" s="14">
        <f t="shared" si="28"/>
        <v>-0.40000000000145519</v>
      </c>
      <c r="K472" s="11"/>
      <c r="M472" s="15"/>
    </row>
    <row r="473" spans="1:13" outlineLevel="2">
      <c r="A473" s="11">
        <f t="shared" si="27"/>
        <v>469</v>
      </c>
      <c r="B473" s="11" t="s">
        <v>915</v>
      </c>
      <c r="C473" s="17" t="s">
        <v>926</v>
      </c>
      <c r="D473" s="12" t="s">
        <v>927</v>
      </c>
      <c r="E473" s="13">
        <v>297423</v>
      </c>
      <c r="F473" s="13">
        <v>-297423</v>
      </c>
      <c r="G473" s="13">
        <v>0</v>
      </c>
      <c r="I473" s="14">
        <f t="shared" si="28"/>
        <v>0</v>
      </c>
      <c r="K473" s="11"/>
      <c r="M473" s="15"/>
    </row>
    <row r="474" spans="1:13" outlineLevel="2">
      <c r="A474" s="11">
        <f t="shared" si="27"/>
        <v>470</v>
      </c>
      <c r="B474" s="11" t="s">
        <v>915</v>
      </c>
      <c r="C474" s="17" t="s">
        <v>928</v>
      </c>
      <c r="D474" s="12" t="s">
        <v>929</v>
      </c>
      <c r="E474" s="13">
        <v>253597.44</v>
      </c>
      <c r="F474" s="13">
        <v>-253597</v>
      </c>
      <c r="G474" s="13">
        <v>0</v>
      </c>
      <c r="I474" s="14">
        <f t="shared" si="28"/>
        <v>0.44000000000232831</v>
      </c>
      <c r="K474" s="11"/>
      <c r="M474" s="15"/>
    </row>
    <row r="475" spans="1:13" outlineLevel="2">
      <c r="A475" s="11">
        <f t="shared" si="27"/>
        <v>471</v>
      </c>
      <c r="B475" s="11" t="s">
        <v>915</v>
      </c>
      <c r="C475" s="17" t="s">
        <v>930</v>
      </c>
      <c r="D475" s="12" t="s">
        <v>931</v>
      </c>
      <c r="E475" s="13">
        <v>1079091.51</v>
      </c>
      <c r="F475" s="13">
        <v>-1079092</v>
      </c>
      <c r="G475" s="13">
        <v>0</v>
      </c>
      <c r="I475" s="14">
        <f t="shared" si="28"/>
        <v>-0.48999999999068677</v>
      </c>
      <c r="K475" s="11"/>
      <c r="M475" s="15"/>
    </row>
    <row r="476" spans="1:13" outlineLevel="2">
      <c r="A476" s="11">
        <f t="shared" si="27"/>
        <v>472</v>
      </c>
      <c r="B476" s="11" t="s">
        <v>915</v>
      </c>
      <c r="C476" s="17" t="s">
        <v>932</v>
      </c>
      <c r="D476" s="12" t="s">
        <v>933</v>
      </c>
      <c r="E476" s="13">
        <v>425706.26</v>
      </c>
      <c r="F476" s="13">
        <v>-425706</v>
      </c>
      <c r="G476" s="13">
        <v>0</v>
      </c>
      <c r="I476" s="14">
        <f t="shared" si="28"/>
        <v>0.26000000000931323</v>
      </c>
      <c r="K476" s="11"/>
      <c r="M476" s="15"/>
    </row>
    <row r="477" spans="1:13" outlineLevel="2">
      <c r="A477" s="11">
        <f t="shared" si="27"/>
        <v>473</v>
      </c>
      <c r="B477" s="11" t="s">
        <v>915</v>
      </c>
      <c r="C477" s="17" t="s">
        <v>934</v>
      </c>
      <c r="D477" s="12" t="s">
        <v>935</v>
      </c>
      <c r="E477" s="13">
        <v>108040.31</v>
      </c>
      <c r="F477" s="13">
        <v>-108040</v>
      </c>
      <c r="G477" s="13">
        <v>0</v>
      </c>
      <c r="I477" s="14">
        <f t="shared" si="28"/>
        <v>0.30999999999767169</v>
      </c>
      <c r="K477" s="11"/>
      <c r="M477" s="15"/>
    </row>
    <row r="478" spans="1:13" outlineLevel="2">
      <c r="A478" s="11">
        <f t="shared" si="27"/>
        <v>474</v>
      </c>
      <c r="B478" s="11" t="s">
        <v>915</v>
      </c>
      <c r="C478" s="17" t="s">
        <v>936</v>
      </c>
      <c r="D478" s="12" t="s">
        <v>937</v>
      </c>
      <c r="E478" s="13">
        <v>6494</v>
      </c>
      <c r="F478" s="13">
        <v>-6494</v>
      </c>
      <c r="G478" s="13">
        <v>0</v>
      </c>
      <c r="I478" s="14">
        <f t="shared" si="28"/>
        <v>0</v>
      </c>
      <c r="K478" s="11"/>
      <c r="M478" s="15"/>
    </row>
    <row r="479" spans="1:13" outlineLevel="2">
      <c r="A479" s="11">
        <f t="shared" si="27"/>
        <v>475</v>
      </c>
      <c r="B479" s="11" t="s">
        <v>915</v>
      </c>
      <c r="C479" s="17" t="s">
        <v>938</v>
      </c>
      <c r="D479" s="12" t="s">
        <v>939</v>
      </c>
      <c r="E479" s="13">
        <v>102282.9</v>
      </c>
      <c r="F479" s="13">
        <v>-102283</v>
      </c>
      <c r="G479" s="13">
        <v>0</v>
      </c>
      <c r="I479" s="14">
        <f t="shared" si="28"/>
        <v>-0.10000000000582077</v>
      </c>
      <c r="K479" s="11"/>
      <c r="M479" s="15"/>
    </row>
    <row r="480" spans="1:13" outlineLevel="2">
      <c r="A480" s="11">
        <f t="shared" si="27"/>
        <v>476</v>
      </c>
      <c r="B480" s="11" t="s">
        <v>915</v>
      </c>
      <c r="C480" s="17" t="s">
        <v>940</v>
      </c>
      <c r="D480" s="12" t="s">
        <v>941</v>
      </c>
      <c r="E480" s="13">
        <v>1237730.0900000001</v>
      </c>
      <c r="F480" s="13">
        <v>-1237730</v>
      </c>
      <c r="G480" s="13">
        <v>0</v>
      </c>
      <c r="I480" s="14">
        <f t="shared" si="28"/>
        <v>9.0000000083819032E-2</v>
      </c>
      <c r="K480" s="11"/>
      <c r="M480" s="15"/>
    </row>
    <row r="481" spans="1:13" outlineLevel="2">
      <c r="A481" s="11">
        <f t="shared" si="27"/>
        <v>477</v>
      </c>
      <c r="B481" s="11" t="s">
        <v>915</v>
      </c>
      <c r="C481" s="17" t="s">
        <v>942</v>
      </c>
      <c r="D481" s="12" t="s">
        <v>2300</v>
      </c>
      <c r="E481" s="13">
        <v>920941.25</v>
      </c>
      <c r="F481" s="13">
        <v>-920941</v>
      </c>
      <c r="G481" s="13">
        <v>0</v>
      </c>
      <c r="I481" s="14">
        <f t="shared" si="28"/>
        <v>0.25</v>
      </c>
      <c r="K481" s="11"/>
      <c r="M481" s="15"/>
    </row>
    <row r="482" spans="1:13" ht="12.75" customHeight="1" outlineLevel="2">
      <c r="A482" s="11">
        <f t="shared" si="27"/>
        <v>478</v>
      </c>
      <c r="B482" s="11" t="s">
        <v>915</v>
      </c>
      <c r="C482" s="17" t="s">
        <v>943</v>
      </c>
      <c r="D482" s="12" t="s">
        <v>2301</v>
      </c>
      <c r="E482" s="13">
        <v>474403.84000000003</v>
      </c>
      <c r="F482" s="13">
        <v>-474404</v>
      </c>
      <c r="G482" s="13">
        <v>0</v>
      </c>
      <c r="I482" s="14">
        <f t="shared" si="28"/>
        <v>-0.15999999997438863</v>
      </c>
      <c r="J482" s="12"/>
      <c r="K482" s="11"/>
      <c r="M482" s="15"/>
    </row>
    <row r="483" spans="1:13" outlineLevel="2">
      <c r="A483" s="11">
        <f t="shared" si="27"/>
        <v>479</v>
      </c>
      <c r="B483" s="11" t="s">
        <v>915</v>
      </c>
      <c r="C483" s="17" t="s">
        <v>944</v>
      </c>
      <c r="D483" s="12" t="s">
        <v>945</v>
      </c>
      <c r="E483" s="13">
        <v>318567.84999999998</v>
      </c>
      <c r="F483" s="13">
        <v>-318568</v>
      </c>
      <c r="G483" s="13">
        <v>0</v>
      </c>
      <c r="I483" s="14">
        <f t="shared" si="28"/>
        <v>-0.15000000002328306</v>
      </c>
      <c r="J483" s="18"/>
      <c r="K483" s="11"/>
      <c r="M483" s="15"/>
    </row>
    <row r="484" spans="1:13" outlineLevel="2">
      <c r="A484" s="11">
        <f t="shared" si="27"/>
        <v>480</v>
      </c>
      <c r="B484" s="11" t="s">
        <v>915</v>
      </c>
      <c r="C484" s="12" t="s">
        <v>946</v>
      </c>
      <c r="D484" s="12" t="s">
        <v>947</v>
      </c>
      <c r="E484" s="13">
        <v>216162.68</v>
      </c>
      <c r="F484" s="13">
        <v>-216163</v>
      </c>
      <c r="G484" s="13">
        <v>0</v>
      </c>
      <c r="I484" s="14">
        <f t="shared" si="28"/>
        <v>-0.32000000000698492</v>
      </c>
      <c r="K484" s="11"/>
      <c r="M484" s="15"/>
    </row>
    <row r="485" spans="1:13" s="6" customFormat="1" ht="13.5" outlineLevel="1" thickBot="1">
      <c r="A485" s="11">
        <f t="shared" si="27"/>
        <v>481</v>
      </c>
      <c r="B485" s="19" t="s">
        <v>948</v>
      </c>
      <c r="C485" s="21"/>
      <c r="D485" s="21" t="s">
        <v>949</v>
      </c>
      <c r="E485" s="22">
        <f>SUBTOTAL(9,E468:E484)</f>
        <v>6695625.6799999988</v>
      </c>
      <c r="F485" s="22">
        <f>SUBTOTAL(9,F468:F484)</f>
        <v>-6695626</v>
      </c>
      <c r="G485" s="22">
        <f>SUBTOTAL(9,G468:G484)</f>
        <v>0</v>
      </c>
      <c r="H485" s="22"/>
      <c r="I485" s="23">
        <f>SUBTOTAL(9,I468:I484)</f>
        <v>-0.31999999992694939</v>
      </c>
      <c r="J485" s="24"/>
      <c r="K485" s="3"/>
      <c r="L485" s="3"/>
      <c r="M485" s="8"/>
    </row>
    <row r="486" spans="1:13" ht="13.5" customHeight="1" outlineLevel="2" thickTop="1">
      <c r="A486" s="11">
        <f t="shared" si="27"/>
        <v>482</v>
      </c>
      <c r="B486" s="11" t="s">
        <v>950</v>
      </c>
      <c r="C486" s="17" t="s">
        <v>2320</v>
      </c>
      <c r="D486" s="1" t="s">
        <v>951</v>
      </c>
      <c r="E486" s="13">
        <v>287835</v>
      </c>
      <c r="F486" s="13">
        <v>0</v>
      </c>
      <c r="G486" s="13">
        <v>0</v>
      </c>
      <c r="I486" s="14">
        <f t="shared" ref="I486:I493" si="29">SUM(E486:G486)</f>
        <v>287835</v>
      </c>
      <c r="J486" s="861"/>
      <c r="K486" s="11"/>
      <c r="M486" s="15"/>
    </row>
    <row r="487" spans="1:13" s="11" customFormat="1" ht="13.5" customHeight="1" outlineLevel="2">
      <c r="A487" s="11">
        <f t="shared" si="27"/>
        <v>483</v>
      </c>
      <c r="B487" s="11" t="s">
        <v>950</v>
      </c>
      <c r="C487" s="526" t="s">
        <v>2321</v>
      </c>
      <c r="D487" s="12" t="s">
        <v>952</v>
      </c>
      <c r="E487" s="13">
        <v>11422173.960000001</v>
      </c>
      <c r="F487" s="13">
        <v>-8728156</v>
      </c>
      <c r="G487" s="13">
        <v>0</v>
      </c>
      <c r="H487" s="13"/>
      <c r="I487" s="14">
        <f t="shared" si="29"/>
        <v>2694017.9600000009</v>
      </c>
      <c r="J487" s="862"/>
      <c r="M487" s="15"/>
    </row>
    <row r="488" spans="1:13" s="11" customFormat="1" outlineLevel="2">
      <c r="A488" s="11">
        <f t="shared" si="27"/>
        <v>484</v>
      </c>
      <c r="B488" s="11" t="s">
        <v>950</v>
      </c>
      <c r="C488" s="526" t="s">
        <v>2322</v>
      </c>
      <c r="D488" s="12" t="s">
        <v>953</v>
      </c>
      <c r="E488" s="13">
        <v>2978205</v>
      </c>
      <c r="F488" s="13">
        <v>0</v>
      </c>
      <c r="G488" s="13">
        <v>0</v>
      </c>
      <c r="H488" s="13"/>
      <c r="I488" s="14">
        <f t="shared" si="29"/>
        <v>2978205</v>
      </c>
      <c r="J488" s="862"/>
      <c r="M488" s="15"/>
    </row>
    <row r="489" spans="1:13" s="11" customFormat="1" outlineLevel="2">
      <c r="A489" s="11">
        <f t="shared" si="27"/>
        <v>485</v>
      </c>
      <c r="B489" s="11" t="s">
        <v>950</v>
      </c>
      <c r="C489" s="526" t="s">
        <v>2323</v>
      </c>
      <c r="D489" s="12" t="s">
        <v>896</v>
      </c>
      <c r="E489" s="13">
        <v>237295.95</v>
      </c>
      <c r="F489" s="13"/>
      <c r="G489" s="13"/>
      <c r="H489" s="13"/>
      <c r="I489" s="14">
        <f t="shared" si="29"/>
        <v>237295.95</v>
      </c>
      <c r="J489" s="862"/>
      <c r="M489" s="15"/>
    </row>
    <row r="490" spans="1:13" s="11" customFormat="1" outlineLevel="2">
      <c r="A490" s="11">
        <f t="shared" si="27"/>
        <v>486</v>
      </c>
      <c r="B490" s="11" t="s">
        <v>950</v>
      </c>
      <c r="C490" s="526" t="s">
        <v>2324</v>
      </c>
      <c r="D490" s="12" t="s">
        <v>2309</v>
      </c>
      <c r="E490" s="13">
        <v>121494.9</v>
      </c>
      <c r="F490" s="13">
        <f>-(E490*0.75)</f>
        <v>-91121.174999999988</v>
      </c>
      <c r="G490" s="13"/>
      <c r="H490" s="13"/>
      <c r="I490" s="14">
        <f t="shared" si="29"/>
        <v>30373.725000000006</v>
      </c>
      <c r="J490" s="862"/>
      <c r="M490" s="15"/>
    </row>
    <row r="491" spans="1:13" s="11" customFormat="1" outlineLevel="2">
      <c r="A491" s="11">
        <f t="shared" si="27"/>
        <v>487</v>
      </c>
      <c r="B491" s="11" t="s">
        <v>950</v>
      </c>
      <c r="C491" s="526" t="s">
        <v>2325</v>
      </c>
      <c r="D491" s="12" t="s">
        <v>2310</v>
      </c>
      <c r="E491" s="13">
        <f>475783.06+216551.65</f>
        <v>692334.71</v>
      </c>
      <c r="F491" s="13">
        <f>-(E491*0.75)</f>
        <v>-519251.03249999997</v>
      </c>
      <c r="G491" s="13"/>
      <c r="H491" s="13"/>
      <c r="I491" s="14">
        <f t="shared" si="29"/>
        <v>173083.67749999999</v>
      </c>
      <c r="J491" s="862"/>
      <c r="M491" s="15"/>
    </row>
    <row r="492" spans="1:13" s="11" customFormat="1" outlineLevel="2">
      <c r="A492" s="11">
        <f t="shared" si="27"/>
        <v>488</v>
      </c>
      <c r="B492" s="11" t="s">
        <v>950</v>
      </c>
      <c r="C492" s="526" t="s">
        <v>2326</v>
      </c>
      <c r="D492" s="12" t="s">
        <v>954</v>
      </c>
      <c r="E492" s="13">
        <v>12752527.140000001</v>
      </c>
      <c r="F492" s="13">
        <f>-(E492*0.75)</f>
        <v>-9564395.3550000004</v>
      </c>
      <c r="G492" s="13">
        <v>0</v>
      </c>
      <c r="H492" s="13"/>
      <c r="I492" s="14">
        <f t="shared" si="29"/>
        <v>3188131.7850000001</v>
      </c>
      <c r="J492" s="862"/>
      <c r="M492" s="15"/>
    </row>
    <row r="493" spans="1:13" s="11" customFormat="1" outlineLevel="2">
      <c r="A493" s="11">
        <f t="shared" si="27"/>
        <v>489</v>
      </c>
      <c r="B493" s="11" t="s">
        <v>950</v>
      </c>
      <c r="C493" s="526" t="s">
        <v>2072</v>
      </c>
      <c r="D493" s="12" t="s">
        <v>2311</v>
      </c>
      <c r="E493" s="13">
        <v>445483.49</v>
      </c>
      <c r="F493" s="13"/>
      <c r="G493" s="13"/>
      <c r="H493" s="13"/>
      <c r="I493" s="14">
        <f t="shared" si="29"/>
        <v>445483.49</v>
      </c>
      <c r="J493" s="519"/>
      <c r="M493" s="15"/>
    </row>
    <row r="494" spans="1:13" s="3" customFormat="1" ht="13.5" outlineLevel="1" thickBot="1">
      <c r="A494" s="11">
        <f t="shared" si="27"/>
        <v>490</v>
      </c>
      <c r="B494" s="19" t="s">
        <v>955</v>
      </c>
      <c r="C494" s="31"/>
      <c r="D494" s="21" t="s">
        <v>956</v>
      </c>
      <c r="E494" s="22">
        <f>SUBTOTAL(9,E486:E493)</f>
        <v>28937350.149999999</v>
      </c>
      <c r="F494" s="22">
        <f>SUBTOTAL(9,F486:F492)</f>
        <v>-18902923.5625</v>
      </c>
      <c r="G494" s="22">
        <f>SUBTOTAL(9,G486:G492)</f>
        <v>0</v>
      </c>
      <c r="H494" s="22"/>
      <c r="I494" s="23">
        <f>SUBTOTAL(9,I486:I493)</f>
        <v>10034426.5875</v>
      </c>
      <c r="J494" s="32"/>
      <c r="M494" s="8"/>
    </row>
    <row r="495" spans="1:13" s="11" customFormat="1" ht="13.5" outlineLevel="2" thickTop="1">
      <c r="A495" s="11">
        <f t="shared" si="27"/>
        <v>491</v>
      </c>
      <c r="B495" s="11" t="s">
        <v>957</v>
      </c>
      <c r="C495" s="15"/>
      <c r="D495" s="12" t="s">
        <v>620</v>
      </c>
      <c r="E495" s="13">
        <v>2370872.7999999998</v>
      </c>
      <c r="F495" s="13">
        <v>-1772523.45</v>
      </c>
      <c r="G495" s="13"/>
      <c r="H495" s="13"/>
      <c r="I495" s="14">
        <f t="shared" ref="I495:I500" si="30">SUM(E495:G495)</f>
        <v>598349.34999999986</v>
      </c>
      <c r="M495" s="15"/>
    </row>
    <row r="496" spans="1:13" s="11" customFormat="1" outlineLevel="2">
      <c r="A496" s="11">
        <f t="shared" si="27"/>
        <v>492</v>
      </c>
      <c r="B496" s="11" t="s">
        <v>957</v>
      </c>
      <c r="C496" s="15"/>
      <c r="D496" s="12" t="s">
        <v>2450</v>
      </c>
      <c r="E496" s="13">
        <v>6186445.3200000003</v>
      </c>
      <c r="F496" s="13">
        <v>-933622.63</v>
      </c>
      <c r="G496" s="13"/>
      <c r="H496" s="13"/>
      <c r="I496" s="14">
        <f t="shared" si="30"/>
        <v>5252822.6900000004</v>
      </c>
      <c r="M496" s="15"/>
    </row>
    <row r="497" spans="1:16" s="11" customFormat="1" outlineLevel="2">
      <c r="A497" s="11">
        <f t="shared" si="27"/>
        <v>493</v>
      </c>
      <c r="B497" s="11" t="s">
        <v>957</v>
      </c>
      <c r="C497" s="15"/>
      <c r="D497" s="12" t="s">
        <v>314</v>
      </c>
      <c r="E497" s="13">
        <v>10953005.529999999</v>
      </c>
      <c r="F497" s="13">
        <v>-2565236.12</v>
      </c>
      <c r="G497" s="13"/>
      <c r="H497" s="13"/>
      <c r="I497" s="14">
        <f t="shared" si="30"/>
        <v>8387769.4099999992</v>
      </c>
      <c r="M497" s="15"/>
    </row>
    <row r="498" spans="1:16" s="11" customFormat="1" outlineLevel="2">
      <c r="A498" s="11">
        <f t="shared" si="27"/>
        <v>494</v>
      </c>
      <c r="B498" s="11" t="s">
        <v>957</v>
      </c>
      <c r="C498" s="15"/>
      <c r="D498" s="12" t="s">
        <v>725</v>
      </c>
      <c r="E498" s="13">
        <v>85427859</v>
      </c>
      <c r="F498" s="13">
        <v>-42372683</v>
      </c>
      <c r="G498" s="13"/>
      <c r="H498" s="13"/>
      <c r="I498" s="14">
        <f t="shared" si="30"/>
        <v>43055176</v>
      </c>
      <c r="M498" s="15"/>
    </row>
    <row r="499" spans="1:16" s="11" customFormat="1" outlineLevel="2">
      <c r="A499" s="11">
        <f t="shared" si="27"/>
        <v>495</v>
      </c>
      <c r="B499" s="11" t="s">
        <v>957</v>
      </c>
      <c r="C499" s="15"/>
      <c r="D499" s="12" t="s">
        <v>2451</v>
      </c>
      <c r="E499" s="13">
        <v>10079122.77</v>
      </c>
      <c r="F499" s="13">
        <v>-7015929.1699999999</v>
      </c>
      <c r="G499" s="13"/>
      <c r="H499" s="13"/>
      <c r="I499" s="14">
        <f t="shared" si="30"/>
        <v>3063193.5999999996</v>
      </c>
      <c r="M499" s="15"/>
    </row>
    <row r="500" spans="1:16" s="11" customFormat="1" outlineLevel="2">
      <c r="A500" s="11">
        <f t="shared" si="27"/>
        <v>496</v>
      </c>
      <c r="B500" s="11" t="s">
        <v>957</v>
      </c>
      <c r="C500" s="15"/>
      <c r="D500" s="12" t="s">
        <v>810</v>
      </c>
      <c r="E500" s="13">
        <v>10234030.529999999</v>
      </c>
      <c r="F500" s="13">
        <v>-3344088.32</v>
      </c>
      <c r="G500" s="13"/>
      <c r="H500" s="13"/>
      <c r="I500" s="14">
        <f t="shared" si="30"/>
        <v>6889942.209999999</v>
      </c>
      <c r="M500" s="15"/>
    </row>
    <row r="501" spans="1:16" s="3" customFormat="1" ht="13.5" outlineLevel="1" thickBot="1">
      <c r="A501" s="11">
        <f t="shared" si="27"/>
        <v>497</v>
      </c>
      <c r="B501" s="19" t="s">
        <v>958</v>
      </c>
      <c r="C501" s="21"/>
      <c r="D501" s="21" t="s">
        <v>959</v>
      </c>
      <c r="E501" s="33">
        <f>SUM(E495:E500)</f>
        <v>125251335.95</v>
      </c>
      <c r="F501" s="33">
        <f>SUM(F495:F500)</f>
        <v>-58004082.690000005</v>
      </c>
      <c r="G501" s="33">
        <f t="shared" ref="G501" si="31">SUM(G495:G500)</f>
        <v>0</v>
      </c>
      <c r="H501" s="33"/>
      <c r="I501" s="33">
        <f>SUM(I495:I500)</f>
        <v>67247253.260000005</v>
      </c>
      <c r="J501" s="8"/>
    </row>
    <row r="502" spans="1:16" s="3" customFormat="1" ht="14" thickTop="1" thickBot="1">
      <c r="A502" s="11">
        <f t="shared" si="27"/>
        <v>498</v>
      </c>
      <c r="B502" s="645" t="s">
        <v>960</v>
      </c>
      <c r="C502" s="646"/>
      <c r="D502" s="646" t="s">
        <v>961</v>
      </c>
      <c r="E502" s="647">
        <f>SUBTOTAL(9,E5:E500)</f>
        <v>1572665857.9700003</v>
      </c>
      <c r="F502" s="647">
        <f>SUBTOTAL(9,F5:F500)</f>
        <v>-124391893.19249998</v>
      </c>
      <c r="G502" s="647">
        <f>SUBTOTAL(9,G5:G500)</f>
        <v>-13555863.331200004</v>
      </c>
      <c r="H502" s="647">
        <f>SUBTOTAL(9,H5:H500)</f>
        <v>-6076147.1145939985</v>
      </c>
      <c r="I502" s="648">
        <f>SUBTOTAL(9,I5:I500)</f>
        <v>1428641954.3317072</v>
      </c>
      <c r="J502" s="8"/>
    </row>
    <row r="503" spans="1:16" s="11" customFormat="1" ht="13.5" thickTop="1">
      <c r="A503" s="11">
        <f t="shared" si="27"/>
        <v>499</v>
      </c>
      <c r="C503" s="15"/>
      <c r="D503" s="1" t="s">
        <v>962</v>
      </c>
      <c r="E503" s="34">
        <f>E502-E501-E494</f>
        <v>1418477171.8700001</v>
      </c>
      <c r="F503" s="34">
        <f>F502-F501-F494</f>
        <v>-47484886.939999975</v>
      </c>
      <c r="G503" s="35">
        <f>(G502-G501)*-1</f>
        <v>13555863.331200004</v>
      </c>
      <c r="H503" s="35">
        <f>(H502-H501)*-1</f>
        <v>6076147.1145939985</v>
      </c>
      <c r="I503" s="14">
        <f>I502-I494-I501</f>
        <v>1351360274.4842072</v>
      </c>
      <c r="J503" s="12"/>
      <c r="N503" s="12"/>
      <c r="O503" s="12"/>
      <c r="P503" s="12"/>
    </row>
    <row r="504" spans="1:16" s="11" customFormat="1">
      <c r="C504" s="15"/>
      <c r="D504" s="1" t="s">
        <v>2315</v>
      </c>
      <c r="E504" s="34"/>
      <c r="F504" s="34"/>
      <c r="G504" s="35"/>
      <c r="H504" s="35"/>
      <c r="I504" s="14"/>
      <c r="J504" s="12"/>
      <c r="N504" s="12"/>
      <c r="O504" s="12"/>
      <c r="P504" s="12"/>
    </row>
    <row r="505" spans="1:16" s="11" customFormat="1">
      <c r="C505" s="15"/>
      <c r="D505" s="1" t="s">
        <v>2401</v>
      </c>
      <c r="E505" s="34"/>
      <c r="F505" s="34"/>
      <c r="G505" s="35"/>
      <c r="H505" s="35"/>
      <c r="I505" s="14"/>
      <c r="J505" s="12"/>
      <c r="N505" s="12"/>
      <c r="O505" s="12"/>
      <c r="P505" s="12"/>
    </row>
    <row r="506" spans="1:16" s="11" customFormat="1">
      <c r="C506" s="15"/>
      <c r="D506" s="1" t="s">
        <v>949</v>
      </c>
      <c r="E506" s="34"/>
      <c r="F506" s="34">
        <f>-(F503+F501)</f>
        <v>105488969.62999998</v>
      </c>
      <c r="G506" s="34"/>
      <c r="H506" s="34"/>
      <c r="I506" s="14">
        <f>I503+I501+I486+I487+I488</f>
        <v>1424567585.7042072</v>
      </c>
      <c r="J506" s="12"/>
      <c r="N506" s="12"/>
      <c r="O506" s="12"/>
      <c r="P506" s="12"/>
    </row>
    <row r="507" spans="1:16" s="11" customFormat="1">
      <c r="C507" s="15"/>
      <c r="D507" s="1"/>
      <c r="E507" s="35"/>
      <c r="F507" s="34"/>
      <c r="G507" s="34"/>
      <c r="H507" s="34"/>
      <c r="I507" s="14"/>
      <c r="J507" s="12"/>
      <c r="N507" s="12"/>
      <c r="O507" s="12"/>
      <c r="P507" s="12"/>
    </row>
    <row r="508" spans="1:16">
      <c r="C508" s="12"/>
      <c r="D508" s="1"/>
      <c r="E508" s="649">
        <f>11966651.04+6841033.8+4765825.66+253719.57</f>
        <v>23827230.07</v>
      </c>
      <c r="F508" s="34"/>
      <c r="J508" s="12"/>
      <c r="K508" s="34"/>
    </row>
    <row r="509" spans="1:16">
      <c r="C509" s="12"/>
      <c r="D509" s="1"/>
      <c r="E509" s="649">
        <f>E503+E508</f>
        <v>1442304401.9400001</v>
      </c>
      <c r="F509" s="649"/>
      <c r="G509" s="649"/>
      <c r="H509" s="649"/>
      <c r="I509" s="12"/>
      <c r="J509" s="12"/>
      <c r="K509" s="34"/>
    </row>
    <row r="510" spans="1:16">
      <c r="C510" s="12"/>
      <c r="D510" s="1"/>
      <c r="E510" s="649">
        <f>1442304402.56</f>
        <v>1442304402.5599999</v>
      </c>
      <c r="F510" s="649"/>
      <c r="G510" s="649"/>
      <c r="H510" s="649"/>
      <c r="I510" s="649"/>
      <c r="J510" s="12"/>
      <c r="K510" s="34"/>
    </row>
    <row r="511" spans="1:16">
      <c r="C511" s="12"/>
      <c r="E511" s="14">
        <f>E509-E510</f>
        <v>-0.61999988555908203</v>
      </c>
      <c r="F511" s="14"/>
      <c r="G511" s="14"/>
      <c r="H511" s="14"/>
      <c r="J511" s="12"/>
      <c r="K511" s="11"/>
    </row>
    <row r="512" spans="1:16">
      <c r="C512" s="12"/>
      <c r="E512" s="14"/>
      <c r="F512" s="14"/>
      <c r="G512" s="14"/>
      <c r="H512" s="14"/>
      <c r="J512" s="522"/>
      <c r="K512" s="11"/>
    </row>
    <row r="513" spans="3:17">
      <c r="C513" s="12"/>
      <c r="E513" s="14"/>
      <c r="F513" s="14"/>
      <c r="G513" s="14"/>
      <c r="H513" s="14"/>
      <c r="J513" s="12"/>
      <c r="K513" s="11"/>
    </row>
    <row r="514" spans="3:17">
      <c r="C514" s="12"/>
      <c r="E514" s="14"/>
      <c r="F514" s="14"/>
      <c r="G514" s="14"/>
      <c r="H514" s="14"/>
      <c r="J514" s="14"/>
      <c r="K514" s="11"/>
    </row>
    <row r="515" spans="3:17">
      <c r="C515" s="12"/>
      <c r="E515" s="14"/>
      <c r="F515" s="14"/>
      <c r="G515" s="14"/>
      <c r="H515" s="14"/>
      <c r="J515" s="14"/>
      <c r="K515" s="11"/>
    </row>
    <row r="516" spans="3:17" s="11" customFormat="1">
      <c r="C516" s="12"/>
      <c r="D516" s="12"/>
      <c r="E516" s="14"/>
      <c r="F516" s="14"/>
      <c r="G516" s="14"/>
      <c r="H516" s="14"/>
      <c r="I516" s="14"/>
      <c r="J516" s="14"/>
      <c r="N516" s="12"/>
      <c r="O516" s="12"/>
      <c r="P516" s="12"/>
      <c r="Q516" s="12"/>
    </row>
    <row r="517" spans="3:17" s="11" customFormat="1">
      <c r="C517" s="12"/>
      <c r="D517" s="12"/>
      <c r="E517" s="14"/>
      <c r="F517" s="14"/>
      <c r="G517" s="14"/>
      <c r="H517" s="14"/>
      <c r="I517" s="14"/>
      <c r="J517" s="14"/>
      <c r="N517" s="12"/>
      <c r="O517" s="12"/>
      <c r="P517" s="12"/>
      <c r="Q517" s="12"/>
    </row>
    <row r="518" spans="3:17" s="11" customFormat="1">
      <c r="C518" s="12"/>
      <c r="D518" s="12"/>
      <c r="E518" s="14"/>
      <c r="F518" s="14"/>
      <c r="G518" s="14"/>
      <c r="H518" s="14"/>
      <c r="I518" s="14"/>
      <c r="J518" s="14"/>
      <c r="K518" s="34"/>
      <c r="N518" s="12"/>
      <c r="O518" s="12"/>
      <c r="P518" s="12"/>
      <c r="Q518" s="12"/>
    </row>
    <row r="519" spans="3:17" s="11" customFormat="1">
      <c r="C519" s="12"/>
      <c r="D519" s="12"/>
      <c r="E519" s="14"/>
      <c r="F519" s="14"/>
      <c r="G519" s="14"/>
      <c r="H519" s="14"/>
      <c r="I519" s="14"/>
      <c r="J519" s="14"/>
      <c r="N519" s="12"/>
      <c r="O519" s="12"/>
      <c r="P519" s="12"/>
      <c r="Q519" s="12"/>
    </row>
    <row r="520" spans="3:17" s="11" customFormat="1">
      <c r="C520" s="12"/>
      <c r="D520" s="12"/>
      <c r="E520" s="14"/>
      <c r="F520" s="14"/>
      <c r="G520" s="14"/>
      <c r="H520" s="14"/>
      <c r="I520" s="14"/>
      <c r="J520" s="12"/>
      <c r="N520" s="12"/>
      <c r="O520" s="12"/>
      <c r="P520" s="12"/>
      <c r="Q520" s="12"/>
    </row>
    <row r="521" spans="3:17" s="11" customFormat="1">
      <c r="C521" s="12"/>
      <c r="D521" s="12"/>
      <c r="E521" s="14"/>
      <c r="F521" s="14"/>
      <c r="G521" s="14"/>
      <c r="H521" s="14"/>
      <c r="I521" s="14"/>
      <c r="J521" s="12"/>
      <c r="N521" s="12"/>
      <c r="O521" s="12"/>
      <c r="P521" s="12"/>
      <c r="Q521" s="12"/>
    </row>
    <row r="522" spans="3:17" s="11" customFormat="1">
      <c r="C522" s="12"/>
      <c r="D522" s="12"/>
      <c r="E522" s="13"/>
      <c r="F522" s="13"/>
      <c r="G522" s="13"/>
      <c r="H522" s="13"/>
      <c r="I522" s="14"/>
      <c r="J522" s="12"/>
      <c r="N522" s="12"/>
      <c r="O522" s="12"/>
      <c r="P522" s="12"/>
      <c r="Q522" s="12"/>
    </row>
    <row r="523" spans="3:17" s="11" customFormat="1">
      <c r="C523" s="12"/>
      <c r="D523" s="12"/>
      <c r="E523" s="13"/>
      <c r="F523" s="13"/>
      <c r="G523" s="13"/>
      <c r="H523" s="13"/>
      <c r="I523" s="14"/>
      <c r="J523" s="12"/>
      <c r="N523" s="12"/>
      <c r="O523" s="12"/>
      <c r="P523" s="12"/>
      <c r="Q523" s="12"/>
    </row>
    <row r="524" spans="3:17" s="11" customFormat="1">
      <c r="C524" s="12"/>
      <c r="D524" s="12"/>
      <c r="E524" s="13"/>
      <c r="F524" s="13"/>
      <c r="G524" s="13"/>
      <c r="H524" s="13"/>
      <c r="I524" s="14"/>
      <c r="J524" s="12"/>
      <c r="N524" s="12"/>
      <c r="O524" s="12"/>
      <c r="P524" s="12"/>
      <c r="Q524" s="12"/>
    </row>
    <row r="525" spans="3:17" s="11" customFormat="1">
      <c r="C525" s="12"/>
      <c r="D525" s="12"/>
      <c r="E525" s="13"/>
      <c r="F525" s="13"/>
      <c r="G525" s="13"/>
      <c r="H525" s="13"/>
      <c r="I525" s="14"/>
      <c r="J525" s="12"/>
      <c r="N525" s="12"/>
      <c r="O525" s="12"/>
      <c r="P525" s="12"/>
      <c r="Q525" s="12"/>
    </row>
    <row r="526" spans="3:17" s="11" customFormat="1">
      <c r="C526" s="12"/>
      <c r="D526" s="12"/>
      <c r="E526" s="13"/>
      <c r="F526" s="13"/>
      <c r="G526" s="13"/>
      <c r="H526" s="13"/>
      <c r="I526" s="14"/>
      <c r="J526" s="12"/>
      <c r="N526" s="12"/>
      <c r="O526" s="12"/>
      <c r="P526" s="12"/>
      <c r="Q526" s="12"/>
    </row>
    <row r="527" spans="3:17" s="11" customFormat="1">
      <c r="C527" s="12"/>
      <c r="D527" s="12"/>
      <c r="E527" s="13"/>
      <c r="F527" s="13"/>
      <c r="G527" s="13"/>
      <c r="H527" s="13"/>
      <c r="I527" s="14"/>
      <c r="J527" s="12"/>
      <c r="N527" s="12"/>
      <c r="O527" s="12"/>
      <c r="P527" s="12"/>
      <c r="Q527" s="12"/>
    </row>
    <row r="528" spans="3:17" s="11" customFormat="1">
      <c r="C528" s="12"/>
      <c r="D528" s="12"/>
      <c r="E528" s="13"/>
      <c r="F528" s="13"/>
      <c r="G528" s="13"/>
      <c r="H528" s="13"/>
      <c r="I528" s="14"/>
      <c r="J528" s="12"/>
      <c r="N528" s="12"/>
      <c r="O528" s="12"/>
      <c r="P528" s="12"/>
      <c r="Q528" s="12"/>
    </row>
    <row r="529" spans="3:17" s="11" customFormat="1">
      <c r="C529" s="12"/>
      <c r="D529" s="12"/>
      <c r="E529" s="13"/>
      <c r="F529" s="13"/>
      <c r="G529" s="13"/>
      <c r="H529" s="13"/>
      <c r="I529" s="14"/>
      <c r="J529" s="12"/>
      <c r="N529" s="12"/>
      <c r="O529" s="12"/>
      <c r="P529" s="12"/>
      <c r="Q529" s="12"/>
    </row>
    <row r="530" spans="3:17" s="11" customFormat="1">
      <c r="C530" s="12"/>
      <c r="D530" s="12"/>
      <c r="E530" s="13"/>
      <c r="F530" s="13"/>
      <c r="G530" s="13"/>
      <c r="H530" s="13"/>
      <c r="I530" s="14"/>
      <c r="J530" s="12"/>
      <c r="N530" s="12"/>
      <c r="O530" s="12"/>
      <c r="P530" s="12"/>
      <c r="Q530" s="12"/>
    </row>
    <row r="531" spans="3:17" s="11" customFormat="1">
      <c r="C531" s="12"/>
      <c r="D531" s="12"/>
      <c r="E531" s="13"/>
      <c r="F531" s="13"/>
      <c r="G531" s="13"/>
      <c r="H531" s="13"/>
      <c r="I531" s="14"/>
      <c r="J531" s="12"/>
      <c r="N531" s="12"/>
      <c r="O531" s="12"/>
      <c r="P531" s="12"/>
      <c r="Q531" s="12"/>
    </row>
    <row r="532" spans="3:17" s="11" customFormat="1">
      <c r="C532" s="12"/>
      <c r="D532" s="12"/>
      <c r="E532" s="13"/>
      <c r="F532" s="13"/>
      <c r="G532" s="13"/>
      <c r="H532" s="13"/>
      <c r="I532" s="14"/>
      <c r="J532" s="12"/>
      <c r="N532" s="12"/>
      <c r="O532" s="12"/>
      <c r="P532" s="12"/>
      <c r="Q532" s="12"/>
    </row>
    <row r="533" spans="3:17" s="11" customFormat="1">
      <c r="C533" s="12"/>
      <c r="D533" s="12"/>
      <c r="E533" s="13"/>
      <c r="F533" s="13"/>
      <c r="G533" s="13"/>
      <c r="H533" s="13"/>
      <c r="I533" s="14"/>
      <c r="J533" s="12"/>
      <c r="N533" s="12"/>
      <c r="O533" s="12"/>
      <c r="P533" s="12"/>
      <c r="Q533" s="12"/>
    </row>
    <row r="534" spans="3:17" s="11" customFormat="1">
      <c r="C534" s="12"/>
      <c r="D534" s="12"/>
      <c r="E534" s="13"/>
      <c r="F534" s="13"/>
      <c r="G534" s="13"/>
      <c r="H534" s="13"/>
      <c r="I534" s="14"/>
      <c r="J534" s="12"/>
      <c r="N534" s="12"/>
      <c r="O534" s="12"/>
      <c r="P534" s="12"/>
      <c r="Q534" s="12"/>
    </row>
    <row r="535" spans="3:17" s="11" customFormat="1">
      <c r="C535" s="12"/>
      <c r="D535" s="12"/>
      <c r="E535" s="13"/>
      <c r="F535" s="13"/>
      <c r="G535" s="13"/>
      <c r="H535" s="13"/>
      <c r="I535" s="14"/>
      <c r="J535" s="12"/>
      <c r="N535" s="12"/>
      <c r="O535" s="12"/>
      <c r="P535" s="12"/>
      <c r="Q535" s="12"/>
    </row>
    <row r="536" spans="3:17" s="11" customFormat="1">
      <c r="C536" s="12"/>
      <c r="D536" s="12"/>
      <c r="E536" s="13"/>
      <c r="F536" s="13"/>
      <c r="G536" s="13"/>
      <c r="H536" s="13"/>
      <c r="I536" s="14"/>
      <c r="J536" s="12"/>
      <c r="N536" s="12"/>
      <c r="O536" s="12"/>
      <c r="P536" s="12"/>
      <c r="Q536" s="12"/>
    </row>
    <row r="537" spans="3:17" s="11" customFormat="1">
      <c r="C537" s="12"/>
      <c r="D537" s="12"/>
      <c r="E537" s="13"/>
      <c r="F537" s="13"/>
      <c r="G537" s="13"/>
      <c r="H537" s="13"/>
      <c r="I537" s="14"/>
      <c r="J537" s="12"/>
      <c r="N537" s="12"/>
      <c r="O537" s="12"/>
      <c r="P537" s="12"/>
      <c r="Q537" s="12"/>
    </row>
    <row r="538" spans="3:17" s="11" customFormat="1">
      <c r="C538" s="12"/>
      <c r="D538" s="12"/>
      <c r="E538" s="13"/>
      <c r="F538" s="13"/>
      <c r="G538" s="13"/>
      <c r="H538" s="13"/>
      <c r="I538" s="14"/>
      <c r="J538" s="12"/>
      <c r="N538" s="12"/>
      <c r="O538" s="12"/>
      <c r="P538" s="12"/>
      <c r="Q538" s="12"/>
    </row>
    <row r="539" spans="3:17" s="11" customFormat="1">
      <c r="C539" s="12"/>
      <c r="D539" s="12"/>
      <c r="E539" s="13"/>
      <c r="F539" s="13"/>
      <c r="G539" s="13"/>
      <c r="H539" s="13"/>
      <c r="I539" s="14"/>
      <c r="J539" s="12"/>
      <c r="N539" s="12"/>
      <c r="O539" s="12"/>
      <c r="P539" s="12"/>
      <c r="Q539" s="12"/>
    </row>
    <row r="540" spans="3:17" s="11" customFormat="1">
      <c r="C540" s="12"/>
      <c r="D540" s="12"/>
      <c r="E540" s="13"/>
      <c r="F540" s="13"/>
      <c r="G540" s="13"/>
      <c r="H540" s="13"/>
      <c r="I540" s="14"/>
      <c r="J540" s="12"/>
      <c r="N540" s="12"/>
      <c r="O540" s="12"/>
      <c r="P540" s="12"/>
      <c r="Q540" s="12"/>
    </row>
    <row r="541" spans="3:17" s="11" customFormat="1">
      <c r="C541" s="12"/>
      <c r="D541" s="12"/>
      <c r="E541" s="13"/>
      <c r="F541" s="13"/>
      <c r="G541" s="13"/>
      <c r="H541" s="13"/>
      <c r="I541" s="14"/>
      <c r="J541" s="12"/>
      <c r="N541" s="12"/>
      <c r="O541" s="12"/>
      <c r="P541" s="12"/>
      <c r="Q541" s="12"/>
    </row>
    <row r="542" spans="3:17" s="11" customFormat="1">
      <c r="C542" s="12"/>
      <c r="D542" s="12"/>
      <c r="E542" s="13"/>
      <c r="F542" s="13"/>
      <c r="G542" s="13"/>
      <c r="H542" s="13"/>
      <c r="I542" s="14"/>
      <c r="J542" s="12"/>
      <c r="N542" s="12"/>
      <c r="O542" s="12"/>
      <c r="P542" s="12"/>
      <c r="Q542" s="12"/>
    </row>
    <row r="543" spans="3:17" s="11" customFormat="1">
      <c r="C543" s="12"/>
      <c r="D543" s="12"/>
      <c r="E543" s="13"/>
      <c r="F543" s="13"/>
      <c r="G543" s="13"/>
      <c r="H543" s="13"/>
      <c r="I543" s="14"/>
      <c r="J543" s="12"/>
      <c r="N543" s="12"/>
      <c r="O543" s="12"/>
      <c r="P543" s="12"/>
      <c r="Q543" s="12"/>
    </row>
    <row r="544" spans="3:17" s="11" customFormat="1">
      <c r="C544" s="12"/>
      <c r="D544" s="12"/>
      <c r="E544" s="13"/>
      <c r="F544" s="13"/>
      <c r="G544" s="13"/>
      <c r="H544" s="13"/>
      <c r="I544" s="14"/>
      <c r="J544" s="12"/>
      <c r="N544" s="12"/>
      <c r="O544" s="12"/>
      <c r="P544" s="12"/>
      <c r="Q544" s="12"/>
    </row>
    <row r="545" spans="3:17" s="11" customFormat="1">
      <c r="C545" s="12"/>
      <c r="D545" s="12"/>
      <c r="E545" s="13"/>
      <c r="F545" s="13"/>
      <c r="G545" s="13"/>
      <c r="H545" s="13"/>
      <c r="I545" s="14"/>
      <c r="J545" s="12"/>
      <c r="N545" s="12"/>
      <c r="O545" s="12"/>
      <c r="P545" s="12"/>
      <c r="Q545" s="12"/>
    </row>
    <row r="546" spans="3:17" s="11" customFormat="1">
      <c r="C546" s="12"/>
      <c r="D546" s="12"/>
      <c r="E546" s="13"/>
      <c r="F546" s="13"/>
      <c r="G546" s="13"/>
      <c r="H546" s="13"/>
      <c r="I546" s="14"/>
      <c r="J546" s="12"/>
      <c r="N546" s="12"/>
      <c r="O546" s="12"/>
      <c r="P546" s="12"/>
      <c r="Q546" s="12"/>
    </row>
    <row r="547" spans="3:17" s="11" customFormat="1">
      <c r="C547" s="12"/>
      <c r="D547" s="12"/>
      <c r="E547" s="13"/>
      <c r="F547" s="13"/>
      <c r="G547" s="13"/>
      <c r="H547" s="13"/>
      <c r="I547" s="14"/>
      <c r="J547" s="12"/>
      <c r="N547" s="12"/>
      <c r="O547" s="12"/>
      <c r="P547" s="12"/>
      <c r="Q547" s="12"/>
    </row>
    <row r="548" spans="3:17" s="11" customFormat="1">
      <c r="C548" s="12"/>
      <c r="D548" s="12"/>
      <c r="E548" s="13"/>
      <c r="F548" s="13"/>
      <c r="G548" s="13"/>
      <c r="H548" s="13"/>
      <c r="I548" s="14"/>
      <c r="J548" s="12"/>
      <c r="N548" s="12"/>
      <c r="O548" s="12"/>
      <c r="P548" s="12"/>
      <c r="Q548" s="12"/>
    </row>
    <row r="549" spans="3:17" s="11" customFormat="1">
      <c r="C549" s="12"/>
      <c r="D549" s="12"/>
      <c r="E549" s="13"/>
      <c r="F549" s="13"/>
      <c r="G549" s="13"/>
      <c r="H549" s="13"/>
      <c r="I549" s="14"/>
      <c r="J549" s="12"/>
      <c r="N549" s="12"/>
      <c r="O549" s="12"/>
      <c r="P549" s="12"/>
      <c r="Q549" s="12"/>
    </row>
    <row r="550" spans="3:17" s="11" customFormat="1">
      <c r="C550" s="12"/>
      <c r="D550" s="12"/>
      <c r="E550" s="13"/>
      <c r="F550" s="13"/>
      <c r="G550" s="13"/>
      <c r="H550" s="13"/>
      <c r="I550" s="14"/>
      <c r="J550" s="12"/>
      <c r="N550" s="12"/>
      <c r="O550" s="12"/>
      <c r="P550" s="12"/>
      <c r="Q550" s="12"/>
    </row>
    <row r="551" spans="3:17" s="11" customFormat="1">
      <c r="C551" s="12"/>
      <c r="D551" s="12"/>
      <c r="E551" s="13"/>
      <c r="F551" s="13"/>
      <c r="G551" s="13"/>
      <c r="H551" s="13"/>
      <c r="I551" s="14"/>
      <c r="J551" s="12"/>
      <c r="N551" s="12"/>
      <c r="O551" s="12"/>
      <c r="P551" s="12"/>
      <c r="Q551" s="12"/>
    </row>
    <row r="552" spans="3:17" s="11" customFormat="1">
      <c r="C552" s="12"/>
      <c r="D552" s="12"/>
      <c r="E552" s="13"/>
      <c r="F552" s="13"/>
      <c r="G552" s="13"/>
      <c r="H552" s="13"/>
      <c r="I552" s="14"/>
      <c r="J552" s="12"/>
      <c r="N552" s="12"/>
      <c r="O552" s="12"/>
      <c r="P552" s="12"/>
      <c r="Q552" s="12"/>
    </row>
    <row r="553" spans="3:17" s="11" customFormat="1">
      <c r="C553" s="12"/>
      <c r="D553" s="12"/>
      <c r="E553" s="13"/>
      <c r="F553" s="13"/>
      <c r="G553" s="13"/>
      <c r="H553" s="13"/>
      <c r="I553" s="14"/>
      <c r="J553" s="12"/>
      <c r="N553" s="12"/>
      <c r="O553" s="12"/>
      <c r="P553" s="12"/>
      <c r="Q553" s="12"/>
    </row>
    <row r="554" spans="3:17" s="11" customFormat="1">
      <c r="C554" s="12"/>
      <c r="D554" s="12"/>
      <c r="E554" s="13"/>
      <c r="F554" s="13"/>
      <c r="G554" s="13"/>
      <c r="H554" s="13"/>
      <c r="I554" s="14"/>
      <c r="J554" s="12"/>
      <c r="N554" s="12"/>
      <c r="O554" s="12"/>
      <c r="P554" s="12"/>
      <c r="Q554" s="12"/>
    </row>
    <row r="555" spans="3:17" s="11" customFormat="1">
      <c r="C555" s="12"/>
      <c r="D555" s="12"/>
      <c r="E555" s="13"/>
      <c r="F555" s="13"/>
      <c r="G555" s="13"/>
      <c r="H555" s="13"/>
      <c r="I555" s="14"/>
      <c r="J555" s="12"/>
      <c r="N555" s="12"/>
      <c r="O555" s="12"/>
      <c r="P555" s="12"/>
      <c r="Q555" s="12"/>
    </row>
    <row r="556" spans="3:17" s="11" customFormat="1">
      <c r="C556" s="12"/>
      <c r="D556" s="12"/>
      <c r="E556" s="13"/>
      <c r="F556" s="13"/>
      <c r="G556" s="13"/>
      <c r="H556" s="13"/>
      <c r="I556" s="14"/>
      <c r="J556" s="12"/>
      <c r="N556" s="12"/>
      <c r="O556" s="12"/>
      <c r="P556" s="12"/>
      <c r="Q556" s="12"/>
    </row>
    <row r="557" spans="3:17" s="11" customFormat="1">
      <c r="C557" s="12"/>
      <c r="D557" s="12"/>
      <c r="E557" s="13"/>
      <c r="F557" s="13"/>
      <c r="G557" s="13"/>
      <c r="H557" s="13"/>
      <c r="I557" s="14"/>
      <c r="J557" s="12"/>
      <c r="N557" s="12"/>
      <c r="O557" s="12"/>
      <c r="P557" s="12"/>
      <c r="Q557" s="12"/>
    </row>
    <row r="558" spans="3:17" s="11" customFormat="1">
      <c r="C558" s="12"/>
      <c r="D558" s="12"/>
      <c r="E558" s="13"/>
      <c r="F558" s="13"/>
      <c r="G558" s="13"/>
      <c r="H558" s="13"/>
      <c r="I558" s="14"/>
      <c r="J558" s="12"/>
      <c r="N558" s="12"/>
      <c r="O558" s="12"/>
      <c r="P558" s="12"/>
      <c r="Q558" s="12"/>
    </row>
    <row r="559" spans="3:17" s="11" customFormat="1">
      <c r="C559" s="12"/>
      <c r="D559" s="12"/>
      <c r="E559" s="13"/>
      <c r="F559" s="13"/>
      <c r="G559" s="13"/>
      <c r="H559" s="13"/>
      <c r="I559" s="14"/>
      <c r="J559" s="12"/>
      <c r="N559" s="12"/>
      <c r="O559" s="12"/>
      <c r="P559" s="12"/>
      <c r="Q559" s="12"/>
    </row>
    <row r="560" spans="3:17" s="11" customFormat="1">
      <c r="C560" s="12"/>
      <c r="D560" s="12"/>
      <c r="E560" s="13"/>
      <c r="F560" s="13"/>
      <c r="G560" s="13"/>
      <c r="H560" s="13"/>
      <c r="I560" s="14"/>
      <c r="J560" s="12"/>
      <c r="N560" s="12"/>
      <c r="O560" s="12"/>
      <c r="P560" s="12"/>
      <c r="Q560" s="12"/>
    </row>
    <row r="561" spans="3:17" s="11" customFormat="1">
      <c r="C561" s="12"/>
      <c r="D561" s="12"/>
      <c r="E561" s="13"/>
      <c r="F561" s="13"/>
      <c r="G561" s="13"/>
      <c r="H561" s="13"/>
      <c r="I561" s="14"/>
      <c r="J561" s="12"/>
      <c r="N561" s="12"/>
      <c r="O561" s="12"/>
      <c r="P561" s="12"/>
      <c r="Q561" s="12"/>
    </row>
    <row r="562" spans="3:17" s="11" customFormat="1">
      <c r="C562" s="12"/>
      <c r="D562" s="12"/>
      <c r="E562" s="13"/>
      <c r="F562" s="13"/>
      <c r="G562" s="13"/>
      <c r="H562" s="13"/>
      <c r="I562" s="14"/>
      <c r="J562" s="12"/>
      <c r="N562" s="12"/>
      <c r="O562" s="12"/>
      <c r="P562" s="12"/>
      <c r="Q562" s="12"/>
    </row>
    <row r="563" spans="3:17" s="11" customFormat="1">
      <c r="C563" s="12"/>
      <c r="D563" s="12"/>
      <c r="E563" s="13"/>
      <c r="F563" s="13"/>
      <c r="G563" s="13"/>
      <c r="H563" s="13"/>
      <c r="I563" s="14"/>
      <c r="J563" s="12"/>
      <c r="N563" s="12"/>
      <c r="O563" s="12"/>
      <c r="P563" s="12"/>
      <c r="Q563" s="12"/>
    </row>
    <row r="564" spans="3:17" s="11" customFormat="1">
      <c r="C564" s="12"/>
      <c r="D564" s="12"/>
      <c r="E564" s="13"/>
      <c r="F564" s="13"/>
      <c r="G564" s="13"/>
      <c r="H564" s="13"/>
      <c r="I564" s="14"/>
      <c r="J564" s="12"/>
      <c r="N564" s="12"/>
      <c r="O564" s="12"/>
      <c r="P564" s="12"/>
      <c r="Q564" s="12"/>
    </row>
    <row r="565" spans="3:17" s="11" customFormat="1">
      <c r="C565" s="12"/>
      <c r="D565" s="12"/>
      <c r="E565" s="13"/>
      <c r="F565" s="13"/>
      <c r="G565" s="13"/>
      <c r="H565" s="13"/>
      <c r="I565" s="14"/>
      <c r="J565" s="12"/>
      <c r="N565" s="12"/>
      <c r="O565" s="12"/>
      <c r="P565" s="12"/>
      <c r="Q565" s="12"/>
    </row>
    <row r="566" spans="3:17" s="11" customFormat="1">
      <c r="C566" s="12"/>
      <c r="D566" s="12"/>
      <c r="E566" s="13"/>
      <c r="F566" s="13"/>
      <c r="G566" s="13"/>
      <c r="H566" s="13"/>
      <c r="I566" s="14"/>
      <c r="J566" s="12"/>
      <c r="N566" s="12"/>
      <c r="O566" s="12"/>
      <c r="P566" s="12"/>
      <c r="Q566" s="12"/>
    </row>
    <row r="567" spans="3:17" s="11" customFormat="1">
      <c r="C567" s="12"/>
      <c r="D567" s="12"/>
      <c r="E567" s="13"/>
      <c r="F567" s="13"/>
      <c r="G567" s="13"/>
      <c r="H567" s="13"/>
      <c r="I567" s="14"/>
      <c r="J567" s="12"/>
      <c r="N567" s="12"/>
      <c r="O567" s="12"/>
      <c r="P567" s="12"/>
      <c r="Q567" s="12"/>
    </row>
    <row r="568" spans="3:17" s="11" customFormat="1">
      <c r="C568" s="12"/>
      <c r="D568" s="12"/>
      <c r="E568" s="13"/>
      <c r="F568" s="13"/>
      <c r="G568" s="13"/>
      <c r="H568" s="13"/>
      <c r="I568" s="14"/>
      <c r="J568" s="12"/>
      <c r="N568" s="12"/>
      <c r="O568" s="12"/>
      <c r="P568" s="12"/>
      <c r="Q568" s="12"/>
    </row>
    <row r="569" spans="3:17" s="11" customFormat="1">
      <c r="C569" s="12"/>
      <c r="D569" s="12"/>
      <c r="E569" s="13"/>
      <c r="F569" s="13"/>
      <c r="G569" s="13"/>
      <c r="H569" s="13"/>
      <c r="I569" s="14"/>
      <c r="J569" s="12"/>
      <c r="N569" s="12"/>
      <c r="O569" s="12"/>
      <c r="P569" s="12"/>
      <c r="Q569" s="12"/>
    </row>
    <row r="570" spans="3:17" s="11" customFormat="1">
      <c r="C570" s="12"/>
      <c r="D570" s="12"/>
      <c r="E570" s="13"/>
      <c r="F570" s="13"/>
      <c r="G570" s="13"/>
      <c r="H570" s="13"/>
      <c r="I570" s="14"/>
      <c r="J570" s="12"/>
      <c r="N570" s="12"/>
      <c r="O570" s="12"/>
      <c r="P570" s="12"/>
      <c r="Q570" s="12"/>
    </row>
    <row r="571" spans="3:17" s="11" customFormat="1">
      <c r="C571" s="12"/>
      <c r="D571" s="12"/>
      <c r="E571" s="13"/>
      <c r="F571" s="13"/>
      <c r="G571" s="13"/>
      <c r="H571" s="13"/>
      <c r="I571" s="14"/>
      <c r="J571" s="12"/>
      <c r="N571" s="12"/>
      <c r="O571" s="12"/>
      <c r="P571" s="12"/>
      <c r="Q571" s="12"/>
    </row>
    <row r="572" spans="3:17" s="11" customFormat="1">
      <c r="C572" s="12"/>
      <c r="D572" s="12"/>
      <c r="E572" s="13"/>
      <c r="F572" s="13"/>
      <c r="G572" s="13"/>
      <c r="H572" s="13"/>
      <c r="I572" s="14"/>
      <c r="J572" s="12"/>
      <c r="N572" s="12"/>
      <c r="O572" s="12"/>
      <c r="P572" s="12"/>
      <c r="Q572" s="12"/>
    </row>
    <row r="573" spans="3:17" s="11" customFormat="1">
      <c r="C573" s="12"/>
      <c r="D573" s="12"/>
      <c r="E573" s="13"/>
      <c r="F573" s="13"/>
      <c r="G573" s="13"/>
      <c r="H573" s="13"/>
      <c r="I573" s="14"/>
      <c r="J573" s="12"/>
      <c r="N573" s="12"/>
      <c r="O573" s="12"/>
      <c r="P573" s="12"/>
      <c r="Q573" s="12"/>
    </row>
    <row r="574" spans="3:17" s="11" customFormat="1">
      <c r="C574" s="12"/>
      <c r="D574" s="12"/>
      <c r="E574" s="13"/>
      <c r="F574" s="13"/>
      <c r="G574" s="13"/>
      <c r="H574" s="13"/>
      <c r="I574" s="14"/>
      <c r="J574" s="12"/>
      <c r="N574" s="12"/>
      <c r="O574" s="12"/>
      <c r="P574" s="12"/>
      <c r="Q574" s="12"/>
    </row>
    <row r="575" spans="3:17" s="11" customFormat="1">
      <c r="C575" s="12"/>
      <c r="D575" s="12"/>
      <c r="E575" s="13"/>
      <c r="F575" s="13"/>
      <c r="G575" s="13"/>
      <c r="H575" s="13"/>
      <c r="I575" s="14"/>
      <c r="J575" s="12"/>
      <c r="N575" s="12"/>
      <c r="O575" s="12"/>
      <c r="P575" s="12"/>
      <c r="Q575" s="12"/>
    </row>
    <row r="576" spans="3:17" s="11" customFormat="1">
      <c r="C576" s="12"/>
      <c r="D576" s="12"/>
      <c r="E576" s="13"/>
      <c r="F576" s="13"/>
      <c r="G576" s="13"/>
      <c r="H576" s="13"/>
      <c r="I576" s="14"/>
      <c r="J576" s="12"/>
      <c r="N576" s="12"/>
      <c r="O576" s="12"/>
      <c r="P576" s="12"/>
      <c r="Q576" s="12"/>
    </row>
    <row r="577" spans="3:17" s="11" customFormat="1">
      <c r="C577" s="12"/>
      <c r="D577" s="12"/>
      <c r="E577" s="13"/>
      <c r="F577" s="13"/>
      <c r="G577" s="13"/>
      <c r="H577" s="13"/>
      <c r="I577" s="14"/>
      <c r="J577" s="12"/>
      <c r="N577" s="12"/>
      <c r="O577" s="12"/>
      <c r="P577" s="12"/>
      <c r="Q577" s="12"/>
    </row>
    <row r="578" spans="3:17" s="11" customFormat="1">
      <c r="C578" s="12"/>
      <c r="D578" s="12"/>
      <c r="E578" s="13"/>
      <c r="F578" s="13"/>
      <c r="G578" s="13"/>
      <c r="H578" s="13"/>
      <c r="I578" s="14"/>
      <c r="J578" s="12"/>
      <c r="N578" s="12"/>
      <c r="O578" s="12"/>
      <c r="P578" s="12"/>
      <c r="Q578" s="12"/>
    </row>
    <row r="579" spans="3:17" s="11" customFormat="1">
      <c r="C579" s="12"/>
      <c r="D579" s="12"/>
      <c r="E579" s="13"/>
      <c r="F579" s="13"/>
      <c r="G579" s="13"/>
      <c r="H579" s="13"/>
      <c r="I579" s="14"/>
      <c r="J579" s="17"/>
      <c r="N579" s="12"/>
      <c r="O579" s="12"/>
      <c r="P579" s="12"/>
      <c r="Q579" s="12"/>
    </row>
    <row r="580" spans="3:17" s="11" customFormat="1">
      <c r="C580" s="12"/>
      <c r="D580" s="12"/>
      <c r="E580" s="13"/>
      <c r="F580" s="13"/>
      <c r="G580" s="13"/>
      <c r="H580" s="13"/>
      <c r="I580" s="14"/>
      <c r="J580" s="17"/>
      <c r="N580" s="12"/>
      <c r="O580" s="12"/>
      <c r="P580" s="12"/>
      <c r="Q580" s="12"/>
    </row>
    <row r="581" spans="3:17" s="11" customFormat="1">
      <c r="C581" s="12"/>
      <c r="D581" s="12"/>
      <c r="E581" s="13"/>
      <c r="F581" s="13"/>
      <c r="G581" s="13"/>
      <c r="H581" s="13"/>
      <c r="I581" s="14"/>
      <c r="J581" s="17"/>
      <c r="N581" s="12"/>
      <c r="O581" s="12"/>
      <c r="P581" s="12"/>
      <c r="Q581" s="12"/>
    </row>
    <row r="582" spans="3:17" s="11" customFormat="1">
      <c r="C582" s="12"/>
      <c r="D582" s="12"/>
      <c r="E582" s="13"/>
      <c r="F582" s="13"/>
      <c r="G582" s="13"/>
      <c r="H582" s="13"/>
      <c r="I582" s="14"/>
      <c r="J582" s="17"/>
      <c r="N582" s="12"/>
      <c r="O582" s="12"/>
      <c r="P582" s="12"/>
      <c r="Q582" s="12"/>
    </row>
    <row r="583" spans="3:17" s="11" customFormat="1">
      <c r="C583" s="17"/>
      <c r="D583" s="12"/>
      <c r="E583" s="13"/>
      <c r="F583" s="13"/>
      <c r="G583" s="13"/>
      <c r="H583" s="13"/>
      <c r="I583" s="14"/>
      <c r="J583" s="17"/>
      <c r="N583" s="12"/>
      <c r="O583" s="12"/>
      <c r="P583" s="12"/>
      <c r="Q583" s="12"/>
    </row>
  </sheetData>
  <mergeCells count="4">
    <mergeCell ref="J281:J283"/>
    <mergeCell ref="J305:J307"/>
    <mergeCell ref="J468:J470"/>
    <mergeCell ref="J486:J492"/>
  </mergeCells>
  <printOptions horizontalCentered="1"/>
  <pageMargins left="0.75" right="0.75" top="0.75" bottom="0.75" header="0.5" footer="0.5"/>
  <pageSetup scale="77" fitToHeight="0" orientation="landscape" r:id="rId1"/>
  <headerFooter alignWithMargins="0">
    <oddFooter>&amp;R&amp;A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0"/>
  <sheetViews>
    <sheetView topLeftCell="B1" zoomScale="130" zoomScaleNormal="130" workbookViewId="0">
      <selection activeCell="B1" sqref="B1"/>
    </sheetView>
  </sheetViews>
  <sheetFormatPr defaultColWidth="8.7265625" defaultRowHeight="14.5"/>
  <cols>
    <col min="1" max="1" width="6.81640625" style="562" hidden="1" customWidth="1"/>
    <col min="2" max="2" width="6.81640625" style="562" customWidth="1"/>
    <col min="3" max="3" width="25.81640625" style="592" customWidth="1"/>
    <col min="4" max="4" width="63.7265625" style="567" customWidth="1"/>
    <col min="5" max="5" width="9.7265625" style="594" hidden="1" customWidth="1"/>
    <col min="6" max="6" width="19.1796875" style="600" hidden="1" customWidth="1"/>
    <col min="7" max="13" width="4.453125" style="567" customWidth="1"/>
    <col min="14" max="14" width="69.26953125" style="567" customWidth="1"/>
    <col min="15" max="16384" width="8.7265625" style="567"/>
  </cols>
  <sheetData>
    <row r="1" spans="1:14">
      <c r="B1" s="868" t="s">
        <v>2563</v>
      </c>
      <c r="C1" s="870"/>
      <c r="D1" s="563"/>
      <c r="E1" s="564"/>
      <c r="F1" s="565"/>
      <c r="G1" s="563"/>
      <c r="H1" s="563"/>
      <c r="I1" s="563"/>
      <c r="J1" s="563"/>
      <c r="K1" s="563"/>
      <c r="L1" s="563"/>
      <c r="M1" s="563"/>
      <c r="N1" s="566"/>
    </row>
    <row r="2" spans="1:14">
      <c r="B2" s="869" t="s">
        <v>2589</v>
      </c>
      <c r="C2" s="871"/>
      <c r="N2" s="624"/>
    </row>
    <row r="3" spans="1:14">
      <c r="B3" s="869" t="str">
        <f>'Summary-TrueUp'!A3</f>
        <v>12 Months Ending 09/30/2018 True-up</v>
      </c>
      <c r="C3" s="871"/>
      <c r="N3" s="624"/>
    </row>
    <row r="4" spans="1:14">
      <c r="B4" s="823"/>
      <c r="C4" s="569"/>
      <c r="D4" s="570"/>
      <c r="E4" s="571"/>
      <c r="F4" s="572"/>
      <c r="G4" s="863" t="s">
        <v>1499</v>
      </c>
      <c r="H4" s="864"/>
      <c r="I4" s="864"/>
      <c r="J4" s="864"/>
      <c r="K4" s="864"/>
      <c r="L4" s="864"/>
      <c r="M4" s="865"/>
      <c r="N4" s="573"/>
    </row>
    <row r="5" spans="1:14" s="577" customFormat="1" ht="29">
      <c r="A5" s="574" t="s">
        <v>1</v>
      </c>
      <c r="B5" s="575" t="s">
        <v>0</v>
      </c>
      <c r="C5" s="576" t="s">
        <v>1500</v>
      </c>
      <c r="D5" s="577" t="s">
        <v>1501</v>
      </c>
      <c r="E5" s="577" t="s">
        <v>1502</v>
      </c>
      <c r="F5" s="578" t="s">
        <v>1503</v>
      </c>
      <c r="G5" s="579" t="s">
        <v>1504</v>
      </c>
      <c r="H5" s="579" t="s">
        <v>1505</v>
      </c>
      <c r="I5" s="579" t="s">
        <v>1506</v>
      </c>
      <c r="J5" s="579" t="s">
        <v>1507</v>
      </c>
      <c r="K5" s="579" t="s">
        <v>1508</v>
      </c>
      <c r="L5" s="579" t="s">
        <v>1509</v>
      </c>
      <c r="M5" s="579" t="s">
        <v>1510</v>
      </c>
      <c r="N5" s="580" t="s">
        <v>1511</v>
      </c>
    </row>
    <row r="6" spans="1:14" s="591" customFormat="1">
      <c r="A6" s="581"/>
      <c r="B6" s="582">
        <v>1</v>
      </c>
      <c r="C6" s="583" t="s">
        <v>1512</v>
      </c>
      <c r="D6" s="584"/>
      <c r="E6" s="585"/>
      <c r="F6" s="586"/>
      <c r="G6" s="587"/>
      <c r="H6" s="587"/>
      <c r="I6" s="588"/>
      <c r="J6" s="588"/>
      <c r="K6" s="589"/>
      <c r="L6" s="588"/>
      <c r="M6" s="588"/>
      <c r="N6" s="590"/>
    </row>
    <row r="7" spans="1:14">
      <c r="A7" s="562" t="s">
        <v>236</v>
      </c>
      <c r="B7" s="582">
        <f t="shared" ref="B7:B70" si="0">B6+1</f>
        <v>2</v>
      </c>
      <c r="C7" s="592" t="s">
        <v>1513</v>
      </c>
      <c r="D7" s="593" t="s">
        <v>1514</v>
      </c>
      <c r="E7" s="594" t="s">
        <v>11</v>
      </c>
      <c r="F7" s="595">
        <v>5878984</v>
      </c>
      <c r="G7" s="596" t="s">
        <v>1515</v>
      </c>
      <c r="H7" s="597"/>
      <c r="I7" s="597"/>
      <c r="J7" s="597"/>
      <c r="K7" s="598"/>
      <c r="L7" s="597"/>
      <c r="M7" s="597"/>
      <c r="N7" s="599"/>
    </row>
    <row r="8" spans="1:14">
      <c r="B8" s="582">
        <f t="shared" si="0"/>
        <v>3</v>
      </c>
      <c r="D8" s="593" t="s">
        <v>1516</v>
      </c>
      <c r="E8" s="594" t="s">
        <v>11</v>
      </c>
      <c r="G8" s="596" t="s">
        <v>1515</v>
      </c>
      <c r="H8" s="597"/>
      <c r="I8" s="597"/>
      <c r="J8" s="597"/>
      <c r="K8" s="598"/>
      <c r="L8" s="597"/>
      <c r="M8" s="597"/>
      <c r="N8" s="599"/>
    </row>
    <row r="9" spans="1:14">
      <c r="A9" s="562" t="s">
        <v>238</v>
      </c>
      <c r="B9" s="582">
        <f t="shared" si="0"/>
        <v>4</v>
      </c>
      <c r="C9" s="592" t="s">
        <v>1517</v>
      </c>
      <c r="D9" s="593" t="s">
        <v>1518</v>
      </c>
      <c r="E9" s="594" t="s">
        <v>11</v>
      </c>
      <c r="F9" s="600">
        <v>1117933</v>
      </c>
      <c r="G9" s="597" t="s">
        <v>1515</v>
      </c>
      <c r="H9" s="597"/>
      <c r="I9" s="597"/>
      <c r="J9" s="597"/>
      <c r="K9" s="598"/>
      <c r="L9" s="597"/>
      <c r="M9" s="597"/>
      <c r="N9" s="599"/>
    </row>
    <row r="10" spans="1:14">
      <c r="B10" s="582">
        <f t="shared" si="0"/>
        <v>5</v>
      </c>
      <c r="D10" s="593" t="s">
        <v>1519</v>
      </c>
      <c r="E10" s="594" t="s">
        <v>11</v>
      </c>
      <c r="G10" s="597" t="s">
        <v>1515</v>
      </c>
      <c r="H10" s="597"/>
      <c r="I10" s="597"/>
      <c r="J10" s="597"/>
      <c r="K10" s="598"/>
      <c r="L10" s="597"/>
      <c r="M10" s="597"/>
      <c r="N10" s="599" t="s">
        <v>1520</v>
      </c>
    </row>
    <row r="11" spans="1:14">
      <c r="B11" s="582">
        <f t="shared" si="0"/>
        <v>6</v>
      </c>
      <c r="D11" s="593" t="s">
        <v>1521</v>
      </c>
      <c r="E11" s="594" t="s">
        <v>11</v>
      </c>
      <c r="G11" s="597" t="s">
        <v>1515</v>
      </c>
      <c r="H11" s="597"/>
      <c r="I11" s="597"/>
      <c r="J11" s="597"/>
      <c r="K11" s="598"/>
      <c r="L11" s="597"/>
      <c r="M11" s="597"/>
      <c r="N11" s="599"/>
    </row>
    <row r="12" spans="1:14" ht="29">
      <c r="B12" s="582">
        <f t="shared" si="0"/>
        <v>7</v>
      </c>
      <c r="D12" s="593" t="s">
        <v>1522</v>
      </c>
      <c r="E12" s="594" t="s">
        <v>11</v>
      </c>
      <c r="G12" s="597"/>
      <c r="H12" s="597" t="s">
        <v>1515</v>
      </c>
      <c r="I12" s="597"/>
      <c r="J12" s="597"/>
      <c r="K12" s="598"/>
      <c r="L12" s="597"/>
      <c r="M12" s="597"/>
      <c r="N12" s="601" t="s">
        <v>1523</v>
      </c>
    </row>
    <row r="13" spans="1:14" ht="19.5" customHeight="1">
      <c r="B13" s="582">
        <f t="shared" si="0"/>
        <v>8</v>
      </c>
      <c r="D13" s="593" t="s">
        <v>1524</v>
      </c>
      <c r="E13" s="594" t="s">
        <v>11</v>
      </c>
      <c r="G13" s="597"/>
      <c r="H13" s="597" t="s">
        <v>1515</v>
      </c>
      <c r="I13" s="597"/>
      <c r="J13" s="597"/>
      <c r="K13" s="598"/>
      <c r="L13" s="597"/>
      <c r="M13" s="597"/>
      <c r="N13" s="601" t="s">
        <v>1525</v>
      </c>
    </row>
    <row r="14" spans="1:14">
      <c r="A14" s="562" t="s">
        <v>1526</v>
      </c>
      <c r="B14" s="582">
        <f t="shared" si="0"/>
        <v>9</v>
      </c>
      <c r="C14" s="592" t="s">
        <v>1527</v>
      </c>
      <c r="D14" s="593" t="s">
        <v>1528</v>
      </c>
      <c r="E14" s="594" t="s">
        <v>11</v>
      </c>
      <c r="F14" s="600">
        <v>63325</v>
      </c>
      <c r="G14" s="596" t="s">
        <v>1515</v>
      </c>
      <c r="H14" s="596"/>
      <c r="I14" s="597"/>
      <c r="J14" s="597"/>
      <c r="K14" s="598"/>
      <c r="L14" s="597"/>
      <c r="M14" s="597"/>
      <c r="N14" s="599"/>
    </row>
    <row r="15" spans="1:14">
      <c r="A15" s="562" t="s">
        <v>243</v>
      </c>
      <c r="B15" s="582">
        <f t="shared" si="0"/>
        <v>10</v>
      </c>
      <c r="C15" s="592" t="s">
        <v>1529</v>
      </c>
      <c r="D15" s="593" t="s">
        <v>2402</v>
      </c>
      <c r="E15" s="594" t="s">
        <v>11</v>
      </c>
      <c r="F15" s="600">
        <v>2775537</v>
      </c>
      <c r="G15" s="597" t="s">
        <v>1515</v>
      </c>
      <c r="H15" s="597"/>
      <c r="I15" s="597"/>
      <c r="J15" s="597"/>
      <c r="K15" s="598"/>
      <c r="L15" s="597"/>
      <c r="M15" s="597"/>
      <c r="N15" s="599"/>
    </row>
    <row r="16" spans="1:14">
      <c r="B16" s="582">
        <f t="shared" si="0"/>
        <v>11</v>
      </c>
      <c r="D16" s="593" t="s">
        <v>1530</v>
      </c>
      <c r="E16" s="594" t="s">
        <v>11</v>
      </c>
      <c r="G16" s="597" t="s">
        <v>1515</v>
      </c>
      <c r="H16" s="597"/>
      <c r="I16" s="597"/>
      <c r="J16" s="597"/>
      <c r="K16" s="598"/>
      <c r="L16" s="597"/>
      <c r="M16" s="597"/>
      <c r="N16" s="599"/>
    </row>
    <row r="17" spans="1:14">
      <c r="B17" s="582">
        <f t="shared" si="0"/>
        <v>12</v>
      </c>
      <c r="D17" s="593" t="s">
        <v>1531</v>
      </c>
      <c r="E17" s="594" t="s">
        <v>11</v>
      </c>
      <c r="G17" s="597" t="s">
        <v>1515</v>
      </c>
      <c r="H17" s="597"/>
      <c r="I17" s="597"/>
      <c r="J17" s="597"/>
      <c r="K17" s="598"/>
      <c r="L17" s="597"/>
      <c r="M17" s="597"/>
      <c r="N17" s="599"/>
    </row>
    <row r="18" spans="1:14">
      <c r="A18" s="562" t="s">
        <v>245</v>
      </c>
      <c r="B18" s="582">
        <f t="shared" si="0"/>
        <v>13</v>
      </c>
      <c r="C18" s="592" t="s">
        <v>1532</v>
      </c>
      <c r="D18" s="593" t="s">
        <v>1533</v>
      </c>
      <c r="E18" s="594" t="s">
        <v>11</v>
      </c>
      <c r="F18" s="600">
        <v>164986</v>
      </c>
      <c r="G18" s="597" t="s">
        <v>1515</v>
      </c>
      <c r="H18" s="597"/>
      <c r="I18" s="597"/>
      <c r="J18" s="597"/>
      <c r="K18" s="598"/>
      <c r="L18" s="597"/>
      <c r="M18" s="597"/>
      <c r="N18" s="599"/>
    </row>
    <row r="19" spans="1:14">
      <c r="A19" s="562" t="s">
        <v>247</v>
      </c>
      <c r="B19" s="582">
        <f t="shared" si="0"/>
        <v>14</v>
      </c>
      <c r="C19" s="592" t="s">
        <v>1534</v>
      </c>
      <c r="D19" s="593" t="s">
        <v>1535</v>
      </c>
      <c r="E19" s="594" t="s">
        <v>11</v>
      </c>
      <c r="F19" s="600">
        <v>13937668</v>
      </c>
      <c r="G19" s="597" t="s">
        <v>1515</v>
      </c>
      <c r="H19" s="597"/>
      <c r="I19" s="597"/>
      <c r="J19" s="597"/>
      <c r="K19" s="598"/>
      <c r="L19" s="597"/>
      <c r="M19" s="597"/>
      <c r="N19" s="599"/>
    </row>
    <row r="20" spans="1:14">
      <c r="B20" s="582">
        <f t="shared" si="0"/>
        <v>15</v>
      </c>
      <c r="D20" s="593" t="s">
        <v>1536</v>
      </c>
      <c r="E20" s="594" t="s">
        <v>11</v>
      </c>
      <c r="G20" s="597" t="s">
        <v>1515</v>
      </c>
      <c r="H20" s="597"/>
      <c r="I20" s="597"/>
      <c r="J20" s="597"/>
      <c r="K20" s="598"/>
      <c r="L20" s="597"/>
      <c r="M20" s="597"/>
      <c r="N20" s="599"/>
    </row>
    <row r="21" spans="1:14">
      <c r="B21" s="582">
        <f t="shared" si="0"/>
        <v>16</v>
      </c>
      <c r="D21" s="593" t="s">
        <v>1537</v>
      </c>
      <c r="E21" s="594" t="s">
        <v>11</v>
      </c>
      <c r="G21" s="597" t="s">
        <v>1515</v>
      </c>
      <c r="H21" s="597"/>
      <c r="I21" s="597"/>
      <c r="J21" s="597"/>
      <c r="K21" s="598"/>
      <c r="L21" s="597"/>
      <c r="M21" s="597"/>
      <c r="N21" s="599"/>
    </row>
    <row r="22" spans="1:14">
      <c r="B22" s="582">
        <f t="shared" si="0"/>
        <v>17</v>
      </c>
      <c r="D22" s="593" t="s">
        <v>1538</v>
      </c>
      <c r="E22" s="594" t="s">
        <v>11</v>
      </c>
      <c r="G22" s="597" t="s">
        <v>1515</v>
      </c>
      <c r="H22" s="597"/>
      <c r="I22" s="597"/>
      <c r="J22" s="597"/>
      <c r="K22" s="597"/>
      <c r="L22" s="597"/>
      <c r="M22" s="597"/>
      <c r="N22" s="599"/>
    </row>
    <row r="23" spans="1:14">
      <c r="B23" s="582">
        <f t="shared" si="0"/>
        <v>18</v>
      </c>
      <c r="D23" s="593" t="s">
        <v>1539</v>
      </c>
      <c r="E23" s="594" t="s">
        <v>11</v>
      </c>
      <c r="G23" s="597" t="s">
        <v>1515</v>
      </c>
      <c r="H23" s="597"/>
      <c r="I23" s="597"/>
      <c r="J23" s="597"/>
      <c r="K23" s="597"/>
      <c r="L23" s="597"/>
      <c r="M23" s="597"/>
      <c r="N23" s="599"/>
    </row>
    <row r="24" spans="1:14">
      <c r="A24" s="562" t="s">
        <v>1540</v>
      </c>
      <c r="B24" s="582">
        <f t="shared" si="0"/>
        <v>19</v>
      </c>
      <c r="C24" s="592" t="s">
        <v>1541</v>
      </c>
      <c r="D24" s="593" t="s">
        <v>1542</v>
      </c>
      <c r="E24" s="594" t="s">
        <v>11</v>
      </c>
      <c r="F24" s="600">
        <v>3901175</v>
      </c>
      <c r="G24" s="597" t="s">
        <v>1515</v>
      </c>
      <c r="H24" s="597"/>
      <c r="I24" s="597"/>
      <c r="J24" s="597"/>
      <c r="K24" s="597"/>
      <c r="L24" s="597"/>
      <c r="M24" s="597"/>
      <c r="N24" s="599"/>
    </row>
    <row r="25" spans="1:14">
      <c r="B25" s="582">
        <f t="shared" si="0"/>
        <v>20</v>
      </c>
      <c r="D25" s="593" t="s">
        <v>1543</v>
      </c>
      <c r="E25" s="594" t="s">
        <v>11</v>
      </c>
      <c r="G25" s="597" t="s">
        <v>1515</v>
      </c>
      <c r="H25" s="597"/>
      <c r="I25" s="597"/>
      <c r="J25" s="597"/>
      <c r="K25" s="597"/>
      <c r="L25" s="597"/>
      <c r="M25" s="597"/>
      <c r="N25" s="599"/>
    </row>
    <row r="26" spans="1:14">
      <c r="B26" s="582">
        <f t="shared" si="0"/>
        <v>21</v>
      </c>
      <c r="D26" s="593" t="s">
        <v>1544</v>
      </c>
      <c r="E26" s="594" t="s">
        <v>11</v>
      </c>
      <c r="G26" s="597" t="s">
        <v>1515</v>
      </c>
      <c r="H26" s="597"/>
      <c r="I26" s="597"/>
      <c r="J26" s="597"/>
      <c r="K26" s="597"/>
      <c r="L26" s="597"/>
      <c r="M26" s="597"/>
      <c r="N26" s="599"/>
    </row>
    <row r="27" spans="1:14" ht="29">
      <c r="B27" s="582">
        <f t="shared" si="0"/>
        <v>22</v>
      </c>
      <c r="D27" s="593" t="s">
        <v>1545</v>
      </c>
      <c r="E27" s="594" t="s">
        <v>11</v>
      </c>
      <c r="G27" s="597"/>
      <c r="H27" s="597" t="s">
        <v>1515</v>
      </c>
      <c r="I27" s="597"/>
      <c r="J27" s="597"/>
      <c r="K27" s="597"/>
      <c r="L27" s="597"/>
      <c r="M27" s="597"/>
      <c r="N27" s="601" t="s">
        <v>1546</v>
      </c>
    </row>
    <row r="28" spans="1:14">
      <c r="B28" s="582">
        <f t="shared" si="0"/>
        <v>23</v>
      </c>
      <c r="D28" s="593" t="s">
        <v>1547</v>
      </c>
      <c r="E28" s="594" t="s">
        <v>11</v>
      </c>
      <c r="G28" s="597"/>
      <c r="H28" s="597" t="s">
        <v>1515</v>
      </c>
      <c r="I28" s="597"/>
      <c r="J28" s="597"/>
      <c r="K28" s="597"/>
      <c r="L28" s="597"/>
      <c r="M28" s="597"/>
      <c r="N28" s="599" t="s">
        <v>1548</v>
      </c>
    </row>
    <row r="29" spans="1:14">
      <c r="A29" s="562" t="s">
        <v>251</v>
      </c>
      <c r="B29" s="582">
        <f t="shared" si="0"/>
        <v>24</v>
      </c>
      <c r="C29" s="592" t="s">
        <v>1549</v>
      </c>
      <c r="D29" s="593" t="s">
        <v>1550</v>
      </c>
      <c r="E29" s="594" t="s">
        <v>11</v>
      </c>
      <c r="F29" s="600">
        <v>56597</v>
      </c>
      <c r="G29" s="597" t="s">
        <v>1515</v>
      </c>
      <c r="H29" s="597"/>
      <c r="I29" s="597"/>
      <c r="J29" s="597"/>
      <c r="K29" s="597"/>
      <c r="L29" s="597"/>
      <c r="M29" s="597"/>
      <c r="N29" s="599"/>
    </row>
    <row r="30" spans="1:14" ht="29">
      <c r="A30" s="562" t="s">
        <v>253</v>
      </c>
      <c r="B30" s="582">
        <f t="shared" si="0"/>
        <v>25</v>
      </c>
      <c r="C30" s="592" t="s">
        <v>1551</v>
      </c>
      <c r="D30" s="593" t="s">
        <v>1552</v>
      </c>
      <c r="E30" s="594" t="s">
        <v>11</v>
      </c>
      <c r="F30" s="600">
        <v>15065318</v>
      </c>
      <c r="G30" s="597" t="s">
        <v>1515</v>
      </c>
      <c r="H30" s="597"/>
      <c r="I30" s="597"/>
      <c r="J30" s="597"/>
      <c r="K30" s="597"/>
      <c r="L30" s="597"/>
      <c r="M30" s="597"/>
      <c r="N30" s="599"/>
    </row>
    <row r="31" spans="1:14">
      <c r="B31" s="582">
        <f t="shared" si="0"/>
        <v>26</v>
      </c>
      <c r="D31" s="593" t="s">
        <v>1553</v>
      </c>
      <c r="E31" s="594" t="s">
        <v>11</v>
      </c>
      <c r="G31" s="597" t="s">
        <v>1515</v>
      </c>
      <c r="H31" s="597"/>
      <c r="I31" s="597"/>
      <c r="J31" s="597"/>
      <c r="K31" s="597"/>
      <c r="L31" s="597"/>
      <c r="M31" s="597"/>
      <c r="N31" s="599"/>
    </row>
    <row r="32" spans="1:14">
      <c r="B32" s="582">
        <f t="shared" si="0"/>
        <v>27</v>
      </c>
      <c r="D32" s="602" t="s">
        <v>1554</v>
      </c>
      <c r="E32" s="594" t="s">
        <v>11</v>
      </c>
      <c r="F32" s="603"/>
      <c r="G32" s="597" t="s">
        <v>1515</v>
      </c>
      <c r="H32" s="597"/>
      <c r="I32" s="597"/>
      <c r="J32" s="597"/>
      <c r="K32" s="597"/>
      <c r="L32" s="597"/>
      <c r="M32" s="597"/>
      <c r="N32" s="599"/>
    </row>
    <row r="33" spans="1:15">
      <c r="B33" s="582">
        <f t="shared" si="0"/>
        <v>28</v>
      </c>
      <c r="D33" s="593" t="s">
        <v>1555</v>
      </c>
      <c r="E33" s="594" t="s">
        <v>11</v>
      </c>
      <c r="G33" s="597" t="s">
        <v>1515</v>
      </c>
      <c r="H33" s="597"/>
      <c r="I33" s="597"/>
      <c r="J33" s="597"/>
      <c r="K33" s="597"/>
      <c r="L33" s="597"/>
      <c r="M33" s="597"/>
      <c r="N33" s="599"/>
    </row>
    <row r="34" spans="1:15">
      <c r="B34" s="582">
        <f t="shared" si="0"/>
        <v>29</v>
      </c>
      <c r="D34" s="593" t="s">
        <v>1556</v>
      </c>
      <c r="E34" s="594" t="s">
        <v>11</v>
      </c>
      <c r="G34" s="597" t="s">
        <v>1515</v>
      </c>
      <c r="H34" s="597"/>
      <c r="I34" s="597"/>
      <c r="J34" s="597"/>
      <c r="K34" s="597"/>
      <c r="L34" s="597"/>
      <c r="M34" s="597"/>
      <c r="N34" s="599" t="s">
        <v>1557</v>
      </c>
    </row>
    <row r="35" spans="1:15">
      <c r="A35" s="562" t="s">
        <v>257</v>
      </c>
      <c r="B35" s="582">
        <f t="shared" si="0"/>
        <v>30</v>
      </c>
      <c r="C35" s="592" t="s">
        <v>1558</v>
      </c>
      <c r="D35" s="593" t="s">
        <v>1559</v>
      </c>
      <c r="E35" s="594" t="s">
        <v>36</v>
      </c>
      <c r="F35" s="600">
        <v>2316776</v>
      </c>
      <c r="G35" s="597" t="s">
        <v>1515</v>
      </c>
      <c r="H35" s="597"/>
      <c r="I35" s="597"/>
      <c r="J35" s="597"/>
      <c r="K35" s="597"/>
      <c r="L35" s="597"/>
      <c r="M35" s="597"/>
      <c r="N35" s="599"/>
    </row>
    <row r="36" spans="1:15">
      <c r="B36" s="582">
        <f t="shared" si="0"/>
        <v>31</v>
      </c>
      <c r="D36" s="593" t="s">
        <v>1560</v>
      </c>
      <c r="E36" s="594" t="s">
        <v>36</v>
      </c>
      <c r="G36" s="597" t="s">
        <v>1515</v>
      </c>
      <c r="H36" s="597"/>
      <c r="I36" s="597"/>
      <c r="J36" s="597"/>
      <c r="K36" s="597"/>
      <c r="L36" s="597"/>
      <c r="M36" s="597"/>
      <c r="N36" s="599"/>
    </row>
    <row r="37" spans="1:15">
      <c r="B37" s="582">
        <f t="shared" si="0"/>
        <v>32</v>
      </c>
      <c r="D37" s="593" t="s">
        <v>1561</v>
      </c>
      <c r="E37" s="594" t="s">
        <v>36</v>
      </c>
      <c r="G37" s="597" t="s">
        <v>1515</v>
      </c>
      <c r="H37" s="597"/>
      <c r="I37" s="597"/>
      <c r="J37" s="597"/>
      <c r="K37" s="597"/>
      <c r="L37" s="597"/>
      <c r="M37" s="597"/>
      <c r="N37" s="599"/>
    </row>
    <row r="38" spans="1:15">
      <c r="B38" s="582">
        <f t="shared" si="0"/>
        <v>33</v>
      </c>
      <c r="D38" s="593" t="s">
        <v>1562</v>
      </c>
      <c r="E38" s="594" t="s">
        <v>36</v>
      </c>
      <c r="G38" s="597" t="s">
        <v>1515</v>
      </c>
      <c r="H38" s="597"/>
      <c r="I38" s="597"/>
      <c r="J38" s="597"/>
      <c r="K38" s="597"/>
      <c r="L38" s="597"/>
      <c r="M38" s="597"/>
      <c r="N38" s="599"/>
    </row>
    <row r="39" spans="1:15">
      <c r="B39" s="582">
        <f t="shared" si="0"/>
        <v>34</v>
      </c>
      <c r="D39" s="593" t="s">
        <v>1563</v>
      </c>
      <c r="E39" s="594" t="s">
        <v>36</v>
      </c>
      <c r="G39" s="597"/>
      <c r="H39" s="597" t="s">
        <v>1515</v>
      </c>
      <c r="I39" s="597"/>
      <c r="J39" s="597"/>
      <c r="K39" s="597"/>
      <c r="L39" s="597"/>
      <c r="M39" s="597"/>
      <c r="N39" s="599" t="s">
        <v>1564</v>
      </c>
    </row>
    <row r="40" spans="1:15">
      <c r="A40" s="562" t="s">
        <v>1565</v>
      </c>
      <c r="B40" s="582">
        <f t="shared" si="0"/>
        <v>35</v>
      </c>
      <c r="C40" s="592" t="s">
        <v>1566</v>
      </c>
      <c r="D40" s="593" t="s">
        <v>1567</v>
      </c>
      <c r="E40" s="594" t="s">
        <v>11</v>
      </c>
      <c r="F40" s="600">
        <v>2216942</v>
      </c>
      <c r="G40" s="597" t="s">
        <v>1515</v>
      </c>
      <c r="H40" s="597"/>
      <c r="I40" s="597"/>
      <c r="J40" s="597"/>
      <c r="K40" s="597"/>
      <c r="L40" s="597"/>
      <c r="M40" s="597"/>
      <c r="N40" s="599"/>
    </row>
    <row r="41" spans="1:15">
      <c r="B41" s="582">
        <f t="shared" si="0"/>
        <v>36</v>
      </c>
      <c r="D41" s="593" t="s">
        <v>1568</v>
      </c>
      <c r="E41" s="594" t="s">
        <v>11</v>
      </c>
      <c r="G41" s="597" t="s">
        <v>1515</v>
      </c>
      <c r="H41" s="597"/>
      <c r="I41" s="597"/>
      <c r="J41" s="597"/>
      <c r="K41" s="597"/>
      <c r="L41" s="597"/>
      <c r="M41" s="597"/>
      <c r="N41" s="599"/>
      <c r="O41" s="604"/>
    </row>
    <row r="42" spans="1:15">
      <c r="B42" s="582">
        <f t="shared" si="0"/>
        <v>37</v>
      </c>
      <c r="D42" s="593" t="s">
        <v>1569</v>
      </c>
      <c r="E42" s="594" t="s">
        <v>11</v>
      </c>
      <c r="G42" s="597" t="s">
        <v>1515</v>
      </c>
      <c r="H42" s="597"/>
      <c r="I42" s="597"/>
      <c r="J42" s="597"/>
      <c r="K42" s="597"/>
      <c r="L42" s="597"/>
      <c r="M42" s="597"/>
      <c r="N42" s="599"/>
    </row>
    <row r="43" spans="1:15">
      <c r="B43" s="582">
        <f t="shared" si="0"/>
        <v>38</v>
      </c>
      <c r="D43" s="593" t="s">
        <v>1570</v>
      </c>
      <c r="E43" s="594" t="s">
        <v>11</v>
      </c>
      <c r="G43" s="597" t="s">
        <v>1515</v>
      </c>
      <c r="H43" s="597"/>
      <c r="I43" s="597"/>
      <c r="J43" s="597"/>
      <c r="K43" s="597"/>
      <c r="L43" s="597"/>
      <c r="M43" s="597"/>
      <c r="N43" s="599"/>
    </row>
    <row r="44" spans="1:15" ht="29">
      <c r="A44" s="562" t="s">
        <v>261</v>
      </c>
      <c r="B44" s="582">
        <f t="shared" si="0"/>
        <v>39</v>
      </c>
      <c r="C44" s="592" t="s">
        <v>1571</v>
      </c>
      <c r="D44" s="593" t="s">
        <v>2452</v>
      </c>
      <c r="E44" s="594" t="s">
        <v>11</v>
      </c>
      <c r="F44" s="600">
        <v>3573151</v>
      </c>
      <c r="G44" s="597" t="s">
        <v>1515</v>
      </c>
      <c r="H44" s="597"/>
      <c r="I44" s="597"/>
      <c r="J44" s="597"/>
      <c r="K44" s="597"/>
      <c r="L44" s="597"/>
      <c r="M44" s="597"/>
      <c r="N44" s="599"/>
    </row>
    <row r="45" spans="1:15">
      <c r="B45" s="582">
        <f t="shared" si="0"/>
        <v>40</v>
      </c>
      <c r="D45" s="593" t="s">
        <v>2453</v>
      </c>
      <c r="E45" s="594" t="s">
        <v>11</v>
      </c>
      <c r="G45" s="597" t="s">
        <v>1515</v>
      </c>
      <c r="H45" s="597"/>
      <c r="I45" s="597"/>
      <c r="J45" s="597"/>
      <c r="K45" s="597"/>
      <c r="L45" s="597"/>
      <c r="M45" s="597"/>
      <c r="N45" s="599"/>
    </row>
    <row r="46" spans="1:15">
      <c r="B46" s="582">
        <f t="shared" si="0"/>
        <v>41</v>
      </c>
      <c r="D46" s="593" t="s">
        <v>2338</v>
      </c>
      <c r="E46" s="594" t="s">
        <v>11</v>
      </c>
      <c r="G46" s="597" t="s">
        <v>1515</v>
      </c>
      <c r="H46" s="597"/>
      <c r="I46" s="597"/>
      <c r="J46" s="597"/>
      <c r="K46" s="597"/>
      <c r="L46" s="597"/>
      <c r="M46" s="597"/>
      <c r="N46" s="599"/>
    </row>
    <row r="47" spans="1:15" ht="29">
      <c r="B47" s="582">
        <f t="shared" si="0"/>
        <v>42</v>
      </c>
      <c r="D47" s="593" t="s">
        <v>1545</v>
      </c>
      <c r="E47" s="594" t="s">
        <v>11</v>
      </c>
      <c r="G47" s="597"/>
      <c r="H47" s="597" t="s">
        <v>1515</v>
      </c>
      <c r="I47" s="597"/>
      <c r="J47" s="597"/>
      <c r="K47" s="597"/>
      <c r="L47" s="597"/>
      <c r="M47" s="597"/>
      <c r="N47" s="599" t="s">
        <v>1572</v>
      </c>
    </row>
    <row r="48" spans="1:15" ht="29">
      <c r="B48" s="582">
        <f t="shared" si="0"/>
        <v>43</v>
      </c>
      <c r="D48" s="593" t="s">
        <v>1573</v>
      </c>
      <c r="E48" s="594" t="s">
        <v>11</v>
      </c>
      <c r="G48" s="597"/>
      <c r="H48" s="597" t="s">
        <v>1515</v>
      </c>
      <c r="I48" s="597"/>
      <c r="J48" s="597"/>
      <c r="K48" s="597"/>
      <c r="L48" s="597"/>
      <c r="M48" s="597"/>
      <c r="N48" s="599" t="s">
        <v>1572</v>
      </c>
    </row>
    <row r="49" spans="1:14" ht="29">
      <c r="B49" s="582">
        <f t="shared" si="0"/>
        <v>44</v>
      </c>
      <c r="D49" s="593" t="s">
        <v>1574</v>
      </c>
      <c r="E49" s="594" t="s">
        <v>11</v>
      </c>
      <c r="G49" s="597"/>
      <c r="H49" s="597" t="s">
        <v>1515</v>
      </c>
      <c r="I49" s="597"/>
      <c r="J49" s="597"/>
      <c r="K49" s="597"/>
      <c r="L49" s="597"/>
      <c r="M49" s="597"/>
      <c r="N49" s="599" t="s">
        <v>1575</v>
      </c>
    </row>
    <row r="50" spans="1:14">
      <c r="B50" s="582">
        <f t="shared" si="0"/>
        <v>45</v>
      </c>
      <c r="C50" s="592" t="s">
        <v>2339</v>
      </c>
      <c r="D50" s="593" t="s">
        <v>2340</v>
      </c>
      <c r="G50" s="597" t="s">
        <v>1515</v>
      </c>
      <c r="H50" s="597"/>
      <c r="I50" s="597"/>
      <c r="J50" s="597"/>
      <c r="K50" s="597"/>
      <c r="L50" s="597"/>
      <c r="M50" s="597"/>
      <c r="N50" s="599"/>
    </row>
    <row r="51" spans="1:14">
      <c r="A51" s="562" t="s">
        <v>1576</v>
      </c>
      <c r="B51" s="582">
        <f t="shared" si="0"/>
        <v>46</v>
      </c>
      <c r="C51" s="592" t="s">
        <v>1577</v>
      </c>
      <c r="D51" s="593" t="s">
        <v>1578</v>
      </c>
      <c r="E51" s="594" t="s">
        <v>11</v>
      </c>
      <c r="F51" s="600">
        <v>0</v>
      </c>
      <c r="G51" s="597" t="s">
        <v>1515</v>
      </c>
      <c r="H51" s="597"/>
      <c r="I51" s="597"/>
      <c r="J51" s="597"/>
      <c r="K51" s="597"/>
      <c r="L51" s="597"/>
      <c r="M51" s="597"/>
      <c r="N51" s="599"/>
    </row>
    <row r="52" spans="1:14">
      <c r="A52" s="562" t="s">
        <v>465</v>
      </c>
      <c r="B52" s="582">
        <f t="shared" si="0"/>
        <v>47</v>
      </c>
      <c r="C52" s="592" t="s">
        <v>1579</v>
      </c>
      <c r="D52" s="593" t="s">
        <v>1580</v>
      </c>
      <c r="G52" s="597" t="s">
        <v>1515</v>
      </c>
      <c r="H52" s="597"/>
      <c r="I52" s="597"/>
      <c r="J52" s="597"/>
      <c r="K52" s="597"/>
      <c r="L52" s="597"/>
      <c r="M52" s="597"/>
      <c r="N52" s="599"/>
    </row>
    <row r="53" spans="1:14">
      <c r="A53" s="562" t="s">
        <v>263</v>
      </c>
      <c r="B53" s="582">
        <f t="shared" si="0"/>
        <v>48</v>
      </c>
      <c r="C53" s="592" t="s">
        <v>1581</v>
      </c>
      <c r="D53" s="593" t="s">
        <v>1582</v>
      </c>
      <c r="E53" s="594" t="s">
        <v>11</v>
      </c>
      <c r="F53" s="600">
        <v>2463312</v>
      </c>
      <c r="G53" s="597" t="s">
        <v>1515</v>
      </c>
      <c r="H53" s="597" t="s">
        <v>1515</v>
      </c>
      <c r="I53" s="597"/>
      <c r="J53" s="597"/>
      <c r="K53" s="597"/>
      <c r="L53" s="597"/>
      <c r="M53" s="597"/>
      <c r="N53" s="599" t="s">
        <v>1583</v>
      </c>
    </row>
    <row r="54" spans="1:14">
      <c r="B54" s="582">
        <f t="shared" si="0"/>
        <v>49</v>
      </c>
      <c r="D54" s="593" t="s">
        <v>1584</v>
      </c>
      <c r="E54" s="594" t="s">
        <v>11</v>
      </c>
      <c r="G54" s="597" t="s">
        <v>1515</v>
      </c>
      <c r="H54" s="597"/>
      <c r="I54" s="597"/>
      <c r="J54" s="597"/>
      <c r="K54" s="597"/>
      <c r="L54" s="597"/>
      <c r="M54" s="597"/>
      <c r="N54" s="599"/>
    </row>
    <row r="55" spans="1:14">
      <c r="A55" s="562" t="s">
        <v>1585</v>
      </c>
      <c r="B55" s="582">
        <f t="shared" si="0"/>
        <v>50</v>
      </c>
      <c r="C55" s="592" t="s">
        <v>1586</v>
      </c>
      <c r="D55" s="593" t="s">
        <v>1587</v>
      </c>
      <c r="E55" s="594" t="s">
        <v>11</v>
      </c>
      <c r="F55" s="600">
        <v>3157165</v>
      </c>
      <c r="G55" s="597" t="s">
        <v>1515</v>
      </c>
      <c r="H55" s="597"/>
      <c r="I55" s="597"/>
      <c r="J55" s="597"/>
      <c r="K55" s="597"/>
      <c r="L55" s="597"/>
      <c r="M55" s="597"/>
      <c r="N55" s="599"/>
    </row>
    <row r="56" spans="1:14">
      <c r="B56" s="582">
        <f t="shared" si="0"/>
        <v>51</v>
      </c>
      <c r="D56" s="593" t="s">
        <v>1588</v>
      </c>
      <c r="E56" s="594" t="s">
        <v>11</v>
      </c>
      <c r="G56" s="597" t="s">
        <v>1515</v>
      </c>
      <c r="H56" s="597"/>
      <c r="I56" s="597"/>
      <c r="J56" s="597"/>
      <c r="K56" s="597"/>
      <c r="L56" s="597"/>
      <c r="M56" s="597"/>
      <c r="N56" s="599"/>
    </row>
    <row r="57" spans="1:14">
      <c r="B57" s="582">
        <f t="shared" si="0"/>
        <v>52</v>
      </c>
      <c r="D57" s="593" t="s">
        <v>1589</v>
      </c>
      <c r="E57" s="594" t="s">
        <v>11</v>
      </c>
      <c r="G57" s="597" t="s">
        <v>1515</v>
      </c>
      <c r="H57" s="597"/>
      <c r="I57" s="597"/>
      <c r="J57" s="597"/>
      <c r="K57" s="597"/>
      <c r="L57" s="597"/>
      <c r="M57" s="597"/>
      <c r="N57" s="599"/>
    </row>
    <row r="58" spans="1:14">
      <c r="B58" s="582">
        <f t="shared" si="0"/>
        <v>53</v>
      </c>
      <c r="C58" s="592" t="s">
        <v>2021</v>
      </c>
      <c r="D58" s="593" t="s">
        <v>2022</v>
      </c>
      <c r="E58" s="594" t="s">
        <v>11</v>
      </c>
      <c r="F58" s="600">
        <v>1286118</v>
      </c>
      <c r="G58" s="597" t="s">
        <v>1515</v>
      </c>
      <c r="H58" s="597"/>
      <c r="I58" s="597"/>
      <c r="J58" s="597"/>
      <c r="K58" s="597"/>
      <c r="L58" s="597"/>
      <c r="M58" s="597"/>
      <c r="N58" s="599"/>
    </row>
    <row r="59" spans="1:14">
      <c r="A59" s="562" t="s">
        <v>267</v>
      </c>
      <c r="B59" s="582">
        <f t="shared" si="0"/>
        <v>54</v>
      </c>
      <c r="C59" s="592" t="s">
        <v>1590</v>
      </c>
      <c r="D59" s="593" t="s">
        <v>1591</v>
      </c>
      <c r="E59" s="594" t="s">
        <v>11</v>
      </c>
      <c r="F59" s="605">
        <v>7760738</v>
      </c>
      <c r="G59" s="597" t="s">
        <v>1515</v>
      </c>
      <c r="H59" s="597"/>
      <c r="I59" s="597"/>
      <c r="J59" s="597"/>
      <c r="K59" s="597"/>
      <c r="L59" s="597"/>
      <c r="M59" s="597"/>
      <c r="N59" s="599"/>
    </row>
    <row r="60" spans="1:14">
      <c r="B60" s="582">
        <f t="shared" si="0"/>
        <v>55</v>
      </c>
      <c r="D60" s="593" t="s">
        <v>1592</v>
      </c>
      <c r="E60" s="594" t="s">
        <v>11</v>
      </c>
      <c r="G60" s="597" t="s">
        <v>1515</v>
      </c>
      <c r="H60" s="597"/>
      <c r="I60" s="597"/>
      <c r="J60" s="597"/>
      <c r="K60" s="597"/>
      <c r="L60" s="597"/>
      <c r="M60" s="597"/>
      <c r="N60" s="599"/>
    </row>
    <row r="61" spans="1:14">
      <c r="B61" s="582">
        <f t="shared" si="0"/>
        <v>56</v>
      </c>
      <c r="D61" s="593" t="s">
        <v>1593</v>
      </c>
      <c r="E61" s="594" t="s">
        <v>11</v>
      </c>
      <c r="G61" s="597" t="s">
        <v>1515</v>
      </c>
      <c r="H61" s="597"/>
      <c r="I61" s="597"/>
      <c r="J61" s="597"/>
      <c r="K61" s="597"/>
      <c r="L61" s="597"/>
      <c r="M61" s="597"/>
      <c r="N61" s="599"/>
    </row>
    <row r="62" spans="1:14">
      <c r="B62" s="582">
        <f t="shared" si="0"/>
        <v>57</v>
      </c>
      <c r="D62" s="593" t="s">
        <v>1594</v>
      </c>
      <c r="E62" s="594" t="s">
        <v>11</v>
      </c>
      <c r="G62" s="597" t="s">
        <v>1515</v>
      </c>
      <c r="H62" s="597"/>
      <c r="I62" s="597"/>
      <c r="J62" s="597"/>
      <c r="K62" s="597"/>
      <c r="L62" s="597"/>
      <c r="M62" s="597"/>
      <c r="N62" s="599"/>
    </row>
    <row r="63" spans="1:14">
      <c r="A63" s="562" t="s">
        <v>269</v>
      </c>
      <c r="B63" s="582">
        <f t="shared" si="0"/>
        <v>58</v>
      </c>
      <c r="C63" s="592" t="s">
        <v>1595</v>
      </c>
      <c r="D63" s="593" t="s">
        <v>1596</v>
      </c>
      <c r="E63" s="594" t="s">
        <v>36</v>
      </c>
      <c r="F63" s="600">
        <v>5320569</v>
      </c>
      <c r="G63" s="597" t="s">
        <v>1515</v>
      </c>
      <c r="H63" s="597"/>
      <c r="I63" s="597"/>
      <c r="J63" s="597"/>
      <c r="K63" s="597"/>
      <c r="L63" s="597"/>
      <c r="M63" s="597"/>
      <c r="N63" s="599"/>
    </row>
    <row r="64" spans="1:14">
      <c r="B64" s="582">
        <f t="shared" si="0"/>
        <v>59</v>
      </c>
      <c r="D64" s="593" t="s">
        <v>1597</v>
      </c>
      <c r="E64" s="594" t="s">
        <v>36</v>
      </c>
      <c r="G64" s="597" t="s">
        <v>1515</v>
      </c>
      <c r="H64" s="597"/>
      <c r="I64" s="597"/>
      <c r="J64" s="597"/>
      <c r="K64" s="597"/>
      <c r="L64" s="597"/>
      <c r="M64" s="597"/>
      <c r="N64" s="599"/>
    </row>
    <row r="65" spans="1:14">
      <c r="B65" s="582">
        <f t="shared" si="0"/>
        <v>60</v>
      </c>
      <c r="D65" s="593" t="s">
        <v>1598</v>
      </c>
      <c r="E65" s="594" t="s">
        <v>36</v>
      </c>
      <c r="G65" s="597" t="s">
        <v>1515</v>
      </c>
      <c r="H65" s="597"/>
      <c r="I65" s="597"/>
      <c r="J65" s="597"/>
      <c r="K65" s="597"/>
      <c r="L65" s="597"/>
      <c r="M65" s="597"/>
      <c r="N65" s="599"/>
    </row>
    <row r="66" spans="1:14" ht="29">
      <c r="B66" s="582">
        <f t="shared" si="0"/>
        <v>61</v>
      </c>
      <c r="D66" s="593" t="s">
        <v>1599</v>
      </c>
      <c r="E66" s="594" t="s">
        <v>36</v>
      </c>
      <c r="G66" s="597" t="s">
        <v>1515</v>
      </c>
      <c r="H66" s="597"/>
      <c r="I66" s="597"/>
      <c r="J66" s="597"/>
      <c r="K66" s="597"/>
      <c r="L66" s="597"/>
      <c r="M66" s="597"/>
      <c r="N66" s="599"/>
    </row>
    <row r="67" spans="1:14">
      <c r="B67" s="582">
        <f t="shared" si="0"/>
        <v>62</v>
      </c>
      <c r="D67" s="593" t="s">
        <v>1600</v>
      </c>
      <c r="E67" s="594" t="s">
        <v>36</v>
      </c>
      <c r="G67" s="597" t="s">
        <v>1515</v>
      </c>
      <c r="H67" s="597"/>
      <c r="I67" s="597"/>
      <c r="J67" s="597"/>
      <c r="K67" s="597"/>
      <c r="L67" s="597"/>
      <c r="M67" s="597"/>
      <c r="N67" s="599"/>
    </row>
    <row r="68" spans="1:14" ht="29">
      <c r="A68" s="562" t="s">
        <v>271</v>
      </c>
      <c r="B68" s="582">
        <f t="shared" si="0"/>
        <v>63</v>
      </c>
      <c r="C68" s="592" t="s">
        <v>1601</v>
      </c>
      <c r="D68" s="593" t="s">
        <v>1602</v>
      </c>
      <c r="E68" s="594" t="s">
        <v>11</v>
      </c>
      <c r="F68" s="600">
        <v>8549123</v>
      </c>
      <c r="G68" s="597" t="s">
        <v>1515</v>
      </c>
      <c r="H68" s="597"/>
      <c r="I68" s="597"/>
      <c r="J68" s="597"/>
      <c r="K68" s="597"/>
      <c r="L68" s="597"/>
      <c r="M68" s="597"/>
      <c r="N68" s="599"/>
    </row>
    <row r="69" spans="1:14">
      <c r="B69" s="582">
        <f t="shared" si="0"/>
        <v>64</v>
      </c>
      <c r="D69" s="593" t="s">
        <v>1603</v>
      </c>
      <c r="E69" s="594" t="s">
        <v>11</v>
      </c>
      <c r="G69" s="597" t="s">
        <v>1515</v>
      </c>
      <c r="H69" s="597"/>
      <c r="I69" s="597"/>
      <c r="J69" s="597"/>
      <c r="K69" s="597"/>
      <c r="L69" s="597"/>
      <c r="M69" s="597"/>
      <c r="N69" s="599"/>
    </row>
    <row r="70" spans="1:14">
      <c r="B70" s="582">
        <f t="shared" si="0"/>
        <v>65</v>
      </c>
      <c r="D70" s="593" t="s">
        <v>1604</v>
      </c>
      <c r="E70" s="594" t="s">
        <v>11</v>
      </c>
      <c r="G70" s="597" t="s">
        <v>1515</v>
      </c>
      <c r="H70" s="597"/>
      <c r="I70" s="597"/>
      <c r="J70" s="597"/>
      <c r="K70" s="597"/>
      <c r="L70" s="597"/>
      <c r="M70" s="597"/>
      <c r="N70" s="599"/>
    </row>
    <row r="71" spans="1:14">
      <c r="B71" s="582">
        <f t="shared" ref="B71:B134" si="1">B70+1</f>
        <v>66</v>
      </c>
      <c r="D71" s="593" t="s">
        <v>1605</v>
      </c>
      <c r="E71" s="594" t="s">
        <v>11</v>
      </c>
      <c r="G71" s="597" t="s">
        <v>1515</v>
      </c>
      <c r="H71" s="597"/>
      <c r="I71" s="597"/>
      <c r="J71" s="597"/>
      <c r="K71" s="597"/>
      <c r="L71" s="597"/>
      <c r="M71" s="597"/>
      <c r="N71" s="599"/>
    </row>
    <row r="72" spans="1:14">
      <c r="B72" s="582">
        <f t="shared" si="1"/>
        <v>67</v>
      </c>
      <c r="D72" s="593" t="s">
        <v>1606</v>
      </c>
      <c r="E72" s="594" t="s">
        <v>11</v>
      </c>
      <c r="G72" s="597" t="s">
        <v>1515</v>
      </c>
      <c r="H72" s="597"/>
      <c r="I72" s="597"/>
      <c r="J72" s="597"/>
      <c r="K72" s="597"/>
      <c r="L72" s="597"/>
      <c r="M72" s="597"/>
      <c r="N72" s="599"/>
    </row>
    <row r="73" spans="1:14">
      <c r="A73" s="562" t="s">
        <v>273</v>
      </c>
      <c r="B73" s="582">
        <f t="shared" si="1"/>
        <v>68</v>
      </c>
      <c r="C73" s="592" t="s">
        <v>1607</v>
      </c>
      <c r="D73" s="593" t="s">
        <v>1608</v>
      </c>
      <c r="E73" s="594" t="s">
        <v>36</v>
      </c>
      <c r="F73" s="600">
        <v>11177951</v>
      </c>
      <c r="G73" s="597"/>
      <c r="H73" s="597"/>
      <c r="I73" s="597" t="s">
        <v>1515</v>
      </c>
      <c r="J73" s="597"/>
      <c r="K73" s="597"/>
      <c r="L73" s="597"/>
      <c r="M73" s="597"/>
      <c r="N73" s="599" t="s">
        <v>1609</v>
      </c>
    </row>
    <row r="74" spans="1:14">
      <c r="B74" s="582">
        <f t="shared" si="1"/>
        <v>69</v>
      </c>
      <c r="D74" s="593" t="s">
        <v>1610</v>
      </c>
      <c r="E74" s="594" t="s">
        <v>36</v>
      </c>
      <c r="G74" s="597" t="s">
        <v>1515</v>
      </c>
      <c r="H74" s="597"/>
      <c r="I74" s="597"/>
      <c r="J74" s="597"/>
      <c r="K74" s="597"/>
      <c r="L74" s="597"/>
      <c r="M74" s="597"/>
      <c r="N74" s="599"/>
    </row>
    <row r="75" spans="1:14">
      <c r="B75" s="582">
        <f t="shared" si="1"/>
        <v>70</v>
      </c>
      <c r="D75" s="593" t="s">
        <v>1611</v>
      </c>
      <c r="E75" s="594" t="s">
        <v>36</v>
      </c>
      <c r="G75" s="597" t="s">
        <v>1515</v>
      </c>
      <c r="H75" s="597"/>
      <c r="I75" s="597"/>
      <c r="J75" s="597"/>
      <c r="K75" s="597"/>
      <c r="L75" s="597"/>
      <c r="M75" s="597"/>
      <c r="N75" s="599"/>
    </row>
    <row r="76" spans="1:14">
      <c r="A76" s="562" t="s">
        <v>275</v>
      </c>
      <c r="B76" s="582">
        <f t="shared" si="1"/>
        <v>71</v>
      </c>
      <c r="C76" s="592" t="s">
        <v>1612</v>
      </c>
      <c r="D76" s="593" t="s">
        <v>1613</v>
      </c>
      <c r="E76" s="594" t="s">
        <v>11</v>
      </c>
      <c r="F76" s="600">
        <v>2390851</v>
      </c>
      <c r="G76" s="597" t="s">
        <v>1515</v>
      </c>
      <c r="H76" s="597" t="s">
        <v>1515</v>
      </c>
      <c r="I76" s="597"/>
      <c r="J76" s="597"/>
      <c r="K76" s="597"/>
      <c r="L76" s="597"/>
      <c r="M76" s="597"/>
      <c r="N76" s="599" t="s">
        <v>1614</v>
      </c>
    </row>
    <row r="77" spans="1:14">
      <c r="A77" s="562" t="s">
        <v>277</v>
      </c>
      <c r="B77" s="582">
        <f t="shared" si="1"/>
        <v>72</v>
      </c>
      <c r="C77" s="592" t="s">
        <v>1615</v>
      </c>
      <c r="D77" s="593" t="s">
        <v>1596</v>
      </c>
      <c r="E77" s="594" t="s">
        <v>36</v>
      </c>
      <c r="F77" s="600">
        <v>2575384</v>
      </c>
      <c r="G77" s="597" t="s">
        <v>1515</v>
      </c>
      <c r="H77" s="597"/>
      <c r="I77" s="597"/>
      <c r="J77" s="597"/>
      <c r="K77" s="597"/>
      <c r="L77" s="597"/>
      <c r="M77" s="597"/>
      <c r="N77" s="599"/>
    </row>
    <row r="78" spans="1:14">
      <c r="B78" s="582">
        <f t="shared" si="1"/>
        <v>73</v>
      </c>
      <c r="D78" s="593" t="s">
        <v>1616</v>
      </c>
      <c r="E78" s="594" t="s">
        <v>36</v>
      </c>
      <c r="G78" s="597" t="s">
        <v>1515</v>
      </c>
      <c r="H78" s="597"/>
      <c r="I78" s="597"/>
      <c r="J78" s="597"/>
      <c r="K78" s="597"/>
      <c r="L78" s="597"/>
      <c r="M78" s="597"/>
      <c r="N78" s="599"/>
    </row>
    <row r="79" spans="1:14">
      <c r="B79" s="582">
        <f t="shared" si="1"/>
        <v>74</v>
      </c>
      <c r="D79" s="593" t="s">
        <v>1617</v>
      </c>
      <c r="E79" s="594" t="s">
        <v>36</v>
      </c>
      <c r="G79" s="597" t="s">
        <v>1515</v>
      </c>
      <c r="H79" s="597"/>
      <c r="I79" s="597"/>
      <c r="J79" s="597"/>
      <c r="K79" s="597"/>
      <c r="L79" s="597"/>
      <c r="M79" s="597"/>
      <c r="N79" s="599"/>
    </row>
    <row r="80" spans="1:14">
      <c r="B80" s="582">
        <f t="shared" si="1"/>
        <v>75</v>
      </c>
      <c r="D80" s="593" t="s">
        <v>1618</v>
      </c>
      <c r="E80" s="594" t="s">
        <v>36</v>
      </c>
      <c r="G80" s="597" t="s">
        <v>1515</v>
      </c>
      <c r="H80" s="597"/>
      <c r="I80" s="597"/>
      <c r="J80" s="597"/>
      <c r="K80" s="597"/>
      <c r="L80" s="597"/>
      <c r="M80" s="597"/>
      <c r="N80" s="599"/>
    </row>
    <row r="81" spans="1:14">
      <c r="B81" s="582">
        <f t="shared" si="1"/>
        <v>76</v>
      </c>
      <c r="D81" s="593" t="s">
        <v>1619</v>
      </c>
      <c r="E81" s="594" t="s">
        <v>36</v>
      </c>
      <c r="G81" s="597" t="s">
        <v>1515</v>
      </c>
      <c r="H81" s="597"/>
      <c r="I81" s="597"/>
      <c r="J81" s="597"/>
      <c r="K81" s="597"/>
      <c r="L81" s="597"/>
      <c r="M81" s="597"/>
      <c r="N81" s="599"/>
    </row>
    <row r="82" spans="1:14">
      <c r="A82" s="562" t="s">
        <v>281</v>
      </c>
      <c r="B82" s="582">
        <f t="shared" si="1"/>
        <v>77</v>
      </c>
      <c r="C82" s="592" t="s">
        <v>1620</v>
      </c>
      <c r="D82" s="593" t="s">
        <v>1621</v>
      </c>
      <c r="E82" s="594" t="s">
        <v>11</v>
      </c>
      <c r="F82" s="600">
        <v>10656664</v>
      </c>
      <c r="G82" s="597" t="s">
        <v>1515</v>
      </c>
      <c r="H82" s="597"/>
      <c r="I82" s="597"/>
      <c r="J82" s="597"/>
      <c r="K82" s="597"/>
      <c r="L82" s="597"/>
      <c r="M82" s="597"/>
      <c r="N82" s="599"/>
    </row>
    <row r="83" spans="1:14">
      <c r="B83" s="582">
        <f t="shared" si="1"/>
        <v>78</v>
      </c>
      <c r="D83" s="593" t="s">
        <v>1622</v>
      </c>
      <c r="E83" s="594" t="s">
        <v>11</v>
      </c>
      <c r="G83" s="597" t="s">
        <v>1515</v>
      </c>
      <c r="H83" s="597"/>
      <c r="I83" s="597"/>
      <c r="J83" s="597"/>
      <c r="K83" s="597"/>
      <c r="L83" s="597"/>
      <c r="M83" s="597"/>
      <c r="N83" s="599"/>
    </row>
    <row r="84" spans="1:14">
      <c r="B84" s="582">
        <f t="shared" si="1"/>
        <v>79</v>
      </c>
      <c r="D84" s="593" t="s">
        <v>1623</v>
      </c>
      <c r="E84" s="594" t="s">
        <v>11</v>
      </c>
      <c r="G84" s="597" t="s">
        <v>1515</v>
      </c>
      <c r="H84" s="597"/>
      <c r="I84" s="597"/>
      <c r="J84" s="597"/>
      <c r="K84" s="597"/>
      <c r="L84" s="597"/>
      <c r="M84" s="597"/>
      <c r="N84" s="599"/>
    </row>
    <row r="85" spans="1:14">
      <c r="B85" s="582">
        <f t="shared" si="1"/>
        <v>80</v>
      </c>
      <c r="D85" s="593" t="s">
        <v>1543</v>
      </c>
      <c r="E85" s="594" t="s">
        <v>11</v>
      </c>
      <c r="G85" s="597" t="s">
        <v>1515</v>
      </c>
      <c r="H85" s="597"/>
      <c r="I85" s="597"/>
      <c r="J85" s="597"/>
      <c r="K85" s="597"/>
      <c r="L85" s="597"/>
      <c r="M85" s="597"/>
      <c r="N85" s="599"/>
    </row>
    <row r="86" spans="1:14">
      <c r="B86" s="582">
        <f t="shared" si="1"/>
        <v>81</v>
      </c>
      <c r="D86" s="593" t="s">
        <v>1624</v>
      </c>
      <c r="E86" s="594" t="s">
        <v>11</v>
      </c>
      <c r="G86" s="597" t="s">
        <v>1515</v>
      </c>
      <c r="H86" s="597"/>
      <c r="I86" s="597"/>
      <c r="J86" s="597"/>
      <c r="K86" s="597"/>
      <c r="L86" s="597"/>
      <c r="M86" s="597"/>
      <c r="N86" s="599"/>
    </row>
    <row r="87" spans="1:14">
      <c r="B87" s="582">
        <f t="shared" si="1"/>
        <v>82</v>
      </c>
      <c r="D87" s="593" t="s">
        <v>1625</v>
      </c>
      <c r="E87" s="594" t="s">
        <v>11</v>
      </c>
      <c r="G87" s="597" t="s">
        <v>1515</v>
      </c>
      <c r="H87" s="597"/>
      <c r="I87" s="597"/>
      <c r="J87" s="597"/>
      <c r="K87" s="597"/>
      <c r="L87" s="597"/>
      <c r="M87" s="597"/>
      <c r="N87" s="599"/>
    </row>
    <row r="88" spans="1:14">
      <c r="B88" s="582">
        <f t="shared" si="1"/>
        <v>83</v>
      </c>
      <c r="D88" s="593" t="s">
        <v>1626</v>
      </c>
      <c r="E88" s="594" t="s">
        <v>11</v>
      </c>
      <c r="G88" s="597" t="s">
        <v>1515</v>
      </c>
      <c r="H88" s="597"/>
      <c r="I88" s="597"/>
      <c r="J88" s="597"/>
      <c r="K88" s="597"/>
      <c r="L88" s="597"/>
      <c r="M88" s="597"/>
      <c r="N88" s="599"/>
    </row>
    <row r="89" spans="1:14" ht="29">
      <c r="A89" s="562" t="s">
        <v>283</v>
      </c>
      <c r="B89" s="582">
        <f t="shared" si="1"/>
        <v>84</v>
      </c>
      <c r="C89" s="592" t="s">
        <v>1627</v>
      </c>
      <c r="D89" s="593" t="s">
        <v>1628</v>
      </c>
      <c r="E89" s="594" t="s">
        <v>11</v>
      </c>
      <c r="F89" s="600">
        <v>14743978</v>
      </c>
      <c r="G89" s="597" t="s">
        <v>1515</v>
      </c>
      <c r="H89" s="597"/>
      <c r="I89" s="597"/>
      <c r="J89" s="597"/>
      <c r="K89" s="597"/>
      <c r="L89" s="597"/>
      <c r="M89" s="597"/>
      <c r="N89" s="599"/>
    </row>
    <row r="90" spans="1:14">
      <c r="B90" s="582">
        <f t="shared" si="1"/>
        <v>85</v>
      </c>
      <c r="D90" s="593" t="s">
        <v>1629</v>
      </c>
      <c r="E90" s="594" t="s">
        <v>11</v>
      </c>
      <c r="G90" s="597" t="s">
        <v>1515</v>
      </c>
      <c r="H90" s="597"/>
      <c r="I90" s="597"/>
      <c r="J90" s="597"/>
      <c r="K90" s="597"/>
      <c r="L90" s="597"/>
      <c r="M90" s="597"/>
      <c r="N90" s="599"/>
    </row>
    <row r="91" spans="1:14">
      <c r="B91" s="582">
        <f t="shared" si="1"/>
        <v>86</v>
      </c>
      <c r="D91" s="593" t="s">
        <v>1630</v>
      </c>
      <c r="E91" s="594" t="s">
        <v>11</v>
      </c>
      <c r="G91" s="597" t="s">
        <v>1515</v>
      </c>
      <c r="H91" s="597"/>
      <c r="I91" s="597"/>
      <c r="J91" s="597"/>
      <c r="K91" s="597"/>
      <c r="L91" s="597"/>
      <c r="M91" s="597"/>
      <c r="N91" s="599"/>
    </row>
    <row r="92" spans="1:14">
      <c r="B92" s="582">
        <f t="shared" si="1"/>
        <v>87</v>
      </c>
      <c r="D92" s="593" t="s">
        <v>1631</v>
      </c>
      <c r="E92" s="594" t="s">
        <v>11</v>
      </c>
      <c r="G92" s="597" t="s">
        <v>1515</v>
      </c>
      <c r="H92" s="597"/>
      <c r="I92" s="597"/>
      <c r="J92" s="597"/>
      <c r="K92" s="597"/>
      <c r="L92" s="597"/>
      <c r="M92" s="597"/>
      <c r="N92" s="599"/>
    </row>
    <row r="93" spans="1:14">
      <c r="B93" s="582">
        <f t="shared" si="1"/>
        <v>88</v>
      </c>
      <c r="D93" s="593" t="s">
        <v>1632</v>
      </c>
      <c r="E93" s="594" t="s">
        <v>11</v>
      </c>
      <c r="G93" s="597" t="s">
        <v>1515</v>
      </c>
      <c r="H93" s="597"/>
      <c r="I93" s="597"/>
      <c r="J93" s="597"/>
      <c r="K93" s="597"/>
      <c r="L93" s="597"/>
      <c r="M93" s="597"/>
      <c r="N93" s="599"/>
    </row>
    <row r="94" spans="1:14" ht="29">
      <c r="B94" s="582">
        <f t="shared" si="1"/>
        <v>89</v>
      </c>
      <c r="D94" s="593" t="s">
        <v>1633</v>
      </c>
      <c r="E94" s="594" t="s">
        <v>11</v>
      </c>
      <c r="G94" s="597" t="s">
        <v>1515</v>
      </c>
      <c r="H94" s="597"/>
      <c r="I94" s="597"/>
      <c r="J94" s="597"/>
      <c r="K94" s="597"/>
      <c r="L94" s="597"/>
      <c r="M94" s="597"/>
      <c r="N94" s="599"/>
    </row>
    <row r="95" spans="1:14">
      <c r="B95" s="582">
        <f t="shared" si="1"/>
        <v>90</v>
      </c>
      <c r="D95" s="593" t="s">
        <v>1634</v>
      </c>
      <c r="E95" s="594" t="s">
        <v>11</v>
      </c>
      <c r="G95" s="597" t="s">
        <v>1515</v>
      </c>
      <c r="H95" s="597"/>
      <c r="I95" s="597"/>
      <c r="J95" s="597"/>
      <c r="K95" s="597"/>
      <c r="L95" s="597"/>
      <c r="M95" s="597"/>
      <c r="N95" s="599"/>
    </row>
    <row r="96" spans="1:14">
      <c r="B96" s="582">
        <f t="shared" si="1"/>
        <v>91</v>
      </c>
      <c r="D96" s="593" t="s">
        <v>1635</v>
      </c>
      <c r="E96" s="594" t="s">
        <v>11</v>
      </c>
      <c r="G96" s="597" t="s">
        <v>1515</v>
      </c>
      <c r="H96" s="597"/>
      <c r="I96" s="597"/>
      <c r="J96" s="597"/>
      <c r="K96" s="597"/>
      <c r="L96" s="597"/>
      <c r="M96" s="597"/>
      <c r="N96" s="599"/>
    </row>
    <row r="97" spans="1:14">
      <c r="B97" s="582">
        <f t="shared" si="1"/>
        <v>92</v>
      </c>
      <c r="D97" s="593" t="s">
        <v>1636</v>
      </c>
      <c r="E97" s="594" t="s">
        <v>11</v>
      </c>
      <c r="G97" s="597" t="s">
        <v>1515</v>
      </c>
      <c r="H97" s="597"/>
      <c r="I97" s="597"/>
      <c r="J97" s="597"/>
      <c r="K97" s="597"/>
      <c r="L97" s="597"/>
      <c r="M97" s="597"/>
      <c r="N97" s="599"/>
    </row>
    <row r="98" spans="1:14">
      <c r="A98" s="562" t="s">
        <v>287</v>
      </c>
      <c r="B98" s="582">
        <f t="shared" si="1"/>
        <v>93</v>
      </c>
      <c r="C98" s="592" t="s">
        <v>1637</v>
      </c>
      <c r="D98" s="593" t="s">
        <v>1638</v>
      </c>
      <c r="E98" s="594" t="s">
        <v>11</v>
      </c>
      <c r="F98" s="600">
        <v>2779274</v>
      </c>
      <c r="G98" s="597" t="s">
        <v>1515</v>
      </c>
      <c r="H98" s="597"/>
      <c r="I98" s="597"/>
      <c r="J98" s="597"/>
      <c r="K98" s="598"/>
      <c r="L98" s="597"/>
      <c r="M98" s="597"/>
      <c r="N98" s="599"/>
    </row>
    <row r="99" spans="1:14">
      <c r="B99" s="582">
        <f t="shared" si="1"/>
        <v>94</v>
      </c>
      <c r="D99" s="593" t="s">
        <v>1639</v>
      </c>
      <c r="E99" s="594" t="s">
        <v>11</v>
      </c>
      <c r="G99" s="597" t="s">
        <v>1515</v>
      </c>
      <c r="H99" s="597"/>
      <c r="I99" s="597"/>
      <c r="J99" s="597"/>
      <c r="K99" s="598"/>
      <c r="L99" s="597"/>
      <c r="M99" s="597"/>
      <c r="N99" s="599"/>
    </row>
    <row r="100" spans="1:14">
      <c r="B100" s="582">
        <f t="shared" si="1"/>
        <v>95</v>
      </c>
      <c r="D100" s="593" t="s">
        <v>1640</v>
      </c>
      <c r="E100" s="594" t="s">
        <v>11</v>
      </c>
      <c r="G100" s="597" t="s">
        <v>1515</v>
      </c>
      <c r="H100" s="597"/>
      <c r="I100" s="597"/>
      <c r="J100" s="597"/>
      <c r="K100" s="598"/>
      <c r="L100" s="597"/>
      <c r="M100" s="597"/>
      <c r="N100" s="599" t="s">
        <v>1641</v>
      </c>
    </row>
    <row r="101" spans="1:14">
      <c r="B101" s="582">
        <f t="shared" si="1"/>
        <v>96</v>
      </c>
      <c r="D101" s="593" t="s">
        <v>1642</v>
      </c>
      <c r="E101" s="594" t="s">
        <v>11</v>
      </c>
      <c r="G101" s="597" t="s">
        <v>1515</v>
      </c>
      <c r="H101" s="597"/>
      <c r="I101" s="597"/>
      <c r="J101" s="597"/>
      <c r="K101" s="598"/>
      <c r="L101" s="597"/>
      <c r="M101" s="597"/>
      <c r="N101" s="599"/>
    </row>
    <row r="102" spans="1:14">
      <c r="B102" s="582">
        <f t="shared" si="1"/>
        <v>97</v>
      </c>
      <c r="D102" s="593" t="s">
        <v>1643</v>
      </c>
      <c r="E102" s="594" t="s">
        <v>11</v>
      </c>
      <c r="G102" s="597" t="s">
        <v>1515</v>
      </c>
      <c r="H102" s="597"/>
      <c r="I102" s="597"/>
      <c r="J102" s="597"/>
      <c r="K102" s="598"/>
      <c r="L102" s="597"/>
      <c r="M102" s="597"/>
      <c r="N102" s="599"/>
    </row>
    <row r="103" spans="1:14">
      <c r="B103" s="582">
        <f t="shared" si="1"/>
        <v>98</v>
      </c>
      <c r="D103" s="593" t="s">
        <v>1644</v>
      </c>
      <c r="E103" s="594" t="s">
        <v>11</v>
      </c>
      <c r="G103" s="597" t="s">
        <v>1515</v>
      </c>
      <c r="H103" s="597"/>
      <c r="I103" s="597"/>
      <c r="J103" s="597"/>
      <c r="K103" s="598"/>
      <c r="L103" s="597"/>
      <c r="M103" s="597"/>
      <c r="N103" s="599"/>
    </row>
    <row r="104" spans="1:14">
      <c r="B104" s="582">
        <f t="shared" si="1"/>
        <v>99</v>
      </c>
      <c r="D104" s="593" t="s">
        <v>1645</v>
      </c>
      <c r="E104" s="594" t="s">
        <v>11</v>
      </c>
      <c r="G104" s="597" t="s">
        <v>1515</v>
      </c>
      <c r="H104" s="597"/>
      <c r="I104" s="597"/>
      <c r="J104" s="597"/>
      <c r="K104" s="598"/>
      <c r="L104" s="597"/>
      <c r="M104" s="597"/>
      <c r="N104" s="599" t="s">
        <v>1646</v>
      </c>
    </row>
    <row r="105" spans="1:14">
      <c r="A105" s="562" t="s">
        <v>289</v>
      </c>
      <c r="B105" s="582">
        <f t="shared" si="1"/>
        <v>100</v>
      </c>
      <c r="C105" s="592" t="s">
        <v>1647</v>
      </c>
      <c r="D105" s="593" t="s">
        <v>1648</v>
      </c>
      <c r="E105" s="594" t="s">
        <v>11</v>
      </c>
      <c r="F105" s="600">
        <v>950210</v>
      </c>
      <c r="G105" s="597" t="s">
        <v>1515</v>
      </c>
      <c r="H105" s="597"/>
      <c r="I105" s="597"/>
      <c r="J105" s="597"/>
      <c r="K105" s="598"/>
      <c r="L105" s="597"/>
      <c r="M105" s="597"/>
      <c r="N105" s="599"/>
    </row>
    <row r="106" spans="1:14">
      <c r="B106" s="582">
        <f t="shared" si="1"/>
        <v>101</v>
      </c>
      <c r="D106" s="593" t="s">
        <v>1649</v>
      </c>
      <c r="G106" s="597" t="s">
        <v>1515</v>
      </c>
      <c r="H106" s="597"/>
      <c r="I106" s="597"/>
      <c r="J106" s="597"/>
      <c r="K106" s="598"/>
      <c r="L106" s="597"/>
      <c r="M106" s="597"/>
      <c r="N106" s="599"/>
    </row>
    <row r="107" spans="1:14">
      <c r="A107" s="562" t="s">
        <v>291</v>
      </c>
      <c r="B107" s="582">
        <f t="shared" si="1"/>
        <v>102</v>
      </c>
      <c r="C107" s="592" t="s">
        <v>1650</v>
      </c>
      <c r="D107" s="593" t="s">
        <v>1651</v>
      </c>
      <c r="E107" s="594" t="s">
        <v>11</v>
      </c>
      <c r="F107" s="600">
        <v>5403827</v>
      </c>
      <c r="G107" s="597" t="s">
        <v>1515</v>
      </c>
      <c r="H107" s="597"/>
      <c r="I107" s="597"/>
      <c r="J107" s="597"/>
      <c r="K107" s="598"/>
      <c r="L107" s="597"/>
      <c r="M107" s="597"/>
      <c r="N107" s="599"/>
    </row>
    <row r="108" spans="1:14">
      <c r="B108" s="582">
        <f t="shared" si="1"/>
        <v>103</v>
      </c>
      <c r="D108" s="593" t="s">
        <v>1652</v>
      </c>
      <c r="E108" s="594" t="s">
        <v>11</v>
      </c>
      <c r="G108" s="597" t="s">
        <v>1515</v>
      </c>
      <c r="H108" s="597"/>
      <c r="I108" s="597"/>
      <c r="J108" s="597"/>
      <c r="K108" s="598"/>
      <c r="L108" s="597"/>
      <c r="M108" s="597"/>
      <c r="N108" s="599"/>
    </row>
    <row r="109" spans="1:14">
      <c r="B109" s="582">
        <f t="shared" si="1"/>
        <v>104</v>
      </c>
      <c r="D109" s="593" t="s">
        <v>1653</v>
      </c>
      <c r="E109" s="594" t="s">
        <v>11</v>
      </c>
      <c r="G109" s="597" t="s">
        <v>1515</v>
      </c>
      <c r="H109" s="597"/>
      <c r="I109" s="597"/>
      <c r="J109" s="597"/>
      <c r="K109" s="598"/>
      <c r="L109" s="597"/>
      <c r="M109" s="597"/>
      <c r="N109" s="599"/>
    </row>
    <row r="110" spans="1:14">
      <c r="B110" s="582">
        <f t="shared" si="1"/>
        <v>105</v>
      </c>
      <c r="D110" s="593" t="s">
        <v>1654</v>
      </c>
      <c r="E110" s="594" t="s">
        <v>11</v>
      </c>
      <c r="G110" s="597" t="s">
        <v>1515</v>
      </c>
      <c r="H110" s="597"/>
      <c r="I110" s="597"/>
      <c r="J110" s="597"/>
      <c r="K110" s="598"/>
      <c r="L110" s="597"/>
      <c r="M110" s="597"/>
      <c r="N110" s="599"/>
    </row>
    <row r="111" spans="1:14">
      <c r="A111" s="562" t="s">
        <v>293</v>
      </c>
      <c r="B111" s="582">
        <f t="shared" si="1"/>
        <v>106</v>
      </c>
      <c r="C111" s="592" t="s">
        <v>1655</v>
      </c>
      <c r="D111" s="593" t="s">
        <v>1656</v>
      </c>
      <c r="E111" s="594" t="s">
        <v>11</v>
      </c>
      <c r="F111" s="600">
        <v>2086660</v>
      </c>
      <c r="G111" s="597" t="s">
        <v>1515</v>
      </c>
      <c r="H111" s="597"/>
      <c r="I111" s="597"/>
      <c r="J111" s="597"/>
      <c r="K111" s="598"/>
      <c r="L111" s="597"/>
      <c r="M111" s="597"/>
      <c r="N111" s="599"/>
    </row>
    <row r="112" spans="1:14">
      <c r="B112" s="582">
        <f t="shared" si="1"/>
        <v>107</v>
      </c>
      <c r="D112" s="593" t="s">
        <v>1657</v>
      </c>
      <c r="E112" s="594" t="s">
        <v>11</v>
      </c>
      <c r="G112" s="597" t="s">
        <v>1515</v>
      </c>
      <c r="H112" s="597"/>
      <c r="I112" s="597"/>
      <c r="J112" s="597"/>
      <c r="K112" s="598"/>
      <c r="L112" s="597"/>
      <c r="M112" s="597"/>
      <c r="N112" s="599"/>
    </row>
    <row r="113" spans="1:14">
      <c r="A113" s="562" t="s">
        <v>297</v>
      </c>
      <c r="B113" s="582">
        <f t="shared" si="1"/>
        <v>108</v>
      </c>
      <c r="C113" s="592" t="s">
        <v>1658</v>
      </c>
      <c r="D113" s="593" t="s">
        <v>1659</v>
      </c>
      <c r="E113" s="594" t="s">
        <v>11</v>
      </c>
      <c r="F113" s="600">
        <v>3121488</v>
      </c>
      <c r="G113" s="597" t="s">
        <v>1515</v>
      </c>
      <c r="H113" s="597"/>
      <c r="I113" s="597"/>
      <c r="J113" s="597"/>
      <c r="K113" s="598"/>
      <c r="L113" s="597"/>
      <c r="M113" s="597"/>
      <c r="N113" s="599"/>
    </row>
    <row r="114" spans="1:14">
      <c r="A114" s="562" t="s">
        <v>299</v>
      </c>
      <c r="B114" s="582">
        <f t="shared" si="1"/>
        <v>109</v>
      </c>
      <c r="C114" s="592" t="s">
        <v>1660</v>
      </c>
      <c r="D114" s="593" t="s">
        <v>1661</v>
      </c>
      <c r="E114" s="594" t="s">
        <v>11</v>
      </c>
      <c r="F114" s="600">
        <v>749768</v>
      </c>
      <c r="G114" s="597" t="s">
        <v>1515</v>
      </c>
      <c r="H114" s="597"/>
      <c r="I114" s="597"/>
      <c r="J114" s="597"/>
      <c r="K114" s="598"/>
      <c r="L114" s="597"/>
      <c r="M114" s="597"/>
      <c r="N114" s="599"/>
    </row>
    <row r="115" spans="1:14">
      <c r="A115" s="562" t="s">
        <v>301</v>
      </c>
      <c r="B115" s="582">
        <f t="shared" si="1"/>
        <v>110</v>
      </c>
      <c r="C115" s="592" t="s">
        <v>1662</v>
      </c>
      <c r="D115" s="593" t="s">
        <v>1663</v>
      </c>
      <c r="E115" s="594" t="s">
        <v>11</v>
      </c>
      <c r="F115" s="600">
        <v>4679262</v>
      </c>
      <c r="G115" s="597" t="s">
        <v>1515</v>
      </c>
      <c r="H115" s="597"/>
      <c r="I115" s="597"/>
      <c r="J115" s="597"/>
      <c r="K115" s="598"/>
      <c r="L115" s="597"/>
      <c r="M115" s="597"/>
      <c r="N115" s="599"/>
    </row>
    <row r="116" spans="1:14">
      <c r="B116" s="582">
        <f t="shared" si="1"/>
        <v>111</v>
      </c>
      <c r="D116" s="593" t="s">
        <v>1664</v>
      </c>
      <c r="E116" s="594" t="s">
        <v>11</v>
      </c>
      <c r="G116" s="597" t="s">
        <v>1515</v>
      </c>
      <c r="H116" s="597"/>
      <c r="I116" s="597"/>
      <c r="J116" s="597"/>
      <c r="K116" s="598"/>
      <c r="L116" s="597"/>
      <c r="M116" s="597"/>
      <c r="N116" s="599"/>
    </row>
    <row r="117" spans="1:14">
      <c r="A117" s="562" t="s">
        <v>303</v>
      </c>
      <c r="B117" s="582">
        <f t="shared" si="1"/>
        <v>112</v>
      </c>
      <c r="C117" s="592" t="s">
        <v>1665</v>
      </c>
      <c r="D117" s="593" t="s">
        <v>1666</v>
      </c>
      <c r="E117" s="594" t="s">
        <v>11</v>
      </c>
      <c r="F117" s="600">
        <v>4296873</v>
      </c>
      <c r="G117" s="597" t="s">
        <v>1515</v>
      </c>
      <c r="H117" s="597"/>
      <c r="I117" s="597"/>
      <c r="J117" s="597"/>
      <c r="K117" s="598"/>
      <c r="L117" s="597"/>
      <c r="M117" s="597"/>
      <c r="N117" s="599"/>
    </row>
    <row r="118" spans="1:14">
      <c r="B118" s="582">
        <f t="shared" si="1"/>
        <v>113</v>
      </c>
      <c r="D118" s="593" t="s">
        <v>1667</v>
      </c>
      <c r="E118" s="594" t="s">
        <v>11</v>
      </c>
      <c r="G118" s="597" t="s">
        <v>1515</v>
      </c>
      <c r="H118" s="597"/>
      <c r="I118" s="597"/>
      <c r="J118" s="597"/>
      <c r="K118" s="598"/>
      <c r="L118" s="597"/>
      <c r="M118" s="597"/>
      <c r="N118" s="599"/>
    </row>
    <row r="119" spans="1:14">
      <c r="A119" s="562" t="s">
        <v>305</v>
      </c>
      <c r="B119" s="582">
        <f t="shared" si="1"/>
        <v>114</v>
      </c>
      <c r="C119" s="592" t="s">
        <v>1668</v>
      </c>
      <c r="D119" s="593" t="s">
        <v>1669</v>
      </c>
      <c r="E119" s="594" t="s">
        <v>11</v>
      </c>
      <c r="F119" s="600">
        <v>757992</v>
      </c>
      <c r="G119" s="597" t="s">
        <v>1515</v>
      </c>
      <c r="H119" s="597"/>
      <c r="I119" s="597"/>
      <c r="J119" s="597"/>
      <c r="K119" s="598"/>
      <c r="L119" s="597"/>
      <c r="M119" s="597"/>
      <c r="N119" s="599"/>
    </row>
    <row r="120" spans="1:14" ht="29">
      <c r="A120" s="562" t="s">
        <v>307</v>
      </c>
      <c r="B120" s="582">
        <f t="shared" si="1"/>
        <v>115</v>
      </c>
      <c r="C120" s="592" t="s">
        <v>1670</v>
      </c>
      <c r="D120" s="593" t="s">
        <v>1671</v>
      </c>
      <c r="E120" s="594" t="s">
        <v>11</v>
      </c>
      <c r="F120" s="600">
        <v>20373151</v>
      </c>
      <c r="G120" s="597" t="s">
        <v>1515</v>
      </c>
      <c r="H120" s="597"/>
      <c r="I120" s="597"/>
      <c r="J120" s="597"/>
      <c r="K120" s="598"/>
      <c r="L120" s="597"/>
      <c r="M120" s="597"/>
      <c r="N120" s="599"/>
    </row>
    <row r="121" spans="1:14" ht="29">
      <c r="B121" s="582">
        <f t="shared" si="1"/>
        <v>116</v>
      </c>
      <c r="D121" s="593" t="s">
        <v>1672</v>
      </c>
      <c r="E121" s="594" t="s">
        <v>11</v>
      </c>
      <c r="G121" s="597" t="s">
        <v>1515</v>
      </c>
      <c r="H121" s="597"/>
      <c r="I121" s="597"/>
      <c r="J121" s="597"/>
      <c r="K121" s="598"/>
      <c r="L121" s="597"/>
      <c r="M121" s="597"/>
      <c r="N121" s="599"/>
    </row>
    <row r="122" spans="1:14">
      <c r="B122" s="582">
        <f t="shared" si="1"/>
        <v>117</v>
      </c>
      <c r="D122" s="593" t="s">
        <v>1673</v>
      </c>
      <c r="E122" s="594" t="s">
        <v>11</v>
      </c>
      <c r="G122" s="597" t="s">
        <v>1515</v>
      </c>
      <c r="H122" s="597"/>
      <c r="I122" s="597"/>
      <c r="J122" s="597"/>
      <c r="K122" s="597"/>
      <c r="L122" s="597"/>
      <c r="M122" s="597"/>
      <c r="N122" s="599"/>
    </row>
    <row r="123" spans="1:14">
      <c r="B123" s="582">
        <f t="shared" si="1"/>
        <v>118</v>
      </c>
      <c r="D123" s="593" t="s">
        <v>1674</v>
      </c>
      <c r="E123" s="594" t="s">
        <v>11</v>
      </c>
      <c r="G123" s="597" t="s">
        <v>1515</v>
      </c>
      <c r="H123" s="597"/>
      <c r="I123" s="597"/>
      <c r="J123" s="597"/>
      <c r="K123" s="597"/>
      <c r="L123" s="597"/>
      <c r="M123" s="597"/>
      <c r="N123" s="599"/>
    </row>
    <row r="124" spans="1:14">
      <c r="B124" s="582">
        <f t="shared" si="1"/>
        <v>119</v>
      </c>
      <c r="D124" s="593" t="s">
        <v>1675</v>
      </c>
      <c r="E124" s="594" t="s">
        <v>11</v>
      </c>
      <c r="G124" s="597" t="s">
        <v>1515</v>
      </c>
      <c r="H124" s="597"/>
      <c r="I124" s="597"/>
      <c r="J124" s="597"/>
      <c r="K124" s="597"/>
      <c r="L124" s="597"/>
      <c r="M124" s="597"/>
      <c r="N124" s="599"/>
    </row>
    <row r="125" spans="1:14">
      <c r="B125" s="582">
        <f t="shared" si="1"/>
        <v>120</v>
      </c>
      <c r="D125" s="593" t="s">
        <v>1676</v>
      </c>
      <c r="E125" s="594" t="s">
        <v>11</v>
      </c>
      <c r="G125" s="597"/>
      <c r="H125" s="597"/>
      <c r="I125" s="597" t="s">
        <v>1515</v>
      </c>
      <c r="J125" s="597"/>
      <c r="K125" s="597"/>
      <c r="L125" s="597"/>
      <c r="M125" s="597"/>
      <c r="N125" s="599" t="s">
        <v>1677</v>
      </c>
    </row>
    <row r="126" spans="1:14">
      <c r="B126" s="582">
        <f t="shared" si="1"/>
        <v>121</v>
      </c>
      <c r="D126" s="593" t="s">
        <v>1678</v>
      </c>
      <c r="E126" s="594" t="s">
        <v>11</v>
      </c>
      <c r="G126" s="597"/>
      <c r="H126" s="597"/>
      <c r="I126" s="597" t="s">
        <v>1515</v>
      </c>
      <c r="J126" s="597"/>
      <c r="K126" s="597"/>
      <c r="L126" s="597"/>
      <c r="M126" s="597"/>
      <c r="N126" s="599" t="s">
        <v>1677</v>
      </c>
    </row>
    <row r="127" spans="1:14">
      <c r="B127" s="582">
        <f t="shared" si="1"/>
        <v>122</v>
      </c>
      <c r="D127" s="593" t="s">
        <v>1679</v>
      </c>
      <c r="E127" s="594" t="s">
        <v>11</v>
      </c>
      <c r="G127" s="597"/>
      <c r="H127" s="597"/>
      <c r="I127" s="597" t="s">
        <v>1515</v>
      </c>
      <c r="J127" s="597"/>
      <c r="K127" s="597"/>
      <c r="L127" s="597"/>
      <c r="M127" s="597"/>
      <c r="N127" s="599" t="s">
        <v>1677</v>
      </c>
    </row>
    <row r="128" spans="1:14">
      <c r="B128" s="582">
        <f t="shared" si="1"/>
        <v>123</v>
      </c>
      <c r="D128" s="593" t="s">
        <v>1680</v>
      </c>
      <c r="E128" s="594" t="s">
        <v>11</v>
      </c>
      <c r="G128" s="597" t="s">
        <v>1515</v>
      </c>
      <c r="H128" s="597"/>
      <c r="I128" s="597"/>
      <c r="J128" s="597"/>
      <c r="K128" s="597"/>
      <c r="L128" s="597"/>
      <c r="M128" s="597"/>
      <c r="N128" s="599"/>
    </row>
    <row r="129" spans="1:14">
      <c r="B129" s="582">
        <f t="shared" si="1"/>
        <v>124</v>
      </c>
      <c r="D129" s="593" t="s">
        <v>1681</v>
      </c>
      <c r="E129" s="594" t="s">
        <v>11</v>
      </c>
      <c r="G129" s="597" t="s">
        <v>1515</v>
      </c>
      <c r="H129" s="597"/>
      <c r="I129" s="597"/>
      <c r="J129" s="597"/>
      <c r="K129" s="597"/>
      <c r="L129" s="597"/>
      <c r="M129" s="597"/>
      <c r="N129" s="599"/>
    </row>
    <row r="130" spans="1:14">
      <c r="B130" s="582">
        <f t="shared" si="1"/>
        <v>125</v>
      </c>
      <c r="D130" s="593" t="s">
        <v>1682</v>
      </c>
      <c r="E130" s="594" t="s">
        <v>11</v>
      </c>
      <c r="G130" s="597" t="s">
        <v>1515</v>
      </c>
      <c r="H130" s="597"/>
      <c r="I130" s="597"/>
      <c r="J130" s="597"/>
      <c r="K130" s="597"/>
      <c r="L130" s="597"/>
      <c r="M130" s="597"/>
      <c r="N130" s="599"/>
    </row>
    <row r="131" spans="1:14">
      <c r="B131" s="582">
        <f t="shared" si="1"/>
        <v>126</v>
      </c>
      <c r="D131" s="593" t="s">
        <v>1683</v>
      </c>
      <c r="E131" s="594" t="s">
        <v>11</v>
      </c>
      <c r="G131" s="597" t="s">
        <v>1515</v>
      </c>
      <c r="H131" s="597"/>
      <c r="I131" s="597"/>
      <c r="J131" s="597"/>
      <c r="K131" s="597"/>
      <c r="L131" s="597"/>
      <c r="M131" s="597"/>
      <c r="N131" s="599"/>
    </row>
    <row r="132" spans="1:14">
      <c r="A132" s="562" t="s">
        <v>309</v>
      </c>
      <c r="B132" s="582">
        <f t="shared" si="1"/>
        <v>127</v>
      </c>
      <c r="C132" s="592" t="s">
        <v>1684</v>
      </c>
      <c r="D132" s="593" t="s">
        <v>1685</v>
      </c>
      <c r="E132" s="594" t="s">
        <v>11</v>
      </c>
      <c r="F132" s="600">
        <v>4222330</v>
      </c>
      <c r="G132" s="597" t="s">
        <v>1515</v>
      </c>
      <c r="H132" s="597"/>
      <c r="I132" s="597"/>
      <c r="J132" s="597"/>
      <c r="K132" s="597"/>
      <c r="L132" s="597"/>
      <c r="M132" s="597"/>
      <c r="N132" s="599"/>
    </row>
    <row r="133" spans="1:14">
      <c r="B133" s="582">
        <f t="shared" si="1"/>
        <v>128</v>
      </c>
      <c r="D133" s="593" t="s">
        <v>1686</v>
      </c>
      <c r="E133" s="594" t="s">
        <v>11</v>
      </c>
      <c r="G133" s="597" t="s">
        <v>1515</v>
      </c>
      <c r="H133" s="597"/>
      <c r="I133" s="597"/>
      <c r="J133" s="597"/>
      <c r="K133" s="597"/>
      <c r="L133" s="597"/>
      <c r="M133" s="597"/>
      <c r="N133" s="599"/>
    </row>
    <row r="134" spans="1:14">
      <c r="B134" s="582">
        <f t="shared" si="1"/>
        <v>129</v>
      </c>
      <c r="D134" s="593" t="s">
        <v>1687</v>
      </c>
      <c r="E134" s="594" t="s">
        <v>11</v>
      </c>
      <c r="G134" s="597" t="s">
        <v>1515</v>
      </c>
      <c r="H134" s="597"/>
      <c r="I134" s="597"/>
      <c r="J134" s="597"/>
      <c r="K134" s="597"/>
      <c r="L134" s="597"/>
      <c r="M134" s="597"/>
      <c r="N134" s="599"/>
    </row>
    <row r="135" spans="1:14" ht="27" customHeight="1">
      <c r="B135" s="582">
        <f t="shared" ref="B135:B198" si="2">B134+1</f>
        <v>130</v>
      </c>
      <c r="D135" s="593" t="s">
        <v>1688</v>
      </c>
      <c r="E135" s="594" t="s">
        <v>11</v>
      </c>
      <c r="G135" s="597"/>
      <c r="H135" s="597" t="s">
        <v>1515</v>
      </c>
      <c r="I135" s="597"/>
      <c r="J135" s="597"/>
      <c r="K135" s="597"/>
      <c r="L135" s="597"/>
      <c r="M135" s="597"/>
      <c r="N135" s="599" t="s">
        <v>1689</v>
      </c>
    </row>
    <row r="136" spans="1:14" ht="27" customHeight="1">
      <c r="B136" s="582">
        <f t="shared" si="2"/>
        <v>131</v>
      </c>
      <c r="D136" s="593" t="s">
        <v>1690</v>
      </c>
      <c r="E136" s="594" t="s">
        <v>11</v>
      </c>
      <c r="G136" s="597"/>
      <c r="H136" s="597" t="s">
        <v>1515</v>
      </c>
      <c r="I136" s="597"/>
      <c r="J136" s="597"/>
      <c r="K136" s="597"/>
      <c r="L136" s="597"/>
      <c r="M136" s="597"/>
      <c r="N136" s="599" t="s">
        <v>1691</v>
      </c>
    </row>
    <row r="137" spans="1:14">
      <c r="A137" s="562" t="s">
        <v>311</v>
      </c>
      <c r="B137" s="582">
        <f t="shared" si="2"/>
        <v>132</v>
      </c>
      <c r="C137" s="592" t="s">
        <v>1692</v>
      </c>
      <c r="D137" s="602" t="s">
        <v>1693</v>
      </c>
      <c r="E137" s="594" t="s">
        <v>11</v>
      </c>
      <c r="F137" s="600">
        <v>5313905</v>
      </c>
      <c r="G137" s="597" t="s">
        <v>1515</v>
      </c>
      <c r="H137" s="597"/>
      <c r="I137" s="597"/>
      <c r="J137" s="597"/>
      <c r="K137" s="597"/>
      <c r="L137" s="597"/>
      <c r="M137" s="597"/>
      <c r="N137" s="599"/>
    </row>
    <row r="138" spans="1:14">
      <c r="B138" s="582">
        <f t="shared" si="2"/>
        <v>133</v>
      </c>
      <c r="D138" s="593" t="s">
        <v>1694</v>
      </c>
      <c r="E138" s="594" t="s">
        <v>11</v>
      </c>
      <c r="G138" s="597" t="s">
        <v>1515</v>
      </c>
      <c r="H138" s="597"/>
      <c r="I138" s="597"/>
      <c r="J138" s="597"/>
      <c r="K138" s="597"/>
      <c r="L138" s="597"/>
      <c r="M138" s="597"/>
      <c r="N138" s="599"/>
    </row>
    <row r="139" spans="1:14">
      <c r="B139" s="582">
        <f t="shared" si="2"/>
        <v>134</v>
      </c>
      <c r="D139" s="593" t="s">
        <v>1695</v>
      </c>
      <c r="E139" s="594" t="s">
        <v>11</v>
      </c>
      <c r="G139" s="597" t="s">
        <v>1515</v>
      </c>
      <c r="H139" s="597"/>
      <c r="I139" s="597"/>
      <c r="J139" s="597"/>
      <c r="K139" s="597"/>
      <c r="L139" s="597"/>
      <c r="M139" s="597"/>
      <c r="N139" s="599"/>
    </row>
    <row r="140" spans="1:14">
      <c r="B140" s="582">
        <f t="shared" si="2"/>
        <v>135</v>
      </c>
      <c r="D140" s="593" t="s">
        <v>1696</v>
      </c>
      <c r="E140" s="594" t="s">
        <v>11</v>
      </c>
      <c r="G140" s="597" t="s">
        <v>1515</v>
      </c>
      <c r="H140" s="597"/>
      <c r="I140" s="597"/>
      <c r="J140" s="597"/>
      <c r="K140" s="597"/>
      <c r="L140" s="597"/>
      <c r="M140" s="597"/>
      <c r="N140" s="599"/>
    </row>
    <row r="141" spans="1:14">
      <c r="B141" s="582">
        <f t="shared" si="2"/>
        <v>136</v>
      </c>
      <c r="D141" s="593" t="s">
        <v>2341</v>
      </c>
      <c r="E141" s="594" t="s">
        <v>11</v>
      </c>
      <c r="G141" s="597" t="s">
        <v>1515</v>
      </c>
      <c r="H141" s="597"/>
      <c r="I141" s="597"/>
      <c r="J141" s="597"/>
      <c r="K141" s="597"/>
      <c r="L141" s="597"/>
      <c r="M141" s="597"/>
      <c r="N141" s="599"/>
    </row>
    <row r="142" spans="1:14">
      <c r="B142" s="582">
        <f t="shared" si="2"/>
        <v>137</v>
      </c>
      <c r="D142" s="593" t="s">
        <v>1697</v>
      </c>
      <c r="E142" s="594" t="s">
        <v>11</v>
      </c>
      <c r="G142" s="597" t="s">
        <v>1515</v>
      </c>
      <c r="H142" s="597"/>
      <c r="I142" s="597"/>
      <c r="J142" s="597"/>
      <c r="K142" s="597"/>
      <c r="L142" s="597"/>
      <c r="M142" s="597"/>
      <c r="N142" s="599"/>
    </row>
    <row r="143" spans="1:14" ht="43.5">
      <c r="A143" s="562" t="s">
        <v>317</v>
      </c>
      <c r="B143" s="582">
        <f t="shared" si="2"/>
        <v>138</v>
      </c>
      <c r="C143" s="592" t="s">
        <v>1698</v>
      </c>
      <c r="D143" s="593" t="s">
        <v>1699</v>
      </c>
      <c r="E143" s="594" t="s">
        <v>11</v>
      </c>
      <c r="F143" s="600">
        <v>15371304</v>
      </c>
      <c r="G143" s="597" t="s">
        <v>1515</v>
      </c>
      <c r="H143" s="597"/>
      <c r="I143" s="597"/>
      <c r="J143" s="597"/>
      <c r="K143" s="597"/>
      <c r="L143" s="597"/>
      <c r="M143" s="597"/>
      <c r="N143" s="599"/>
    </row>
    <row r="144" spans="1:14">
      <c r="B144" s="582">
        <f t="shared" si="2"/>
        <v>139</v>
      </c>
      <c r="D144" s="593" t="s">
        <v>1700</v>
      </c>
      <c r="E144" s="594" t="s">
        <v>11</v>
      </c>
      <c r="G144" s="597" t="s">
        <v>1515</v>
      </c>
      <c r="H144" s="597"/>
      <c r="I144" s="597"/>
      <c r="J144" s="597"/>
      <c r="K144" s="597"/>
      <c r="L144" s="597"/>
      <c r="M144" s="597"/>
      <c r="N144" s="599"/>
    </row>
    <row r="145" spans="1:14">
      <c r="B145" s="582">
        <f t="shared" si="2"/>
        <v>140</v>
      </c>
      <c r="D145" s="593" t="s">
        <v>1701</v>
      </c>
      <c r="E145" s="594" t="s">
        <v>11</v>
      </c>
      <c r="G145" s="597" t="s">
        <v>1515</v>
      </c>
      <c r="H145" s="597"/>
      <c r="I145" s="597"/>
      <c r="J145" s="597"/>
      <c r="K145" s="597"/>
      <c r="L145" s="597"/>
      <c r="M145" s="597"/>
      <c r="N145" s="599"/>
    </row>
    <row r="146" spans="1:14">
      <c r="B146" s="582">
        <f t="shared" si="2"/>
        <v>141</v>
      </c>
      <c r="D146" s="593" t="s">
        <v>1702</v>
      </c>
      <c r="E146" s="594" t="s">
        <v>11</v>
      </c>
      <c r="G146" s="597" t="s">
        <v>1515</v>
      </c>
      <c r="H146" s="597"/>
      <c r="I146" s="597"/>
      <c r="J146" s="597"/>
      <c r="K146" s="597"/>
      <c r="L146" s="597"/>
      <c r="M146" s="597"/>
      <c r="N146" s="599"/>
    </row>
    <row r="147" spans="1:14">
      <c r="B147" s="582">
        <f t="shared" si="2"/>
        <v>142</v>
      </c>
      <c r="D147" s="593" t="s">
        <v>1703</v>
      </c>
      <c r="E147" s="594" t="s">
        <v>11</v>
      </c>
      <c r="G147" s="597" t="s">
        <v>1515</v>
      </c>
      <c r="H147" s="597"/>
      <c r="I147" s="597"/>
      <c r="J147" s="597"/>
      <c r="K147" s="597"/>
      <c r="L147" s="597"/>
      <c r="M147" s="597"/>
      <c r="N147" s="599"/>
    </row>
    <row r="148" spans="1:14">
      <c r="B148" s="582">
        <f t="shared" si="2"/>
        <v>143</v>
      </c>
      <c r="D148" s="593" t="s">
        <v>1704</v>
      </c>
      <c r="E148" s="594" t="s">
        <v>11</v>
      </c>
      <c r="G148" s="597" t="s">
        <v>1515</v>
      </c>
      <c r="H148" s="597"/>
      <c r="I148" s="597"/>
      <c r="J148" s="597"/>
      <c r="K148" s="597"/>
      <c r="L148" s="597"/>
      <c r="M148" s="597"/>
      <c r="N148" s="599"/>
    </row>
    <row r="149" spans="1:14">
      <c r="A149" s="562" t="s">
        <v>315</v>
      </c>
      <c r="B149" s="582">
        <f t="shared" si="2"/>
        <v>144</v>
      </c>
      <c r="C149" s="592" t="s">
        <v>1705</v>
      </c>
      <c r="D149" s="593" t="s">
        <v>1706</v>
      </c>
      <c r="E149" s="594" t="s">
        <v>11</v>
      </c>
      <c r="F149" s="600">
        <v>10761312</v>
      </c>
      <c r="G149" s="597" t="s">
        <v>1515</v>
      </c>
      <c r="H149" s="597"/>
      <c r="I149" s="597"/>
      <c r="J149" s="597"/>
      <c r="K149" s="597"/>
      <c r="L149" s="597"/>
      <c r="M149" s="597"/>
      <c r="N149" s="599"/>
    </row>
    <row r="150" spans="1:14">
      <c r="B150" s="582">
        <f t="shared" si="2"/>
        <v>145</v>
      </c>
      <c r="D150" s="593" t="s">
        <v>1707</v>
      </c>
      <c r="E150" s="594" t="s">
        <v>11</v>
      </c>
      <c r="G150" s="597" t="s">
        <v>1515</v>
      </c>
      <c r="H150" s="597"/>
      <c r="I150" s="597"/>
      <c r="J150" s="597"/>
      <c r="K150" s="597"/>
      <c r="L150" s="597"/>
      <c r="M150" s="597"/>
      <c r="N150" s="599"/>
    </row>
    <row r="151" spans="1:14">
      <c r="B151" s="582">
        <f t="shared" si="2"/>
        <v>146</v>
      </c>
      <c r="D151" s="593" t="s">
        <v>1708</v>
      </c>
      <c r="E151" s="594" t="s">
        <v>11</v>
      </c>
      <c r="G151" s="597" t="s">
        <v>1515</v>
      </c>
      <c r="H151" s="597"/>
      <c r="I151" s="597"/>
      <c r="J151" s="597"/>
      <c r="K151" s="597"/>
      <c r="L151" s="597"/>
      <c r="M151" s="597"/>
      <c r="N151" s="599"/>
    </row>
    <row r="152" spans="1:14">
      <c r="B152" s="582">
        <f t="shared" si="2"/>
        <v>147</v>
      </c>
      <c r="D152" s="593" t="s">
        <v>1709</v>
      </c>
      <c r="E152" s="594" t="s">
        <v>11</v>
      </c>
      <c r="G152" s="597" t="s">
        <v>1515</v>
      </c>
      <c r="H152" s="597"/>
      <c r="I152" s="597"/>
      <c r="J152" s="597"/>
      <c r="K152" s="597"/>
      <c r="L152" s="597"/>
      <c r="M152" s="597"/>
      <c r="N152" s="599"/>
    </row>
    <row r="153" spans="1:14">
      <c r="B153" s="582">
        <f t="shared" si="2"/>
        <v>148</v>
      </c>
      <c r="D153" s="593" t="s">
        <v>1710</v>
      </c>
      <c r="E153" s="594" t="s">
        <v>11</v>
      </c>
      <c r="G153" s="597" t="s">
        <v>1515</v>
      </c>
      <c r="H153" s="597"/>
      <c r="I153" s="597"/>
      <c r="J153" s="597"/>
      <c r="K153" s="597"/>
      <c r="L153" s="597"/>
      <c r="M153" s="597"/>
      <c r="N153" s="599"/>
    </row>
    <row r="154" spans="1:14">
      <c r="B154" s="582">
        <f t="shared" si="2"/>
        <v>149</v>
      </c>
      <c r="D154" s="593" t="s">
        <v>1711</v>
      </c>
      <c r="E154" s="594" t="s">
        <v>11</v>
      </c>
      <c r="G154" s="597" t="s">
        <v>1515</v>
      </c>
      <c r="H154" s="597"/>
      <c r="I154" s="597"/>
      <c r="J154" s="597"/>
      <c r="K154" s="597"/>
      <c r="L154" s="597"/>
      <c r="M154" s="597"/>
      <c r="N154" s="599"/>
    </row>
    <row r="155" spans="1:14">
      <c r="B155" s="582">
        <f t="shared" si="2"/>
        <v>150</v>
      </c>
      <c r="D155" s="593" t="s">
        <v>1712</v>
      </c>
      <c r="E155" s="594" t="s">
        <v>11</v>
      </c>
      <c r="G155" s="597" t="s">
        <v>1515</v>
      </c>
      <c r="H155" s="597"/>
      <c r="I155" s="597"/>
      <c r="J155" s="597"/>
      <c r="K155" s="597"/>
      <c r="L155" s="597"/>
      <c r="M155" s="597"/>
      <c r="N155" s="599"/>
    </row>
    <row r="156" spans="1:14">
      <c r="B156" s="582">
        <f t="shared" si="2"/>
        <v>151</v>
      </c>
      <c r="D156" s="593" t="s">
        <v>1713</v>
      </c>
      <c r="E156" s="594" t="s">
        <v>11</v>
      </c>
      <c r="G156" s="597" t="s">
        <v>1515</v>
      </c>
      <c r="H156" s="597"/>
      <c r="I156" s="597"/>
      <c r="J156" s="597"/>
      <c r="K156" s="597"/>
      <c r="L156" s="597"/>
      <c r="M156" s="597"/>
      <c r="N156" s="599"/>
    </row>
    <row r="157" spans="1:14">
      <c r="A157" s="562" t="s">
        <v>319</v>
      </c>
      <c r="B157" s="582">
        <f t="shared" si="2"/>
        <v>152</v>
      </c>
      <c r="C157" s="592" t="s">
        <v>1714</v>
      </c>
      <c r="D157" s="593" t="s">
        <v>1715</v>
      </c>
      <c r="E157" s="594" t="s">
        <v>11</v>
      </c>
      <c r="F157" s="600">
        <v>1725310</v>
      </c>
      <c r="G157" s="597" t="s">
        <v>1515</v>
      </c>
      <c r="H157" s="597"/>
      <c r="I157" s="597"/>
      <c r="J157" s="597"/>
      <c r="K157" s="597"/>
      <c r="L157" s="597"/>
      <c r="M157" s="597"/>
      <c r="N157" s="599"/>
    </row>
    <row r="158" spans="1:14">
      <c r="B158" s="582">
        <f t="shared" si="2"/>
        <v>153</v>
      </c>
      <c r="D158" s="593" t="s">
        <v>1716</v>
      </c>
      <c r="E158" s="594" t="s">
        <v>11</v>
      </c>
      <c r="G158" s="597"/>
      <c r="H158" s="597" t="s">
        <v>1515</v>
      </c>
      <c r="I158" s="597"/>
      <c r="J158" s="597"/>
      <c r="K158" s="597"/>
      <c r="L158" s="597"/>
      <c r="M158" s="597"/>
      <c r="N158" s="599" t="s">
        <v>1717</v>
      </c>
    </row>
    <row r="159" spans="1:14">
      <c r="B159" s="582">
        <f t="shared" si="2"/>
        <v>154</v>
      </c>
      <c r="D159" s="593" t="s">
        <v>1718</v>
      </c>
      <c r="E159" s="594" t="s">
        <v>11</v>
      </c>
      <c r="G159" s="597"/>
      <c r="H159" s="597" t="s">
        <v>1515</v>
      </c>
      <c r="I159" s="597"/>
      <c r="J159" s="597"/>
      <c r="K159" s="597"/>
      <c r="L159" s="597"/>
      <c r="M159" s="597"/>
      <c r="N159" s="599" t="s">
        <v>1717</v>
      </c>
    </row>
    <row r="160" spans="1:14" ht="29">
      <c r="A160" s="562" t="s">
        <v>321</v>
      </c>
      <c r="B160" s="582">
        <f t="shared" si="2"/>
        <v>155</v>
      </c>
      <c r="C160" s="592" t="s">
        <v>1719</v>
      </c>
      <c r="D160" s="593" t="s">
        <v>1720</v>
      </c>
      <c r="E160" s="594" t="s">
        <v>11</v>
      </c>
      <c r="F160" s="600">
        <v>10146043</v>
      </c>
      <c r="G160" s="597" t="s">
        <v>1515</v>
      </c>
      <c r="H160" s="597"/>
      <c r="I160" s="597"/>
      <c r="J160" s="597"/>
      <c r="K160" s="597"/>
      <c r="L160" s="597"/>
      <c r="M160" s="597"/>
      <c r="N160" s="599"/>
    </row>
    <row r="161" spans="1:14">
      <c r="B161" s="582">
        <f t="shared" si="2"/>
        <v>156</v>
      </c>
      <c r="D161" s="593" t="s">
        <v>1597</v>
      </c>
      <c r="E161" s="594" t="s">
        <v>11</v>
      </c>
      <c r="G161" s="597" t="s">
        <v>1515</v>
      </c>
      <c r="H161" s="597"/>
      <c r="I161" s="597"/>
      <c r="J161" s="597"/>
      <c r="K161" s="597"/>
      <c r="L161" s="597"/>
      <c r="M161" s="597"/>
      <c r="N161" s="599"/>
    </row>
    <row r="162" spans="1:14">
      <c r="B162" s="582">
        <f t="shared" si="2"/>
        <v>157</v>
      </c>
      <c r="D162" s="593" t="s">
        <v>1721</v>
      </c>
      <c r="E162" s="594" t="s">
        <v>11</v>
      </c>
      <c r="G162" s="597" t="s">
        <v>1515</v>
      </c>
      <c r="H162" s="597"/>
      <c r="I162" s="597"/>
      <c r="J162" s="597"/>
      <c r="K162" s="597"/>
      <c r="L162" s="597"/>
      <c r="M162" s="597"/>
      <c r="N162" s="599"/>
    </row>
    <row r="163" spans="1:14">
      <c r="B163" s="582">
        <f t="shared" si="2"/>
        <v>158</v>
      </c>
      <c r="D163" s="593" t="s">
        <v>1722</v>
      </c>
      <c r="E163" s="594" t="s">
        <v>11</v>
      </c>
      <c r="G163" s="597" t="s">
        <v>1515</v>
      </c>
      <c r="H163" s="597"/>
      <c r="I163" s="597"/>
      <c r="J163" s="597"/>
      <c r="K163" s="597"/>
      <c r="L163" s="597"/>
      <c r="M163" s="597"/>
      <c r="N163" s="599"/>
    </row>
    <row r="164" spans="1:14">
      <c r="B164" s="582">
        <f t="shared" si="2"/>
        <v>159</v>
      </c>
      <c r="D164" s="593" t="s">
        <v>1723</v>
      </c>
      <c r="E164" s="594" t="s">
        <v>11</v>
      </c>
      <c r="G164" s="597" t="s">
        <v>1515</v>
      </c>
      <c r="H164" s="597"/>
      <c r="I164" s="597"/>
      <c r="J164" s="597"/>
      <c r="K164" s="597"/>
      <c r="L164" s="597"/>
      <c r="M164" s="597"/>
      <c r="N164" s="599"/>
    </row>
    <row r="165" spans="1:14">
      <c r="B165" s="582">
        <f t="shared" si="2"/>
        <v>160</v>
      </c>
      <c r="D165" s="593" t="s">
        <v>1724</v>
      </c>
      <c r="E165" s="594" t="s">
        <v>11</v>
      </c>
      <c r="G165" s="597" t="s">
        <v>1515</v>
      </c>
      <c r="H165" s="597"/>
      <c r="I165" s="597"/>
      <c r="J165" s="597"/>
      <c r="K165" s="597"/>
      <c r="L165" s="597"/>
      <c r="M165" s="597"/>
      <c r="N165" s="599"/>
    </row>
    <row r="166" spans="1:14" ht="29">
      <c r="B166" s="582">
        <f t="shared" si="2"/>
        <v>161</v>
      </c>
      <c r="D166" s="593" t="s">
        <v>1725</v>
      </c>
      <c r="E166" s="594" t="s">
        <v>11</v>
      </c>
      <c r="G166" s="597"/>
      <c r="H166" s="597"/>
      <c r="I166" s="597" t="s">
        <v>1515</v>
      </c>
      <c r="J166" s="597"/>
      <c r="K166" s="597"/>
      <c r="L166" s="597"/>
      <c r="M166" s="597"/>
      <c r="N166" s="599" t="s">
        <v>1726</v>
      </c>
    </row>
    <row r="167" spans="1:14">
      <c r="B167" s="582">
        <f t="shared" si="2"/>
        <v>162</v>
      </c>
      <c r="D167" s="593" t="s">
        <v>1727</v>
      </c>
      <c r="E167" s="594" t="s">
        <v>11</v>
      </c>
      <c r="G167" s="597" t="s">
        <v>1515</v>
      </c>
      <c r="H167" s="597"/>
      <c r="I167" s="597"/>
      <c r="J167" s="597"/>
      <c r="K167" s="597"/>
      <c r="L167" s="597"/>
      <c r="M167" s="597"/>
      <c r="N167" s="599"/>
    </row>
    <row r="168" spans="1:14" ht="29">
      <c r="A168" s="562" t="s">
        <v>323</v>
      </c>
      <c r="B168" s="582">
        <f t="shared" si="2"/>
        <v>163</v>
      </c>
      <c r="C168" s="592" t="s">
        <v>1728</v>
      </c>
      <c r="D168" s="593" t="s">
        <v>1729</v>
      </c>
      <c r="E168" s="594" t="s">
        <v>11</v>
      </c>
      <c r="F168" s="600">
        <v>12342545</v>
      </c>
      <c r="G168" s="597" t="s">
        <v>1515</v>
      </c>
      <c r="H168" s="597"/>
      <c r="I168" s="597"/>
      <c r="J168" s="597"/>
      <c r="K168" s="597"/>
      <c r="L168" s="597"/>
      <c r="M168" s="597"/>
      <c r="N168" s="599"/>
    </row>
    <row r="169" spans="1:14">
      <c r="B169" s="582">
        <f t="shared" si="2"/>
        <v>164</v>
      </c>
      <c r="D169" s="593" t="s">
        <v>1730</v>
      </c>
      <c r="E169" s="594" t="s">
        <v>11</v>
      </c>
      <c r="G169" s="597" t="s">
        <v>1515</v>
      </c>
      <c r="H169" s="597"/>
      <c r="I169" s="597"/>
      <c r="J169" s="597"/>
      <c r="K169" s="598"/>
      <c r="L169" s="597"/>
      <c r="M169" s="597"/>
      <c r="N169" s="599"/>
    </row>
    <row r="170" spans="1:14">
      <c r="B170" s="582">
        <f t="shared" si="2"/>
        <v>165</v>
      </c>
      <c r="D170" s="593" t="s">
        <v>1731</v>
      </c>
      <c r="E170" s="594" t="s">
        <v>11</v>
      </c>
      <c r="G170" s="597" t="s">
        <v>1515</v>
      </c>
      <c r="H170" s="597"/>
      <c r="I170" s="597"/>
      <c r="J170" s="597"/>
      <c r="K170" s="598"/>
      <c r="L170" s="597"/>
      <c r="M170" s="597"/>
      <c r="N170" s="599"/>
    </row>
    <row r="171" spans="1:14">
      <c r="B171" s="582">
        <f t="shared" si="2"/>
        <v>166</v>
      </c>
      <c r="D171" s="593" t="s">
        <v>1732</v>
      </c>
      <c r="E171" s="594" t="s">
        <v>11</v>
      </c>
      <c r="G171" s="597" t="s">
        <v>1515</v>
      </c>
      <c r="H171" s="597"/>
      <c r="I171" s="597"/>
      <c r="J171" s="597"/>
      <c r="K171" s="598"/>
      <c r="L171" s="597"/>
      <c r="M171" s="597"/>
      <c r="N171" s="599"/>
    </row>
    <row r="172" spans="1:14">
      <c r="B172" s="582">
        <f t="shared" si="2"/>
        <v>167</v>
      </c>
      <c r="D172" s="593" t="s">
        <v>1733</v>
      </c>
      <c r="E172" s="594" t="s">
        <v>11</v>
      </c>
      <c r="G172" s="597" t="s">
        <v>1515</v>
      </c>
      <c r="H172" s="597"/>
      <c r="I172" s="597"/>
      <c r="J172" s="597"/>
      <c r="K172" s="598"/>
      <c r="L172" s="597"/>
      <c r="M172" s="597"/>
      <c r="N172" s="599"/>
    </row>
    <row r="173" spans="1:14">
      <c r="B173" s="582">
        <f t="shared" si="2"/>
        <v>168</v>
      </c>
      <c r="D173" s="593" t="s">
        <v>1734</v>
      </c>
      <c r="E173" s="594" t="s">
        <v>11</v>
      </c>
      <c r="G173" s="597" t="s">
        <v>1515</v>
      </c>
      <c r="H173" s="597"/>
      <c r="I173" s="597"/>
      <c r="J173" s="597"/>
      <c r="K173" s="598"/>
      <c r="L173" s="597"/>
      <c r="M173" s="597"/>
      <c r="N173" s="599"/>
    </row>
    <row r="174" spans="1:14">
      <c r="B174" s="582">
        <f t="shared" si="2"/>
        <v>169</v>
      </c>
      <c r="C174" s="592" t="s">
        <v>2342</v>
      </c>
      <c r="D174" s="593" t="s">
        <v>2343</v>
      </c>
      <c r="G174" s="597" t="s">
        <v>1515</v>
      </c>
      <c r="H174" s="597"/>
      <c r="I174" s="597"/>
      <c r="J174" s="597"/>
      <c r="K174" s="598"/>
      <c r="L174" s="597"/>
      <c r="M174" s="597"/>
      <c r="N174" s="599"/>
    </row>
    <row r="175" spans="1:14">
      <c r="B175" s="582">
        <f t="shared" si="2"/>
        <v>170</v>
      </c>
      <c r="D175" s="593" t="s">
        <v>2344</v>
      </c>
      <c r="G175" s="597" t="s">
        <v>1515</v>
      </c>
      <c r="H175" s="597"/>
      <c r="I175" s="597"/>
      <c r="J175" s="597"/>
      <c r="K175" s="598"/>
      <c r="L175" s="597"/>
      <c r="M175" s="597"/>
      <c r="N175" s="599"/>
    </row>
    <row r="176" spans="1:14" ht="29">
      <c r="A176" s="562" t="s">
        <v>325</v>
      </c>
      <c r="B176" s="582">
        <f t="shared" si="2"/>
        <v>171</v>
      </c>
      <c r="C176" s="592" t="s">
        <v>1735</v>
      </c>
      <c r="D176" s="593" t="s">
        <v>1736</v>
      </c>
      <c r="E176" s="594" t="s">
        <v>11</v>
      </c>
      <c r="F176" s="600">
        <v>19532694</v>
      </c>
      <c r="G176" s="597" t="s">
        <v>1515</v>
      </c>
      <c r="H176" s="597"/>
      <c r="I176" s="597"/>
      <c r="J176" s="597"/>
      <c r="K176" s="598"/>
      <c r="L176" s="597"/>
      <c r="M176" s="597"/>
      <c r="N176" s="599"/>
    </row>
    <row r="177" spans="1:14">
      <c r="B177" s="582">
        <f t="shared" si="2"/>
        <v>172</v>
      </c>
      <c r="D177" s="593" t="s">
        <v>1737</v>
      </c>
      <c r="E177" s="594" t="s">
        <v>11</v>
      </c>
      <c r="G177" s="597" t="s">
        <v>1515</v>
      </c>
      <c r="H177" s="597"/>
      <c r="I177" s="597"/>
      <c r="J177" s="597"/>
      <c r="K177" s="598"/>
      <c r="L177" s="597"/>
      <c r="M177" s="597"/>
      <c r="N177" s="599"/>
    </row>
    <row r="178" spans="1:14">
      <c r="B178" s="582">
        <f t="shared" si="2"/>
        <v>173</v>
      </c>
      <c r="D178" s="593" t="s">
        <v>1738</v>
      </c>
      <c r="E178" s="594" t="s">
        <v>11</v>
      </c>
      <c r="G178" s="597" t="s">
        <v>1515</v>
      </c>
      <c r="H178" s="597"/>
      <c r="I178" s="597"/>
      <c r="J178" s="597"/>
      <c r="K178" s="598"/>
      <c r="L178" s="597"/>
      <c r="M178" s="597"/>
      <c r="N178" s="599"/>
    </row>
    <row r="179" spans="1:14">
      <c r="B179" s="582">
        <f t="shared" si="2"/>
        <v>174</v>
      </c>
      <c r="D179" s="593" t="s">
        <v>1553</v>
      </c>
      <c r="E179" s="594" t="s">
        <v>11</v>
      </c>
      <c r="G179" s="597" t="s">
        <v>1515</v>
      </c>
      <c r="H179" s="597"/>
      <c r="I179" s="597"/>
      <c r="J179" s="597"/>
      <c r="K179" s="598"/>
      <c r="L179" s="597"/>
      <c r="M179" s="597"/>
      <c r="N179" s="599"/>
    </row>
    <row r="180" spans="1:14">
      <c r="B180" s="582">
        <f t="shared" si="2"/>
        <v>175</v>
      </c>
      <c r="D180" s="593" t="s">
        <v>1739</v>
      </c>
      <c r="E180" s="594" t="s">
        <v>11</v>
      </c>
      <c r="G180" s="597" t="s">
        <v>1515</v>
      </c>
      <c r="H180" s="597"/>
      <c r="I180" s="597"/>
      <c r="J180" s="597"/>
      <c r="K180" s="598"/>
      <c r="L180" s="597"/>
      <c r="M180" s="597"/>
      <c r="N180" s="599"/>
    </row>
    <row r="181" spans="1:14" ht="29">
      <c r="B181" s="582">
        <f t="shared" si="2"/>
        <v>176</v>
      </c>
      <c r="D181" s="593" t="s">
        <v>1740</v>
      </c>
      <c r="E181" s="594" t="s">
        <v>11</v>
      </c>
      <c r="G181" s="597" t="s">
        <v>1515</v>
      </c>
      <c r="H181" s="597"/>
      <c r="I181" s="597"/>
      <c r="J181" s="597"/>
      <c r="K181" s="597"/>
      <c r="L181" s="597"/>
      <c r="M181" s="597"/>
      <c r="N181" s="599"/>
    </row>
    <row r="182" spans="1:14">
      <c r="B182" s="582">
        <f t="shared" si="2"/>
        <v>177</v>
      </c>
      <c r="D182" s="593" t="s">
        <v>1741</v>
      </c>
      <c r="E182" s="594" t="s">
        <v>11</v>
      </c>
      <c r="G182" s="597" t="s">
        <v>1515</v>
      </c>
      <c r="H182" s="597"/>
      <c r="I182" s="597"/>
      <c r="J182" s="597"/>
      <c r="K182" s="597"/>
      <c r="L182" s="597"/>
      <c r="M182" s="597"/>
      <c r="N182" s="599"/>
    </row>
    <row r="183" spans="1:14">
      <c r="B183" s="582">
        <f t="shared" si="2"/>
        <v>178</v>
      </c>
      <c r="D183" s="593" t="s">
        <v>1742</v>
      </c>
      <c r="E183" s="594" t="s">
        <v>11</v>
      </c>
      <c r="G183" s="597" t="s">
        <v>1515</v>
      </c>
      <c r="H183" s="597"/>
      <c r="I183" s="597"/>
      <c r="J183" s="597"/>
      <c r="K183" s="597"/>
      <c r="L183" s="597"/>
      <c r="M183" s="597"/>
      <c r="N183" s="599"/>
    </row>
    <row r="184" spans="1:14">
      <c r="B184" s="582">
        <f t="shared" si="2"/>
        <v>179</v>
      </c>
      <c r="D184" s="593" t="s">
        <v>1743</v>
      </c>
      <c r="E184" s="594" t="s">
        <v>11</v>
      </c>
      <c r="G184" s="597" t="s">
        <v>1515</v>
      </c>
      <c r="H184" s="597"/>
      <c r="I184" s="597"/>
      <c r="J184" s="597"/>
      <c r="K184" s="597"/>
      <c r="L184" s="597"/>
      <c r="M184" s="597"/>
      <c r="N184" s="599"/>
    </row>
    <row r="185" spans="1:14">
      <c r="B185" s="582">
        <f t="shared" si="2"/>
        <v>180</v>
      </c>
      <c r="D185" s="593" t="s">
        <v>1744</v>
      </c>
      <c r="E185" s="594" t="s">
        <v>11</v>
      </c>
      <c r="G185" s="597" t="s">
        <v>1515</v>
      </c>
      <c r="H185" s="597"/>
      <c r="I185" s="597"/>
      <c r="J185" s="597"/>
      <c r="K185" s="597"/>
      <c r="L185" s="597"/>
      <c r="M185" s="597"/>
      <c r="N185" s="599"/>
    </row>
    <row r="186" spans="1:14">
      <c r="B186" s="582">
        <f t="shared" si="2"/>
        <v>181</v>
      </c>
      <c r="D186" s="593" t="s">
        <v>1745</v>
      </c>
      <c r="E186" s="594" t="s">
        <v>11</v>
      </c>
      <c r="G186" s="597" t="s">
        <v>1515</v>
      </c>
      <c r="H186" s="597"/>
      <c r="I186" s="597"/>
      <c r="J186" s="597"/>
      <c r="K186" s="597"/>
      <c r="L186" s="597"/>
      <c r="M186" s="597"/>
      <c r="N186" s="599"/>
    </row>
    <row r="187" spans="1:14">
      <c r="A187" s="562" t="s">
        <v>327</v>
      </c>
      <c r="B187" s="582">
        <f t="shared" si="2"/>
        <v>182</v>
      </c>
      <c r="C187" s="592" t="s">
        <v>1746</v>
      </c>
      <c r="D187" s="593" t="s">
        <v>1747</v>
      </c>
      <c r="E187" s="594" t="s">
        <v>36</v>
      </c>
      <c r="F187" s="600">
        <v>8188497</v>
      </c>
      <c r="G187" s="597"/>
      <c r="H187" s="597"/>
      <c r="I187" s="597" t="s">
        <v>1515</v>
      </c>
      <c r="J187" s="597"/>
      <c r="K187" s="597"/>
      <c r="L187" s="597"/>
      <c r="M187" s="597"/>
      <c r="N187" s="599" t="s">
        <v>1748</v>
      </c>
    </row>
    <row r="188" spans="1:14">
      <c r="B188" s="582">
        <f t="shared" si="2"/>
        <v>183</v>
      </c>
      <c r="D188" s="593" t="s">
        <v>1749</v>
      </c>
      <c r="E188" s="594" t="s">
        <v>36</v>
      </c>
      <c r="G188" s="597"/>
      <c r="H188" s="597"/>
      <c r="I188" s="597" t="s">
        <v>1515</v>
      </c>
      <c r="J188" s="597"/>
      <c r="K188" s="597"/>
      <c r="L188" s="597"/>
      <c r="M188" s="597"/>
      <c r="N188" s="599" t="s">
        <v>1748</v>
      </c>
    </row>
    <row r="189" spans="1:14">
      <c r="B189" s="582">
        <f t="shared" si="2"/>
        <v>184</v>
      </c>
      <c r="D189" s="593" t="s">
        <v>1630</v>
      </c>
      <c r="E189" s="594" t="s">
        <v>36</v>
      </c>
      <c r="G189" s="597" t="s">
        <v>1515</v>
      </c>
      <c r="H189" s="597"/>
      <c r="I189" s="597"/>
      <c r="J189" s="597"/>
      <c r="K189" s="597"/>
      <c r="L189" s="597"/>
      <c r="M189" s="597"/>
      <c r="N189" s="599"/>
    </row>
    <row r="190" spans="1:14">
      <c r="B190" s="582">
        <f t="shared" si="2"/>
        <v>185</v>
      </c>
      <c r="D190" s="593" t="s">
        <v>1750</v>
      </c>
      <c r="E190" s="594" t="s">
        <v>36</v>
      </c>
      <c r="G190" s="597" t="s">
        <v>1515</v>
      </c>
      <c r="H190" s="597"/>
      <c r="I190" s="597"/>
      <c r="J190" s="597"/>
      <c r="K190" s="597"/>
      <c r="L190" s="597"/>
      <c r="M190" s="597"/>
      <c r="N190" s="599"/>
    </row>
    <row r="191" spans="1:14">
      <c r="B191" s="582">
        <f t="shared" si="2"/>
        <v>186</v>
      </c>
      <c r="D191" s="593" t="s">
        <v>1751</v>
      </c>
      <c r="E191" s="594" t="s">
        <v>36</v>
      </c>
      <c r="G191" s="597" t="s">
        <v>1515</v>
      </c>
      <c r="H191" s="597"/>
      <c r="I191" s="597"/>
      <c r="J191" s="597"/>
      <c r="K191" s="597"/>
      <c r="L191" s="597"/>
      <c r="M191" s="597"/>
      <c r="N191" s="599"/>
    </row>
    <row r="192" spans="1:14">
      <c r="A192" s="562" t="s">
        <v>329</v>
      </c>
      <c r="B192" s="582">
        <f t="shared" si="2"/>
        <v>187</v>
      </c>
      <c r="C192" s="592" t="s">
        <v>1752</v>
      </c>
      <c r="D192" s="593" t="s">
        <v>1753</v>
      </c>
      <c r="E192" s="594" t="s">
        <v>11</v>
      </c>
      <c r="F192" s="600">
        <v>1506124</v>
      </c>
      <c r="G192" s="597" t="s">
        <v>1515</v>
      </c>
      <c r="H192" s="597"/>
      <c r="I192" s="597"/>
      <c r="J192" s="597"/>
      <c r="K192" s="597"/>
      <c r="L192" s="597"/>
      <c r="M192" s="597"/>
      <c r="N192" s="599"/>
    </row>
    <row r="193" spans="1:14">
      <c r="B193" s="582">
        <f t="shared" si="2"/>
        <v>188</v>
      </c>
      <c r="D193" s="593" t="s">
        <v>1754</v>
      </c>
      <c r="E193" s="594" t="s">
        <v>11</v>
      </c>
      <c r="G193" s="597" t="s">
        <v>1515</v>
      </c>
      <c r="H193" s="597"/>
      <c r="I193" s="597"/>
      <c r="J193" s="597"/>
      <c r="K193" s="597"/>
      <c r="L193" s="597"/>
      <c r="M193" s="597"/>
      <c r="N193" s="599"/>
    </row>
    <row r="194" spans="1:14" ht="29">
      <c r="A194" s="562" t="s">
        <v>331</v>
      </c>
      <c r="B194" s="582">
        <f t="shared" si="2"/>
        <v>189</v>
      </c>
      <c r="C194" s="592" t="s">
        <v>1755</v>
      </c>
      <c r="D194" s="593" t="s">
        <v>1756</v>
      </c>
      <c r="E194" s="594" t="s">
        <v>11</v>
      </c>
      <c r="F194" s="600">
        <v>4239318</v>
      </c>
      <c r="G194" s="597" t="s">
        <v>1515</v>
      </c>
      <c r="H194" s="597"/>
      <c r="I194" s="597"/>
      <c r="J194" s="597"/>
      <c r="K194" s="597"/>
      <c r="L194" s="597"/>
      <c r="M194" s="597"/>
      <c r="N194" s="599" t="s">
        <v>2345</v>
      </c>
    </row>
    <row r="195" spans="1:14">
      <c r="B195" s="582">
        <f t="shared" si="2"/>
        <v>190</v>
      </c>
      <c r="D195" s="593" t="s">
        <v>1757</v>
      </c>
      <c r="E195" s="594" t="s">
        <v>11</v>
      </c>
      <c r="G195" s="597" t="s">
        <v>1515</v>
      </c>
      <c r="H195" s="597"/>
      <c r="I195" s="597"/>
      <c r="J195" s="597"/>
      <c r="K195" s="597"/>
      <c r="L195" s="597"/>
      <c r="M195" s="597"/>
      <c r="N195" s="599"/>
    </row>
    <row r="196" spans="1:14">
      <c r="B196" s="582">
        <f t="shared" si="2"/>
        <v>191</v>
      </c>
      <c r="D196" s="593" t="s">
        <v>1758</v>
      </c>
      <c r="E196" s="594" t="s">
        <v>11</v>
      </c>
      <c r="G196" s="597"/>
      <c r="H196" s="597" t="s">
        <v>1515</v>
      </c>
      <c r="I196" s="597"/>
      <c r="J196" s="597"/>
      <c r="K196" s="597"/>
      <c r="L196" s="597"/>
      <c r="M196" s="597"/>
      <c r="N196" s="599" t="s">
        <v>1759</v>
      </c>
    </row>
    <row r="197" spans="1:14">
      <c r="B197" s="582">
        <f t="shared" si="2"/>
        <v>192</v>
      </c>
      <c r="D197" s="593" t="s">
        <v>1760</v>
      </c>
      <c r="G197" s="597" t="s">
        <v>1515</v>
      </c>
      <c r="H197" s="597"/>
      <c r="I197" s="597"/>
      <c r="J197" s="597"/>
      <c r="K197" s="597"/>
      <c r="L197" s="597"/>
      <c r="M197" s="597"/>
      <c r="N197" s="599"/>
    </row>
    <row r="198" spans="1:14">
      <c r="B198" s="582">
        <f t="shared" si="2"/>
        <v>193</v>
      </c>
      <c r="D198" s="593" t="s">
        <v>1761</v>
      </c>
      <c r="G198" s="597" t="s">
        <v>1515</v>
      </c>
      <c r="H198" s="597"/>
      <c r="I198" s="597"/>
      <c r="J198" s="597"/>
      <c r="K198" s="597"/>
      <c r="L198" s="597"/>
      <c r="M198" s="597"/>
      <c r="N198" s="599" t="s">
        <v>1762</v>
      </c>
    </row>
    <row r="199" spans="1:14">
      <c r="B199" s="582">
        <f t="shared" ref="B199:B262" si="3">B198+1</f>
        <v>194</v>
      </c>
      <c r="D199" s="593" t="s">
        <v>2346</v>
      </c>
      <c r="G199" s="597" t="s">
        <v>1515</v>
      </c>
      <c r="H199" s="597"/>
      <c r="I199" s="597"/>
      <c r="J199" s="597"/>
      <c r="K199" s="597"/>
      <c r="L199" s="597"/>
      <c r="M199" s="597"/>
      <c r="N199" s="599" t="s">
        <v>2347</v>
      </c>
    </row>
    <row r="200" spans="1:14" ht="29">
      <c r="B200" s="582">
        <f t="shared" si="3"/>
        <v>195</v>
      </c>
      <c r="C200" s="592" t="s">
        <v>2348</v>
      </c>
      <c r="D200" s="593" t="s">
        <v>2349</v>
      </c>
      <c r="G200" s="597" t="s">
        <v>1515</v>
      </c>
      <c r="H200" s="597"/>
      <c r="I200" s="597"/>
      <c r="J200" s="597"/>
      <c r="K200" s="597"/>
      <c r="L200" s="597"/>
      <c r="M200" s="597"/>
      <c r="N200" s="599"/>
    </row>
    <row r="201" spans="1:14">
      <c r="A201" s="562" t="s">
        <v>333</v>
      </c>
      <c r="B201" s="582">
        <f t="shared" si="3"/>
        <v>196</v>
      </c>
      <c r="C201" s="592" t="s">
        <v>1763</v>
      </c>
      <c r="D201" s="593" t="s">
        <v>1764</v>
      </c>
      <c r="E201" s="594" t="s">
        <v>36</v>
      </c>
      <c r="F201" s="600">
        <v>10685663</v>
      </c>
      <c r="G201" s="597" t="s">
        <v>1515</v>
      </c>
      <c r="H201" s="597"/>
      <c r="I201" s="597"/>
      <c r="J201" s="597"/>
      <c r="K201" s="597"/>
      <c r="L201" s="597"/>
      <c r="M201" s="597"/>
      <c r="N201" s="599"/>
    </row>
    <row r="202" spans="1:14">
      <c r="B202" s="582">
        <f t="shared" si="3"/>
        <v>197</v>
      </c>
      <c r="D202" s="593" t="s">
        <v>1765</v>
      </c>
      <c r="E202" s="594" t="s">
        <v>36</v>
      </c>
      <c r="G202" s="597"/>
      <c r="H202" s="597" t="s">
        <v>1515</v>
      </c>
      <c r="I202" s="597"/>
      <c r="J202" s="597"/>
      <c r="K202" s="597"/>
      <c r="L202" s="597"/>
      <c r="M202" s="597"/>
      <c r="N202" s="599" t="s">
        <v>1766</v>
      </c>
    </row>
    <row r="203" spans="1:14">
      <c r="B203" s="582">
        <f t="shared" si="3"/>
        <v>198</v>
      </c>
      <c r="D203" s="593" t="s">
        <v>1767</v>
      </c>
      <c r="E203" s="594" t="s">
        <v>36</v>
      </c>
      <c r="G203" s="597" t="s">
        <v>1515</v>
      </c>
      <c r="H203" s="597"/>
      <c r="I203" s="597"/>
      <c r="J203" s="597"/>
      <c r="K203" s="597"/>
      <c r="L203" s="597"/>
      <c r="M203" s="597"/>
      <c r="N203" s="599"/>
    </row>
    <row r="204" spans="1:14">
      <c r="B204" s="582">
        <f t="shared" si="3"/>
        <v>199</v>
      </c>
      <c r="D204" s="593" t="s">
        <v>1768</v>
      </c>
      <c r="E204" s="594" t="s">
        <v>36</v>
      </c>
      <c r="G204" s="597" t="s">
        <v>1515</v>
      </c>
      <c r="H204" s="597"/>
      <c r="I204" s="597"/>
      <c r="J204" s="597"/>
      <c r="K204" s="597"/>
      <c r="L204" s="597"/>
      <c r="M204" s="597"/>
      <c r="N204" s="599"/>
    </row>
    <row r="205" spans="1:14">
      <c r="B205" s="582">
        <f t="shared" si="3"/>
        <v>200</v>
      </c>
      <c r="D205" s="593" t="s">
        <v>1769</v>
      </c>
      <c r="E205" s="594" t="s">
        <v>36</v>
      </c>
      <c r="G205" s="597" t="s">
        <v>1515</v>
      </c>
      <c r="H205" s="597"/>
      <c r="I205" s="597"/>
      <c r="J205" s="597"/>
      <c r="K205" s="597"/>
      <c r="L205" s="597"/>
      <c r="M205" s="597"/>
      <c r="N205" s="599"/>
    </row>
    <row r="206" spans="1:14">
      <c r="B206" s="582">
        <f t="shared" si="3"/>
        <v>201</v>
      </c>
      <c r="D206" s="593" t="s">
        <v>1770</v>
      </c>
      <c r="E206" s="594" t="s">
        <v>36</v>
      </c>
      <c r="G206" s="597" t="s">
        <v>1515</v>
      </c>
      <c r="H206" s="597"/>
      <c r="I206" s="597"/>
      <c r="J206" s="597"/>
      <c r="K206" s="597"/>
      <c r="L206" s="597"/>
      <c r="M206" s="597"/>
      <c r="N206" s="599"/>
    </row>
    <row r="207" spans="1:14">
      <c r="B207" s="582">
        <f t="shared" si="3"/>
        <v>202</v>
      </c>
      <c r="C207" s="592" t="s">
        <v>2350</v>
      </c>
      <c r="D207" s="593" t="s">
        <v>2351</v>
      </c>
      <c r="G207" s="597" t="s">
        <v>1515</v>
      </c>
      <c r="H207" s="597"/>
      <c r="I207" s="597"/>
      <c r="J207" s="597"/>
      <c r="K207" s="597"/>
      <c r="L207" s="597"/>
      <c r="M207" s="597"/>
      <c r="N207" s="599"/>
    </row>
    <row r="208" spans="1:14">
      <c r="A208" s="562" t="s">
        <v>335</v>
      </c>
      <c r="B208" s="582">
        <f t="shared" si="3"/>
        <v>203</v>
      </c>
      <c r="C208" s="592" t="s">
        <v>1771</v>
      </c>
      <c r="D208" s="593" t="s">
        <v>1772</v>
      </c>
      <c r="E208" s="594" t="s">
        <v>11</v>
      </c>
      <c r="F208" s="600">
        <v>3684814</v>
      </c>
      <c r="G208" s="597" t="s">
        <v>1515</v>
      </c>
      <c r="H208" s="597"/>
      <c r="I208" s="597"/>
      <c r="J208" s="597"/>
      <c r="K208" s="597"/>
      <c r="L208" s="597"/>
      <c r="M208" s="597"/>
      <c r="N208" s="606"/>
    </row>
    <row r="209" spans="1:14" ht="29">
      <c r="A209" s="562" t="s">
        <v>337</v>
      </c>
      <c r="B209" s="582">
        <f t="shared" si="3"/>
        <v>204</v>
      </c>
      <c r="C209" s="592" t="s">
        <v>1773</v>
      </c>
      <c r="D209" s="593" t="s">
        <v>1774</v>
      </c>
      <c r="E209" s="594" t="s">
        <v>11</v>
      </c>
      <c r="F209" s="600">
        <v>10553364</v>
      </c>
      <c r="G209" s="597" t="s">
        <v>1515</v>
      </c>
      <c r="H209" s="597"/>
      <c r="I209" s="597"/>
      <c r="J209" s="597"/>
      <c r="K209" s="597"/>
      <c r="L209" s="597"/>
      <c r="M209" s="597"/>
      <c r="N209" s="599"/>
    </row>
    <row r="210" spans="1:14">
      <c r="B210" s="582">
        <f t="shared" si="3"/>
        <v>205</v>
      </c>
      <c r="D210" s="593" t="s">
        <v>1775</v>
      </c>
      <c r="E210" s="594" t="s">
        <v>11</v>
      </c>
      <c r="G210" s="597" t="s">
        <v>1515</v>
      </c>
      <c r="H210" s="597"/>
      <c r="I210" s="597"/>
      <c r="J210" s="597"/>
      <c r="K210" s="597"/>
      <c r="L210" s="597"/>
      <c r="M210" s="597"/>
      <c r="N210" s="599"/>
    </row>
    <row r="211" spans="1:14">
      <c r="B211" s="582">
        <f t="shared" si="3"/>
        <v>206</v>
      </c>
      <c r="D211" s="593" t="s">
        <v>1776</v>
      </c>
      <c r="E211" s="594" t="s">
        <v>11</v>
      </c>
      <c r="G211" s="597" t="s">
        <v>1515</v>
      </c>
      <c r="H211" s="597"/>
      <c r="I211" s="597"/>
      <c r="J211" s="597"/>
      <c r="K211" s="597"/>
      <c r="L211" s="597"/>
      <c r="M211" s="597"/>
      <c r="N211" s="599"/>
    </row>
    <row r="212" spans="1:14">
      <c r="B212" s="582">
        <f t="shared" si="3"/>
        <v>207</v>
      </c>
      <c r="D212" s="593" t="s">
        <v>1777</v>
      </c>
      <c r="E212" s="594" t="s">
        <v>11</v>
      </c>
      <c r="G212" s="597" t="s">
        <v>1515</v>
      </c>
      <c r="H212" s="597"/>
      <c r="I212" s="597"/>
      <c r="J212" s="597"/>
      <c r="K212" s="597"/>
      <c r="L212" s="597"/>
      <c r="M212" s="597"/>
      <c r="N212" s="599"/>
    </row>
    <row r="213" spans="1:14" ht="29">
      <c r="B213" s="582">
        <f t="shared" si="3"/>
        <v>208</v>
      </c>
      <c r="D213" s="593" t="s">
        <v>2352</v>
      </c>
      <c r="E213" s="594" t="s">
        <v>11</v>
      </c>
      <c r="G213" s="597" t="s">
        <v>1515</v>
      </c>
      <c r="H213" s="597"/>
      <c r="I213" s="597"/>
      <c r="J213" s="597"/>
      <c r="K213" s="597"/>
      <c r="L213" s="597"/>
      <c r="M213" s="597"/>
      <c r="N213" s="599"/>
    </row>
    <row r="214" spans="1:14" ht="29">
      <c r="A214" s="562" t="s">
        <v>339</v>
      </c>
      <c r="B214" s="582">
        <f t="shared" si="3"/>
        <v>209</v>
      </c>
      <c r="C214" s="592" t="s">
        <v>1778</v>
      </c>
      <c r="D214" s="593" t="s">
        <v>1779</v>
      </c>
      <c r="E214" s="594" t="s">
        <v>11</v>
      </c>
      <c r="F214" s="600">
        <v>17106123</v>
      </c>
      <c r="G214" s="597" t="s">
        <v>1515</v>
      </c>
      <c r="H214" s="597"/>
      <c r="I214" s="597"/>
      <c r="J214" s="597"/>
      <c r="K214" s="597"/>
      <c r="L214" s="597"/>
      <c r="M214" s="597"/>
      <c r="N214" s="599"/>
    </row>
    <row r="215" spans="1:14" ht="29">
      <c r="B215" s="582">
        <f t="shared" si="3"/>
        <v>210</v>
      </c>
      <c r="D215" s="593" t="s">
        <v>1780</v>
      </c>
      <c r="E215" s="594" t="s">
        <v>11</v>
      </c>
      <c r="G215" s="597" t="s">
        <v>1515</v>
      </c>
      <c r="H215" s="597"/>
      <c r="I215" s="597"/>
      <c r="J215" s="597"/>
      <c r="K215" s="597"/>
      <c r="L215" s="597"/>
      <c r="M215" s="597"/>
      <c r="N215" s="599" t="s">
        <v>1781</v>
      </c>
    </row>
    <row r="216" spans="1:14">
      <c r="B216" s="582">
        <f t="shared" si="3"/>
        <v>211</v>
      </c>
      <c r="D216" s="593" t="s">
        <v>1782</v>
      </c>
      <c r="E216" s="594" t="s">
        <v>11</v>
      </c>
      <c r="G216" s="597" t="s">
        <v>1515</v>
      </c>
      <c r="H216" s="597"/>
      <c r="I216" s="597"/>
      <c r="J216" s="597"/>
      <c r="K216" s="597"/>
      <c r="L216" s="597"/>
      <c r="M216" s="597"/>
      <c r="N216" s="599"/>
    </row>
    <row r="217" spans="1:14">
      <c r="B217" s="582">
        <f t="shared" si="3"/>
        <v>212</v>
      </c>
      <c r="D217" s="593" t="s">
        <v>1783</v>
      </c>
      <c r="E217" s="594" t="s">
        <v>11</v>
      </c>
      <c r="G217" s="597" t="s">
        <v>1515</v>
      </c>
      <c r="H217" s="597"/>
      <c r="I217" s="597"/>
      <c r="J217" s="597"/>
      <c r="K217" s="597"/>
      <c r="L217" s="597"/>
      <c r="M217" s="597"/>
      <c r="N217" s="599"/>
    </row>
    <row r="218" spans="1:14">
      <c r="B218" s="582">
        <f t="shared" si="3"/>
        <v>213</v>
      </c>
      <c r="D218" s="593" t="s">
        <v>1784</v>
      </c>
      <c r="E218" s="594" t="s">
        <v>11</v>
      </c>
      <c r="G218" s="597" t="s">
        <v>1515</v>
      </c>
      <c r="H218" s="597"/>
      <c r="I218" s="597"/>
      <c r="J218" s="597"/>
      <c r="K218" s="597"/>
      <c r="L218" s="597"/>
      <c r="M218" s="597"/>
      <c r="N218" s="599"/>
    </row>
    <row r="219" spans="1:14">
      <c r="B219" s="582">
        <f t="shared" si="3"/>
        <v>214</v>
      </c>
      <c r="D219" s="593" t="s">
        <v>1785</v>
      </c>
      <c r="E219" s="594" t="s">
        <v>11</v>
      </c>
      <c r="G219" s="597" t="s">
        <v>1515</v>
      </c>
      <c r="H219" s="597"/>
      <c r="I219" s="597"/>
      <c r="J219" s="597"/>
      <c r="K219" s="597"/>
      <c r="L219" s="597"/>
      <c r="M219" s="597"/>
      <c r="N219" s="599"/>
    </row>
    <row r="220" spans="1:14">
      <c r="B220" s="582">
        <f t="shared" si="3"/>
        <v>215</v>
      </c>
      <c r="D220" s="593" t="s">
        <v>1786</v>
      </c>
      <c r="E220" s="594" t="s">
        <v>11</v>
      </c>
      <c r="G220" s="597" t="s">
        <v>1515</v>
      </c>
      <c r="H220" s="597"/>
      <c r="I220" s="597"/>
      <c r="J220" s="597"/>
      <c r="K220" s="597"/>
      <c r="L220" s="597"/>
      <c r="M220" s="597"/>
      <c r="N220" s="599"/>
    </row>
    <row r="221" spans="1:14">
      <c r="B221" s="582">
        <f t="shared" si="3"/>
        <v>216</v>
      </c>
      <c r="D221" s="593" t="s">
        <v>1787</v>
      </c>
      <c r="E221" s="594" t="s">
        <v>11</v>
      </c>
      <c r="G221" s="597" t="s">
        <v>1515</v>
      </c>
      <c r="H221" s="597"/>
      <c r="I221" s="597"/>
      <c r="J221" s="597"/>
      <c r="K221" s="597"/>
      <c r="L221" s="597"/>
      <c r="M221" s="597"/>
      <c r="N221" s="599"/>
    </row>
    <row r="222" spans="1:14">
      <c r="B222" s="582">
        <f t="shared" si="3"/>
        <v>217</v>
      </c>
      <c r="D222" s="593" t="s">
        <v>1788</v>
      </c>
      <c r="E222" s="594" t="s">
        <v>11</v>
      </c>
      <c r="G222" s="597" t="s">
        <v>1515</v>
      </c>
      <c r="H222" s="597"/>
      <c r="I222" s="597"/>
      <c r="J222" s="597"/>
      <c r="K222" s="597"/>
      <c r="L222" s="597"/>
      <c r="M222" s="597"/>
      <c r="N222" s="599"/>
    </row>
    <row r="223" spans="1:14">
      <c r="A223" s="562" t="s">
        <v>341</v>
      </c>
      <c r="B223" s="582">
        <f t="shared" si="3"/>
        <v>218</v>
      </c>
      <c r="C223" s="592" t="s">
        <v>1789</v>
      </c>
      <c r="D223" s="593" t="s">
        <v>1790</v>
      </c>
      <c r="E223" s="594" t="s">
        <v>11</v>
      </c>
      <c r="F223" s="600">
        <v>6032465</v>
      </c>
      <c r="G223" s="597" t="s">
        <v>1515</v>
      </c>
      <c r="H223" s="597"/>
      <c r="I223" s="597"/>
      <c r="J223" s="597"/>
      <c r="K223" s="597"/>
      <c r="L223" s="597"/>
      <c r="M223" s="597"/>
      <c r="N223" s="599"/>
    </row>
    <row r="224" spans="1:14">
      <c r="B224" s="582">
        <f t="shared" si="3"/>
        <v>219</v>
      </c>
      <c r="D224" s="593" t="s">
        <v>1791</v>
      </c>
      <c r="G224" s="597" t="s">
        <v>1515</v>
      </c>
      <c r="H224" s="597"/>
      <c r="I224" s="597"/>
      <c r="J224" s="597"/>
      <c r="K224" s="597"/>
      <c r="L224" s="597"/>
      <c r="M224" s="597"/>
      <c r="N224" s="599"/>
    </row>
    <row r="225" spans="1:14">
      <c r="B225" s="582">
        <f t="shared" si="3"/>
        <v>220</v>
      </c>
      <c r="D225" s="593" t="s">
        <v>1792</v>
      </c>
      <c r="E225" s="594" t="s">
        <v>11</v>
      </c>
      <c r="G225" s="597" t="s">
        <v>1515</v>
      </c>
      <c r="H225" s="597"/>
      <c r="I225" s="597"/>
      <c r="J225" s="597"/>
      <c r="K225" s="597"/>
      <c r="L225" s="597"/>
      <c r="M225" s="597"/>
      <c r="N225" s="599"/>
    </row>
    <row r="226" spans="1:14">
      <c r="A226" s="562" t="s">
        <v>343</v>
      </c>
      <c r="B226" s="582">
        <f t="shared" si="3"/>
        <v>221</v>
      </c>
      <c r="C226" s="592" t="s">
        <v>1793</v>
      </c>
      <c r="D226" s="593" t="s">
        <v>1794</v>
      </c>
      <c r="E226" s="594" t="s">
        <v>11</v>
      </c>
      <c r="F226" s="600">
        <v>2709424</v>
      </c>
      <c r="G226" s="597" t="s">
        <v>1515</v>
      </c>
      <c r="H226" s="597"/>
      <c r="I226" s="597"/>
      <c r="J226" s="597"/>
      <c r="K226" s="597"/>
      <c r="L226" s="597"/>
      <c r="M226" s="597"/>
      <c r="N226" s="599"/>
    </row>
    <row r="227" spans="1:14">
      <c r="B227" s="582">
        <f t="shared" si="3"/>
        <v>222</v>
      </c>
      <c r="D227" s="593" t="s">
        <v>1796</v>
      </c>
      <c r="E227" s="594" t="s">
        <v>11</v>
      </c>
      <c r="G227" s="597" t="s">
        <v>1515</v>
      </c>
      <c r="H227" s="597"/>
      <c r="I227" s="597"/>
      <c r="J227" s="597"/>
      <c r="K227" s="597"/>
      <c r="L227" s="597"/>
      <c r="M227" s="597"/>
      <c r="N227" s="599"/>
    </row>
    <row r="228" spans="1:14">
      <c r="A228" s="562" t="s">
        <v>345</v>
      </c>
      <c r="B228" s="582">
        <f t="shared" si="3"/>
        <v>223</v>
      </c>
      <c r="C228" s="592" t="s">
        <v>1797</v>
      </c>
      <c r="D228" s="593" t="s">
        <v>1798</v>
      </c>
      <c r="E228" s="594" t="s">
        <v>11</v>
      </c>
      <c r="F228" s="600">
        <v>3760923</v>
      </c>
      <c r="G228" s="597" t="s">
        <v>1515</v>
      </c>
      <c r="H228" s="597"/>
      <c r="I228" s="597"/>
      <c r="J228" s="597"/>
      <c r="K228" s="597"/>
      <c r="L228" s="597"/>
      <c r="M228" s="597"/>
      <c r="N228" s="599"/>
    </row>
    <row r="229" spans="1:14">
      <c r="B229" s="582">
        <f t="shared" si="3"/>
        <v>224</v>
      </c>
      <c r="D229" s="593" t="s">
        <v>1799</v>
      </c>
      <c r="E229" s="594" t="s">
        <v>11</v>
      </c>
      <c r="G229" s="597" t="s">
        <v>1515</v>
      </c>
      <c r="H229" s="597"/>
      <c r="I229" s="597"/>
      <c r="J229" s="597"/>
      <c r="K229" s="597"/>
      <c r="L229" s="597"/>
      <c r="M229" s="597"/>
      <c r="N229" s="599"/>
    </row>
    <row r="230" spans="1:14">
      <c r="B230" s="582">
        <f t="shared" si="3"/>
        <v>225</v>
      </c>
      <c r="D230" s="593" t="s">
        <v>1800</v>
      </c>
      <c r="E230" s="594" t="s">
        <v>11</v>
      </c>
      <c r="G230" s="597" t="s">
        <v>1515</v>
      </c>
      <c r="H230" s="597"/>
      <c r="I230" s="597"/>
      <c r="J230" s="597"/>
      <c r="K230" s="597"/>
      <c r="L230" s="597"/>
      <c r="M230" s="597"/>
      <c r="N230" s="599"/>
    </row>
    <row r="231" spans="1:14">
      <c r="B231" s="582">
        <f t="shared" si="3"/>
        <v>226</v>
      </c>
      <c r="D231" s="593" t="s">
        <v>1801</v>
      </c>
      <c r="E231" s="594" t="s">
        <v>11</v>
      </c>
      <c r="G231" s="597" t="s">
        <v>1515</v>
      </c>
      <c r="H231" s="597"/>
      <c r="I231" s="597"/>
      <c r="J231" s="597"/>
      <c r="K231" s="597"/>
      <c r="L231" s="597"/>
      <c r="M231" s="597"/>
      <c r="N231" s="599"/>
    </row>
    <row r="232" spans="1:14">
      <c r="B232" s="582">
        <f t="shared" si="3"/>
        <v>227</v>
      </c>
      <c r="D232" s="593" t="s">
        <v>1802</v>
      </c>
      <c r="E232" s="594" t="s">
        <v>11</v>
      </c>
      <c r="G232" s="597" t="s">
        <v>1515</v>
      </c>
      <c r="H232" s="597"/>
      <c r="I232" s="597"/>
      <c r="J232" s="597"/>
      <c r="K232" s="597"/>
      <c r="L232" s="597"/>
      <c r="M232" s="597"/>
      <c r="N232" s="599"/>
    </row>
    <row r="233" spans="1:14">
      <c r="A233" s="562" t="s">
        <v>347</v>
      </c>
      <c r="B233" s="582">
        <f t="shared" si="3"/>
        <v>228</v>
      </c>
      <c r="C233" s="592" t="s">
        <v>1803</v>
      </c>
      <c r="D233" s="593" t="s">
        <v>1804</v>
      </c>
      <c r="E233" s="594" t="s">
        <v>11</v>
      </c>
      <c r="F233" s="600">
        <v>10852062</v>
      </c>
      <c r="G233" s="597" t="s">
        <v>1515</v>
      </c>
      <c r="H233" s="597"/>
      <c r="I233" s="597"/>
      <c r="J233" s="597"/>
      <c r="K233" s="597"/>
      <c r="L233" s="597"/>
      <c r="M233" s="597"/>
      <c r="N233" s="599" t="s">
        <v>1805</v>
      </c>
    </row>
    <row r="234" spans="1:14">
      <c r="B234" s="582">
        <f t="shared" si="3"/>
        <v>229</v>
      </c>
      <c r="D234" s="593" t="s">
        <v>1806</v>
      </c>
      <c r="E234" s="594" t="s">
        <v>11</v>
      </c>
      <c r="G234" s="597" t="s">
        <v>1515</v>
      </c>
      <c r="H234" s="597"/>
      <c r="I234" s="597"/>
      <c r="J234" s="597"/>
      <c r="K234" s="597"/>
      <c r="L234" s="597"/>
      <c r="M234" s="597"/>
      <c r="N234" s="599"/>
    </row>
    <row r="235" spans="1:14">
      <c r="B235" s="582">
        <f t="shared" si="3"/>
        <v>230</v>
      </c>
      <c r="D235" s="593" t="s">
        <v>1807</v>
      </c>
      <c r="E235" s="594" t="s">
        <v>11</v>
      </c>
      <c r="G235" s="597" t="s">
        <v>1515</v>
      </c>
      <c r="H235" s="597"/>
      <c r="I235" s="597"/>
      <c r="J235" s="597"/>
      <c r="K235" s="597"/>
      <c r="L235" s="597"/>
      <c r="M235" s="597"/>
      <c r="N235" s="599"/>
    </row>
    <row r="236" spans="1:14">
      <c r="B236" s="582">
        <f t="shared" si="3"/>
        <v>231</v>
      </c>
      <c r="D236" s="593" t="s">
        <v>1808</v>
      </c>
      <c r="E236" s="594" t="s">
        <v>11</v>
      </c>
      <c r="G236" s="597" t="s">
        <v>1515</v>
      </c>
      <c r="H236" s="597"/>
      <c r="I236" s="597"/>
      <c r="J236" s="597"/>
      <c r="K236" s="597"/>
      <c r="L236" s="597"/>
      <c r="M236" s="597"/>
      <c r="N236" s="599"/>
    </row>
    <row r="237" spans="1:14">
      <c r="A237" s="562" t="s">
        <v>351</v>
      </c>
      <c r="B237" s="582">
        <f t="shared" si="3"/>
        <v>232</v>
      </c>
      <c r="C237" s="592" t="s">
        <v>1809</v>
      </c>
      <c r="D237" s="593" t="s">
        <v>2454</v>
      </c>
      <c r="E237" s="594" t="s">
        <v>11</v>
      </c>
      <c r="F237" s="600">
        <v>845694</v>
      </c>
      <c r="G237" s="597" t="s">
        <v>1515</v>
      </c>
      <c r="H237" s="597"/>
      <c r="I237" s="597"/>
      <c r="J237" s="597"/>
      <c r="K237" s="597"/>
      <c r="L237" s="597"/>
      <c r="M237" s="597"/>
      <c r="N237" s="599"/>
    </row>
    <row r="238" spans="1:14">
      <c r="B238" s="582">
        <f t="shared" si="3"/>
        <v>233</v>
      </c>
      <c r="D238" s="593" t="s">
        <v>1810</v>
      </c>
      <c r="E238" s="594" t="s">
        <v>11</v>
      </c>
      <c r="G238" s="597" t="s">
        <v>1515</v>
      </c>
      <c r="H238" s="597"/>
      <c r="I238" s="597"/>
      <c r="J238" s="597"/>
      <c r="K238" s="597"/>
      <c r="L238" s="597"/>
      <c r="M238" s="597"/>
      <c r="N238" s="599"/>
    </row>
    <row r="239" spans="1:14">
      <c r="A239" s="562" t="s">
        <v>353</v>
      </c>
      <c r="B239" s="582">
        <f t="shared" si="3"/>
        <v>234</v>
      </c>
      <c r="C239" s="592" t="s">
        <v>1811</v>
      </c>
      <c r="D239" s="593" t="s">
        <v>1812</v>
      </c>
      <c r="E239" s="594" t="s">
        <v>11</v>
      </c>
      <c r="F239" s="600">
        <v>7737533</v>
      </c>
      <c r="G239" s="597" t="s">
        <v>1515</v>
      </c>
      <c r="H239" s="597"/>
      <c r="I239" s="597"/>
      <c r="J239" s="597"/>
      <c r="K239" s="597"/>
      <c r="L239" s="597"/>
      <c r="M239" s="597"/>
      <c r="N239" s="599"/>
    </row>
    <row r="240" spans="1:14">
      <c r="B240" s="582">
        <f t="shared" si="3"/>
        <v>235</v>
      </c>
      <c r="D240" s="593" t="s">
        <v>1597</v>
      </c>
      <c r="E240" s="594" t="s">
        <v>11</v>
      </c>
      <c r="G240" s="597" t="s">
        <v>1515</v>
      </c>
      <c r="H240" s="597"/>
      <c r="I240" s="597"/>
      <c r="J240" s="597"/>
      <c r="K240" s="597"/>
      <c r="L240" s="597"/>
      <c r="M240" s="597"/>
      <c r="N240" s="599"/>
    </row>
    <row r="241" spans="1:14">
      <c r="B241" s="582">
        <f t="shared" si="3"/>
        <v>236</v>
      </c>
      <c r="D241" s="593" t="s">
        <v>2586</v>
      </c>
      <c r="G241" s="597" t="s">
        <v>1515</v>
      </c>
      <c r="H241" s="597"/>
      <c r="I241" s="597"/>
      <c r="J241" s="597"/>
      <c r="K241" s="597"/>
      <c r="L241" s="597"/>
      <c r="M241" s="597"/>
      <c r="N241" s="599"/>
    </row>
    <row r="242" spans="1:14">
      <c r="B242" s="582">
        <f t="shared" si="3"/>
        <v>237</v>
      </c>
      <c r="D242" s="593" t="s">
        <v>1813</v>
      </c>
      <c r="E242" s="594" t="s">
        <v>11</v>
      </c>
      <c r="G242" s="597" t="s">
        <v>1515</v>
      </c>
      <c r="H242" s="597"/>
      <c r="I242" s="597"/>
      <c r="J242" s="597"/>
      <c r="K242" s="597"/>
      <c r="L242" s="597"/>
      <c r="M242" s="597"/>
      <c r="N242" s="599"/>
    </row>
    <row r="243" spans="1:14">
      <c r="B243" s="582">
        <f t="shared" si="3"/>
        <v>238</v>
      </c>
      <c r="D243" s="593" t="s">
        <v>1814</v>
      </c>
      <c r="E243" s="594" t="s">
        <v>11</v>
      </c>
      <c r="G243" s="597" t="s">
        <v>1515</v>
      </c>
      <c r="H243" s="597"/>
      <c r="I243" s="597"/>
      <c r="J243" s="597"/>
      <c r="K243" s="597"/>
      <c r="L243" s="597"/>
      <c r="M243" s="597"/>
      <c r="N243" s="599"/>
    </row>
    <row r="244" spans="1:14">
      <c r="B244" s="582">
        <f t="shared" si="3"/>
        <v>239</v>
      </c>
      <c r="D244" s="593" t="s">
        <v>1815</v>
      </c>
      <c r="E244" s="594" t="s">
        <v>11</v>
      </c>
      <c r="G244" s="597" t="s">
        <v>1515</v>
      </c>
      <c r="H244" s="597"/>
      <c r="I244" s="597"/>
      <c r="J244" s="597"/>
      <c r="K244" s="597"/>
      <c r="L244" s="597"/>
      <c r="M244" s="597"/>
      <c r="N244" s="599"/>
    </row>
    <row r="245" spans="1:14">
      <c r="B245" s="582">
        <f t="shared" si="3"/>
        <v>240</v>
      </c>
      <c r="D245" s="593" t="s">
        <v>1816</v>
      </c>
      <c r="E245" s="594" t="s">
        <v>11</v>
      </c>
      <c r="G245" s="597" t="s">
        <v>1515</v>
      </c>
      <c r="H245" s="597"/>
      <c r="I245" s="597"/>
      <c r="J245" s="597"/>
      <c r="K245" s="597"/>
      <c r="L245" s="597"/>
      <c r="M245" s="597"/>
      <c r="N245" s="599"/>
    </row>
    <row r="246" spans="1:14">
      <c r="A246" s="562" t="s">
        <v>355</v>
      </c>
      <c r="B246" s="582">
        <f t="shared" si="3"/>
        <v>241</v>
      </c>
      <c r="C246" s="592" t="s">
        <v>1817</v>
      </c>
      <c r="D246" s="593" t="s">
        <v>1818</v>
      </c>
      <c r="E246" s="594" t="s">
        <v>11</v>
      </c>
      <c r="F246" s="600">
        <v>689069</v>
      </c>
      <c r="G246" s="597" t="s">
        <v>1515</v>
      </c>
      <c r="H246" s="597"/>
      <c r="I246" s="597"/>
      <c r="J246" s="597"/>
      <c r="K246" s="597"/>
      <c r="L246" s="597"/>
      <c r="M246" s="597"/>
      <c r="N246" s="599"/>
    </row>
    <row r="247" spans="1:14">
      <c r="B247" s="582">
        <f t="shared" si="3"/>
        <v>242</v>
      </c>
      <c r="D247" s="593" t="s">
        <v>1819</v>
      </c>
      <c r="E247" s="594" t="s">
        <v>11</v>
      </c>
      <c r="G247" s="597" t="s">
        <v>1515</v>
      </c>
      <c r="H247" s="597"/>
      <c r="I247" s="597"/>
      <c r="J247" s="597"/>
      <c r="K247" s="597"/>
      <c r="L247" s="597"/>
      <c r="M247" s="597"/>
      <c r="N247" s="599"/>
    </row>
    <row r="248" spans="1:14">
      <c r="A248" s="562" t="s">
        <v>361</v>
      </c>
      <c r="B248" s="582">
        <f t="shared" si="3"/>
        <v>243</v>
      </c>
      <c r="C248" s="592" t="s">
        <v>1820</v>
      </c>
      <c r="D248" s="593" t="s">
        <v>1821</v>
      </c>
      <c r="E248" s="594" t="s">
        <v>11</v>
      </c>
      <c r="F248" s="600">
        <v>875329</v>
      </c>
      <c r="G248" s="597"/>
      <c r="H248" s="597" t="s">
        <v>1515</v>
      </c>
      <c r="I248" s="597" t="s">
        <v>1515</v>
      </c>
      <c r="J248" s="597"/>
      <c r="K248" s="597"/>
      <c r="L248" s="597"/>
      <c r="M248" s="597"/>
      <c r="N248" s="599" t="s">
        <v>1822</v>
      </c>
    </row>
    <row r="249" spans="1:14">
      <c r="A249" s="562" t="s">
        <v>357</v>
      </c>
      <c r="B249" s="582">
        <f t="shared" si="3"/>
        <v>244</v>
      </c>
      <c r="C249" s="592" t="s">
        <v>1823</v>
      </c>
      <c r="D249" s="593" t="s">
        <v>1824</v>
      </c>
      <c r="E249" s="594" t="s">
        <v>11</v>
      </c>
      <c r="F249" s="600">
        <v>6387656</v>
      </c>
      <c r="G249" s="597" t="s">
        <v>1515</v>
      </c>
      <c r="H249" s="597"/>
      <c r="I249" s="597"/>
      <c r="J249" s="597"/>
      <c r="K249" s="597"/>
      <c r="L249" s="597"/>
      <c r="M249" s="597"/>
      <c r="N249" s="599"/>
    </row>
    <row r="250" spans="1:14">
      <c r="B250" s="582">
        <f t="shared" si="3"/>
        <v>245</v>
      </c>
      <c r="D250" s="593" t="s">
        <v>1597</v>
      </c>
      <c r="E250" s="594" t="s">
        <v>11</v>
      </c>
      <c r="G250" s="597" t="s">
        <v>1515</v>
      </c>
      <c r="H250" s="597"/>
      <c r="I250" s="597"/>
      <c r="J250" s="597"/>
      <c r="K250" s="597"/>
      <c r="L250" s="597"/>
      <c r="M250" s="597"/>
      <c r="N250" s="599"/>
    </row>
    <row r="251" spans="1:14" ht="29">
      <c r="B251" s="582">
        <f t="shared" si="3"/>
        <v>246</v>
      </c>
      <c r="D251" s="593" t="s">
        <v>1825</v>
      </c>
      <c r="E251" s="594" t="s">
        <v>11</v>
      </c>
      <c r="G251" s="597" t="s">
        <v>1515</v>
      </c>
      <c r="H251" s="597"/>
      <c r="I251" s="597"/>
      <c r="J251" s="597"/>
      <c r="K251" s="597"/>
      <c r="L251" s="597"/>
      <c r="M251" s="597"/>
      <c r="N251" s="599"/>
    </row>
    <row r="252" spans="1:14">
      <c r="B252" s="582">
        <f t="shared" si="3"/>
        <v>247</v>
      </c>
      <c r="D252" s="593" t="s">
        <v>1826</v>
      </c>
      <c r="E252" s="594" t="s">
        <v>11</v>
      </c>
      <c r="G252" s="597" t="s">
        <v>1515</v>
      </c>
      <c r="H252" s="597"/>
      <c r="I252" s="597"/>
      <c r="J252" s="597"/>
      <c r="K252" s="597"/>
      <c r="L252" s="597"/>
      <c r="M252" s="597"/>
      <c r="N252" s="599"/>
    </row>
    <row r="253" spans="1:14">
      <c r="B253" s="582">
        <f t="shared" si="3"/>
        <v>248</v>
      </c>
      <c r="D253" s="593" t="s">
        <v>1827</v>
      </c>
      <c r="E253" s="594" t="s">
        <v>11</v>
      </c>
      <c r="G253" s="597" t="s">
        <v>1515</v>
      </c>
      <c r="H253" s="597"/>
      <c r="I253" s="597"/>
      <c r="J253" s="597"/>
      <c r="K253" s="597"/>
      <c r="L253" s="597"/>
      <c r="M253" s="597"/>
      <c r="N253" s="599"/>
    </row>
    <row r="254" spans="1:14">
      <c r="B254" s="582">
        <f t="shared" si="3"/>
        <v>249</v>
      </c>
      <c r="D254" s="593" t="s">
        <v>1828</v>
      </c>
      <c r="E254" s="594" t="s">
        <v>11</v>
      </c>
      <c r="G254" s="597" t="s">
        <v>1515</v>
      </c>
      <c r="H254" s="597"/>
      <c r="I254" s="597"/>
      <c r="J254" s="597"/>
      <c r="K254" s="597"/>
      <c r="L254" s="597"/>
      <c r="M254" s="597"/>
      <c r="N254" s="599"/>
    </row>
    <row r="255" spans="1:14">
      <c r="A255" s="562" t="s">
        <v>359</v>
      </c>
      <c r="B255" s="582">
        <f t="shared" si="3"/>
        <v>250</v>
      </c>
      <c r="C255" s="592" t="s">
        <v>1829</v>
      </c>
      <c r="D255" s="593" t="s">
        <v>1830</v>
      </c>
      <c r="E255" s="594" t="s">
        <v>36</v>
      </c>
      <c r="F255" s="600">
        <v>1895702</v>
      </c>
      <c r="G255" s="597" t="s">
        <v>1515</v>
      </c>
      <c r="H255" s="597"/>
      <c r="I255" s="597"/>
      <c r="J255" s="597"/>
      <c r="K255" s="597"/>
      <c r="L255" s="597"/>
      <c r="M255" s="597"/>
      <c r="N255" s="599"/>
    </row>
    <row r="256" spans="1:14">
      <c r="B256" s="582">
        <f t="shared" si="3"/>
        <v>251</v>
      </c>
      <c r="C256" s="592" t="s">
        <v>2353</v>
      </c>
      <c r="D256" s="593" t="s">
        <v>2354</v>
      </c>
      <c r="G256" s="597" t="s">
        <v>1515</v>
      </c>
      <c r="H256" s="597"/>
      <c r="I256" s="597"/>
      <c r="J256" s="597"/>
      <c r="K256" s="597"/>
      <c r="L256" s="597"/>
      <c r="M256" s="597"/>
      <c r="N256" s="599"/>
    </row>
    <row r="257" spans="1:14">
      <c r="B257" s="582">
        <f t="shared" si="3"/>
        <v>252</v>
      </c>
      <c r="D257" s="593" t="s">
        <v>2355</v>
      </c>
      <c r="F257" s="595"/>
      <c r="G257" s="607" t="s">
        <v>1515</v>
      </c>
      <c r="H257" s="607"/>
      <c r="I257" s="608"/>
      <c r="J257" s="608"/>
      <c r="K257" s="607"/>
      <c r="L257" s="609"/>
      <c r="M257" s="610"/>
      <c r="N257" s="599"/>
    </row>
    <row r="258" spans="1:14">
      <c r="A258" s="562" t="s">
        <v>363</v>
      </c>
      <c r="B258" s="582">
        <f t="shared" si="3"/>
        <v>253</v>
      </c>
      <c r="C258" s="592" t="s">
        <v>1831</v>
      </c>
      <c r="D258" s="593" t="s">
        <v>1832</v>
      </c>
      <c r="E258" s="594" t="s">
        <v>11</v>
      </c>
      <c r="F258" s="600">
        <v>2888367</v>
      </c>
      <c r="G258" s="597" t="s">
        <v>1515</v>
      </c>
      <c r="H258" s="597"/>
      <c r="I258" s="597"/>
      <c r="J258" s="597"/>
      <c r="K258" s="597"/>
      <c r="L258" s="597"/>
      <c r="M258" s="597"/>
      <c r="N258" s="599"/>
    </row>
    <row r="259" spans="1:14">
      <c r="B259" s="582">
        <f t="shared" si="3"/>
        <v>254</v>
      </c>
      <c r="D259" s="593" t="s">
        <v>1833</v>
      </c>
      <c r="E259" s="594" t="s">
        <v>11</v>
      </c>
      <c r="G259" s="597" t="s">
        <v>1515</v>
      </c>
      <c r="H259" s="597"/>
      <c r="I259" s="597"/>
      <c r="J259" s="597"/>
      <c r="K259" s="597"/>
      <c r="L259" s="597"/>
      <c r="M259" s="597"/>
      <c r="N259" s="599"/>
    </row>
    <row r="260" spans="1:14">
      <c r="B260" s="582">
        <f t="shared" si="3"/>
        <v>255</v>
      </c>
      <c r="D260" s="593" t="s">
        <v>1834</v>
      </c>
      <c r="E260" s="594" t="s">
        <v>11</v>
      </c>
      <c r="G260" s="597" t="s">
        <v>1515</v>
      </c>
      <c r="H260" s="597"/>
      <c r="I260" s="597"/>
      <c r="J260" s="597"/>
      <c r="K260" s="598"/>
      <c r="L260" s="597"/>
      <c r="M260" s="597"/>
      <c r="N260" s="599"/>
    </row>
    <row r="261" spans="1:14">
      <c r="B261" s="582">
        <f t="shared" si="3"/>
        <v>256</v>
      </c>
      <c r="D261" s="593" t="s">
        <v>1835</v>
      </c>
      <c r="E261" s="594" t="s">
        <v>11</v>
      </c>
      <c r="G261" s="597" t="s">
        <v>1515</v>
      </c>
      <c r="H261" s="597"/>
      <c r="I261" s="597"/>
      <c r="J261" s="597"/>
      <c r="K261" s="598"/>
      <c r="L261" s="597"/>
      <c r="M261" s="597"/>
      <c r="N261" s="599"/>
    </row>
    <row r="262" spans="1:14">
      <c r="B262" s="582">
        <f t="shared" si="3"/>
        <v>257</v>
      </c>
      <c r="D262" s="593" t="s">
        <v>1836</v>
      </c>
      <c r="E262" s="594" t="s">
        <v>11</v>
      </c>
      <c r="G262" s="597" t="s">
        <v>1515</v>
      </c>
      <c r="H262" s="597"/>
      <c r="I262" s="597"/>
      <c r="J262" s="597"/>
      <c r="K262" s="598"/>
      <c r="L262" s="597"/>
      <c r="M262" s="597"/>
      <c r="N262" s="599"/>
    </row>
    <row r="263" spans="1:14">
      <c r="A263" s="562" t="s">
        <v>365</v>
      </c>
      <c r="B263" s="582">
        <f t="shared" ref="B263:B326" si="4">B262+1</f>
        <v>258</v>
      </c>
      <c r="C263" s="592" t="s">
        <v>1837</v>
      </c>
      <c r="D263" s="593" t="s">
        <v>1838</v>
      </c>
      <c r="E263" s="594" t="s">
        <v>11</v>
      </c>
      <c r="F263" s="600">
        <v>7229447</v>
      </c>
      <c r="G263" s="597" t="s">
        <v>1515</v>
      </c>
      <c r="H263" s="597"/>
      <c r="I263" s="597"/>
      <c r="J263" s="597"/>
      <c r="K263" s="598"/>
      <c r="L263" s="597"/>
      <c r="M263" s="597"/>
      <c r="N263" s="599"/>
    </row>
    <row r="264" spans="1:14">
      <c r="B264" s="582">
        <f t="shared" si="4"/>
        <v>259</v>
      </c>
      <c r="D264" s="593" t="s">
        <v>1597</v>
      </c>
      <c r="E264" s="594" t="s">
        <v>11</v>
      </c>
      <c r="G264" s="597" t="s">
        <v>1515</v>
      </c>
      <c r="H264" s="597"/>
      <c r="I264" s="597"/>
      <c r="J264" s="597"/>
      <c r="K264" s="598"/>
      <c r="L264" s="597"/>
      <c r="M264" s="597"/>
      <c r="N264" s="599"/>
    </row>
    <row r="265" spans="1:14">
      <c r="B265" s="582">
        <f t="shared" si="4"/>
        <v>260</v>
      </c>
      <c r="D265" s="593" t="s">
        <v>1839</v>
      </c>
      <c r="E265" s="594" t="s">
        <v>11</v>
      </c>
      <c r="G265" s="597" t="s">
        <v>1515</v>
      </c>
      <c r="H265" s="597"/>
      <c r="I265" s="597"/>
      <c r="J265" s="597"/>
      <c r="K265" s="598"/>
      <c r="L265" s="597"/>
      <c r="M265" s="597"/>
      <c r="N265" s="599"/>
    </row>
    <row r="266" spans="1:14">
      <c r="B266" s="582">
        <f t="shared" si="4"/>
        <v>261</v>
      </c>
      <c r="D266" s="593" t="s">
        <v>1840</v>
      </c>
      <c r="E266" s="594" t="s">
        <v>11</v>
      </c>
      <c r="G266" s="597" t="s">
        <v>1515</v>
      </c>
      <c r="H266" s="597"/>
      <c r="I266" s="597"/>
      <c r="J266" s="597"/>
      <c r="K266" s="611"/>
      <c r="L266" s="597"/>
      <c r="M266" s="597"/>
      <c r="N266" s="599"/>
    </row>
    <row r="267" spans="1:14">
      <c r="A267" s="562" t="s">
        <v>367</v>
      </c>
      <c r="B267" s="582">
        <f t="shared" si="4"/>
        <v>262</v>
      </c>
      <c r="C267" s="592" t="s">
        <v>1841</v>
      </c>
      <c r="D267" s="593" t="s">
        <v>1842</v>
      </c>
      <c r="E267" s="594" t="s">
        <v>11</v>
      </c>
      <c r="F267" s="600">
        <v>1769604</v>
      </c>
      <c r="G267" s="597" t="s">
        <v>1515</v>
      </c>
      <c r="H267" s="597"/>
      <c r="I267" s="597"/>
      <c r="J267" s="597"/>
      <c r="K267" s="611"/>
      <c r="L267" s="597"/>
      <c r="M267" s="597"/>
      <c r="N267" s="599"/>
    </row>
    <row r="268" spans="1:14">
      <c r="B268" s="582">
        <f t="shared" si="4"/>
        <v>263</v>
      </c>
      <c r="D268" s="593" t="s">
        <v>1843</v>
      </c>
      <c r="E268" s="594" t="s">
        <v>11</v>
      </c>
      <c r="G268" s="597" t="s">
        <v>1515</v>
      </c>
      <c r="H268" s="597"/>
      <c r="I268" s="597"/>
      <c r="J268" s="597"/>
      <c r="K268" s="598"/>
      <c r="L268" s="597"/>
      <c r="M268" s="597"/>
      <c r="N268" s="599"/>
    </row>
    <row r="269" spans="1:14" ht="29">
      <c r="B269" s="582">
        <f t="shared" si="4"/>
        <v>264</v>
      </c>
      <c r="D269" s="593" t="s">
        <v>1522</v>
      </c>
      <c r="E269" s="594" t="s">
        <v>11</v>
      </c>
      <c r="G269" s="597"/>
      <c r="H269" s="597" t="s">
        <v>1515</v>
      </c>
      <c r="I269" s="597"/>
      <c r="J269" s="597"/>
      <c r="K269" s="598"/>
      <c r="L269" s="597"/>
      <c r="M269" s="597"/>
      <c r="N269" s="599" t="s">
        <v>1844</v>
      </c>
    </row>
    <row r="270" spans="1:14">
      <c r="A270" s="562" t="s">
        <v>369</v>
      </c>
      <c r="B270" s="582">
        <f t="shared" si="4"/>
        <v>265</v>
      </c>
      <c r="C270" s="592" t="s">
        <v>1845</v>
      </c>
      <c r="D270" s="593" t="s">
        <v>1661</v>
      </c>
      <c r="E270" s="594" t="s">
        <v>11</v>
      </c>
      <c r="F270" s="600">
        <v>1910050</v>
      </c>
      <c r="G270" s="597" t="s">
        <v>1515</v>
      </c>
      <c r="H270" s="597"/>
      <c r="I270" s="597"/>
      <c r="J270" s="597"/>
      <c r="K270" s="598"/>
      <c r="L270" s="597"/>
      <c r="M270" s="597"/>
      <c r="N270" s="599"/>
    </row>
    <row r="271" spans="1:14" ht="29">
      <c r="A271" s="562" t="s">
        <v>371</v>
      </c>
      <c r="B271" s="582">
        <f t="shared" si="4"/>
        <v>266</v>
      </c>
      <c r="C271" s="592" t="s">
        <v>1846</v>
      </c>
      <c r="D271" s="593" t="s">
        <v>1847</v>
      </c>
      <c r="E271" s="594" t="s">
        <v>11</v>
      </c>
      <c r="F271" s="600">
        <v>16311512</v>
      </c>
      <c r="G271" s="597" t="s">
        <v>1515</v>
      </c>
      <c r="H271" s="597"/>
      <c r="I271" s="597"/>
      <c r="J271" s="597"/>
      <c r="K271" s="598"/>
      <c r="L271" s="597"/>
      <c r="M271" s="597"/>
      <c r="N271" s="599"/>
    </row>
    <row r="272" spans="1:14">
      <c r="B272" s="582">
        <f t="shared" si="4"/>
        <v>267</v>
      </c>
      <c r="D272" s="593" t="s">
        <v>1848</v>
      </c>
      <c r="E272" s="594" t="s">
        <v>11</v>
      </c>
      <c r="G272" s="597" t="s">
        <v>1515</v>
      </c>
      <c r="H272" s="597"/>
      <c r="I272" s="597"/>
      <c r="J272" s="597"/>
      <c r="K272" s="598"/>
      <c r="L272" s="597"/>
      <c r="M272" s="597"/>
      <c r="N272" s="599"/>
    </row>
    <row r="273" spans="1:14">
      <c r="B273" s="582">
        <f t="shared" si="4"/>
        <v>268</v>
      </c>
      <c r="D273" s="593" t="s">
        <v>1849</v>
      </c>
      <c r="E273" s="594" t="s">
        <v>11</v>
      </c>
      <c r="G273" s="597" t="s">
        <v>1515</v>
      </c>
      <c r="H273" s="597"/>
      <c r="I273" s="597"/>
      <c r="J273" s="597"/>
      <c r="K273" s="598"/>
      <c r="L273" s="597"/>
      <c r="M273" s="597"/>
      <c r="N273" s="599"/>
    </row>
    <row r="274" spans="1:14" ht="29">
      <c r="B274" s="582">
        <f t="shared" si="4"/>
        <v>269</v>
      </c>
      <c r="D274" s="593" t="s">
        <v>1850</v>
      </c>
      <c r="E274" s="594" t="s">
        <v>11</v>
      </c>
      <c r="G274" s="597" t="s">
        <v>1515</v>
      </c>
      <c r="H274" s="597"/>
      <c r="I274" s="597"/>
      <c r="J274" s="597"/>
      <c r="K274" s="598"/>
      <c r="L274" s="597"/>
      <c r="M274" s="597"/>
      <c r="N274" s="599"/>
    </row>
    <row r="275" spans="1:14">
      <c r="B275" s="582">
        <f t="shared" si="4"/>
        <v>270</v>
      </c>
      <c r="D275" s="593" t="s">
        <v>1851</v>
      </c>
      <c r="E275" s="594" t="s">
        <v>11</v>
      </c>
      <c r="G275" s="597" t="s">
        <v>1515</v>
      </c>
      <c r="H275" s="597"/>
      <c r="I275" s="597"/>
      <c r="J275" s="597"/>
      <c r="K275" s="598"/>
      <c r="L275" s="597"/>
      <c r="M275" s="597"/>
      <c r="N275" s="599"/>
    </row>
    <row r="276" spans="1:14">
      <c r="B276" s="582">
        <f t="shared" si="4"/>
        <v>271</v>
      </c>
      <c r="D276" s="593" t="s">
        <v>1852</v>
      </c>
      <c r="E276" s="594" t="s">
        <v>11</v>
      </c>
      <c r="G276" s="597" t="s">
        <v>1515</v>
      </c>
      <c r="H276" s="597"/>
      <c r="I276" s="597"/>
      <c r="J276" s="597"/>
      <c r="K276" s="598"/>
      <c r="L276" s="597"/>
      <c r="M276" s="597"/>
      <c r="N276" s="599"/>
    </row>
    <row r="277" spans="1:14">
      <c r="B277" s="582">
        <f t="shared" si="4"/>
        <v>272</v>
      </c>
      <c r="D277" s="593" t="s">
        <v>1703</v>
      </c>
      <c r="E277" s="594" t="s">
        <v>11</v>
      </c>
      <c r="G277" s="597" t="s">
        <v>1515</v>
      </c>
      <c r="H277" s="597"/>
      <c r="I277" s="597"/>
      <c r="J277" s="597"/>
      <c r="K277" s="598"/>
      <c r="L277" s="597"/>
      <c r="M277" s="597"/>
      <c r="N277" s="599"/>
    </row>
    <row r="278" spans="1:14">
      <c r="A278" s="562" t="s">
        <v>373</v>
      </c>
      <c r="B278" s="582">
        <f t="shared" si="4"/>
        <v>273</v>
      </c>
      <c r="C278" s="592" t="s">
        <v>1853</v>
      </c>
      <c r="D278" s="593" t="s">
        <v>1854</v>
      </c>
      <c r="E278" s="594" t="s">
        <v>11</v>
      </c>
      <c r="F278" s="600">
        <v>722677</v>
      </c>
      <c r="G278" s="597" t="s">
        <v>1515</v>
      </c>
      <c r="H278" s="597"/>
      <c r="I278" s="597"/>
      <c r="J278" s="597"/>
      <c r="K278" s="598"/>
      <c r="L278" s="597"/>
      <c r="M278" s="597"/>
      <c r="N278" s="599"/>
    </row>
    <row r="279" spans="1:14">
      <c r="B279" s="582">
        <f t="shared" si="4"/>
        <v>274</v>
      </c>
      <c r="D279" s="593" t="s">
        <v>1688</v>
      </c>
      <c r="E279" s="594" t="s">
        <v>11</v>
      </c>
      <c r="G279" s="597"/>
      <c r="H279" s="597" t="s">
        <v>1515</v>
      </c>
      <c r="I279" s="597"/>
      <c r="J279" s="597"/>
      <c r="K279" s="598"/>
      <c r="L279" s="597"/>
      <c r="M279" s="597"/>
      <c r="N279" s="599" t="s">
        <v>1855</v>
      </c>
    </row>
    <row r="280" spans="1:14">
      <c r="B280" s="582">
        <f t="shared" si="4"/>
        <v>275</v>
      </c>
      <c r="D280" s="593" t="s">
        <v>1856</v>
      </c>
      <c r="G280" s="597" t="s">
        <v>1515</v>
      </c>
      <c r="H280" s="597"/>
      <c r="I280" s="597"/>
      <c r="J280" s="597"/>
      <c r="K280" s="598"/>
      <c r="L280" s="597"/>
      <c r="M280" s="597"/>
      <c r="N280" s="599"/>
    </row>
    <row r="281" spans="1:14">
      <c r="A281" s="562" t="s">
        <v>375</v>
      </c>
      <c r="B281" s="582">
        <f t="shared" si="4"/>
        <v>276</v>
      </c>
      <c r="C281" s="592" t="s">
        <v>1857</v>
      </c>
      <c r="D281" s="593" t="s">
        <v>1858</v>
      </c>
      <c r="E281" s="594" t="s">
        <v>11</v>
      </c>
      <c r="F281" s="600">
        <v>1673183</v>
      </c>
      <c r="G281" s="597" t="s">
        <v>1515</v>
      </c>
      <c r="H281" s="597"/>
      <c r="I281" s="597"/>
      <c r="J281" s="597"/>
      <c r="K281" s="598"/>
      <c r="L281" s="597"/>
      <c r="M281" s="597"/>
      <c r="N281" s="599"/>
    </row>
    <row r="282" spans="1:14">
      <c r="B282" s="582">
        <f t="shared" si="4"/>
        <v>277</v>
      </c>
      <c r="D282" s="593" t="s">
        <v>1688</v>
      </c>
      <c r="E282" s="594" t="s">
        <v>11</v>
      </c>
      <c r="G282" s="597"/>
      <c r="H282" s="597" t="s">
        <v>1515</v>
      </c>
      <c r="I282" s="597"/>
      <c r="J282" s="597"/>
      <c r="K282" s="598"/>
      <c r="L282" s="597"/>
      <c r="M282" s="597"/>
      <c r="N282" s="599" t="s">
        <v>1859</v>
      </c>
    </row>
    <row r="283" spans="1:14">
      <c r="B283" s="582">
        <f t="shared" si="4"/>
        <v>278</v>
      </c>
      <c r="D283" s="593" t="s">
        <v>1860</v>
      </c>
      <c r="E283" s="594" t="s">
        <v>11</v>
      </c>
      <c r="G283" s="597"/>
      <c r="H283" s="597" t="s">
        <v>1515</v>
      </c>
      <c r="I283" s="597"/>
      <c r="J283" s="597"/>
      <c r="K283" s="598"/>
      <c r="L283" s="597"/>
      <c r="M283" s="597"/>
      <c r="N283" s="599" t="s">
        <v>1859</v>
      </c>
    </row>
    <row r="284" spans="1:14">
      <c r="B284" s="582">
        <f t="shared" si="4"/>
        <v>279</v>
      </c>
      <c r="D284" s="593" t="s">
        <v>1861</v>
      </c>
      <c r="G284" s="597" t="s">
        <v>1515</v>
      </c>
      <c r="H284" s="597"/>
      <c r="I284" s="597"/>
      <c r="J284" s="597"/>
      <c r="K284" s="598"/>
      <c r="L284" s="597"/>
      <c r="M284" s="597"/>
      <c r="N284" s="599"/>
    </row>
    <row r="285" spans="1:14">
      <c r="A285" s="562" t="s">
        <v>1862</v>
      </c>
      <c r="B285" s="582">
        <f t="shared" si="4"/>
        <v>280</v>
      </c>
      <c r="C285" s="592" t="s">
        <v>1863</v>
      </c>
      <c r="D285" s="593" t="s">
        <v>1864</v>
      </c>
      <c r="E285" s="594" t="s">
        <v>36</v>
      </c>
      <c r="G285" s="597" t="s">
        <v>1515</v>
      </c>
      <c r="H285" s="597"/>
      <c r="I285" s="597"/>
      <c r="J285" s="597"/>
      <c r="K285" s="598"/>
      <c r="L285" s="597"/>
      <c r="M285" s="597"/>
      <c r="N285" s="599"/>
    </row>
    <row r="286" spans="1:14">
      <c r="A286" s="562" t="s">
        <v>377</v>
      </c>
      <c r="B286" s="582">
        <f t="shared" si="4"/>
        <v>281</v>
      </c>
      <c r="C286" s="592" t="s">
        <v>1865</v>
      </c>
      <c r="D286" s="593" t="s">
        <v>1866</v>
      </c>
      <c r="E286" s="594" t="s">
        <v>11</v>
      </c>
      <c r="F286" s="600">
        <v>1663692</v>
      </c>
      <c r="G286" s="597" t="s">
        <v>1515</v>
      </c>
      <c r="H286" s="597"/>
      <c r="I286" s="597"/>
      <c r="J286" s="597"/>
      <c r="K286" s="598"/>
      <c r="L286" s="597"/>
      <c r="M286" s="597"/>
      <c r="N286" s="599"/>
    </row>
    <row r="287" spans="1:14">
      <c r="B287" s="582">
        <f t="shared" si="4"/>
        <v>282</v>
      </c>
      <c r="D287" s="593" t="s">
        <v>1867</v>
      </c>
      <c r="E287" s="594" t="s">
        <v>11</v>
      </c>
      <c r="G287" s="597" t="s">
        <v>1515</v>
      </c>
      <c r="H287" s="597"/>
      <c r="I287" s="597"/>
      <c r="J287" s="597"/>
      <c r="K287" s="598"/>
      <c r="L287" s="597"/>
      <c r="M287" s="597"/>
      <c r="N287" s="599"/>
    </row>
    <row r="288" spans="1:14">
      <c r="A288" s="562" t="s">
        <v>379</v>
      </c>
      <c r="B288" s="582">
        <f t="shared" si="4"/>
        <v>283</v>
      </c>
      <c r="C288" s="592" t="s">
        <v>1868</v>
      </c>
      <c r="D288" s="593" t="s">
        <v>1869</v>
      </c>
      <c r="E288" s="594" t="s">
        <v>11</v>
      </c>
      <c r="F288" s="600">
        <v>3881526</v>
      </c>
      <c r="G288" s="597" t="s">
        <v>1515</v>
      </c>
      <c r="H288" s="597"/>
      <c r="I288" s="597"/>
      <c r="J288" s="597"/>
      <c r="K288" s="598"/>
      <c r="L288" s="597"/>
      <c r="M288" s="597"/>
      <c r="N288" s="599"/>
    </row>
    <row r="289" spans="1:14">
      <c r="B289" s="582">
        <f t="shared" si="4"/>
        <v>284</v>
      </c>
      <c r="D289" s="593" t="s">
        <v>1870</v>
      </c>
      <c r="E289" s="594" t="s">
        <v>11</v>
      </c>
      <c r="G289" s="597" t="s">
        <v>1515</v>
      </c>
      <c r="H289" s="597"/>
      <c r="I289" s="597"/>
      <c r="J289" s="597"/>
      <c r="K289" s="598"/>
      <c r="L289" s="597"/>
      <c r="M289" s="597"/>
      <c r="N289" s="599"/>
    </row>
    <row r="290" spans="1:14">
      <c r="B290" s="582">
        <f t="shared" si="4"/>
        <v>285</v>
      </c>
      <c r="D290" s="593" t="s">
        <v>1871</v>
      </c>
      <c r="E290" s="594" t="s">
        <v>11</v>
      </c>
      <c r="G290" s="597" t="s">
        <v>1515</v>
      </c>
      <c r="H290" s="597"/>
      <c r="I290" s="597"/>
      <c r="J290" s="597"/>
      <c r="K290" s="598"/>
      <c r="L290" s="597"/>
      <c r="M290" s="597"/>
      <c r="N290" s="599"/>
    </row>
    <row r="291" spans="1:14" ht="29">
      <c r="B291" s="582">
        <f t="shared" si="4"/>
        <v>286</v>
      </c>
      <c r="D291" s="593" t="s">
        <v>1872</v>
      </c>
      <c r="E291" s="594" t="s">
        <v>11</v>
      </c>
      <c r="G291" s="597"/>
      <c r="H291" s="597" t="s">
        <v>1515</v>
      </c>
      <c r="I291" s="597"/>
      <c r="J291" s="597"/>
      <c r="K291" s="598"/>
      <c r="L291" s="597"/>
      <c r="M291" s="597"/>
      <c r="N291" s="599" t="s">
        <v>1873</v>
      </c>
    </row>
    <row r="292" spans="1:14">
      <c r="B292" s="582">
        <f t="shared" si="4"/>
        <v>287</v>
      </c>
      <c r="D292" s="593" t="s">
        <v>1874</v>
      </c>
      <c r="G292" s="597" t="s">
        <v>1515</v>
      </c>
      <c r="H292" s="597"/>
      <c r="I292" s="597"/>
      <c r="J292" s="597"/>
      <c r="K292" s="598"/>
      <c r="L292" s="597"/>
      <c r="M292" s="597"/>
      <c r="N292" s="599"/>
    </row>
    <row r="293" spans="1:14" ht="29">
      <c r="A293" s="562" t="s">
        <v>383</v>
      </c>
      <c r="B293" s="582">
        <f t="shared" si="4"/>
        <v>288</v>
      </c>
      <c r="C293" s="592" t="s">
        <v>1875</v>
      </c>
      <c r="D293" s="593" t="s">
        <v>1876</v>
      </c>
      <c r="E293" s="594" t="s">
        <v>11</v>
      </c>
      <c r="F293" s="600">
        <v>4281555</v>
      </c>
      <c r="G293" s="597" t="s">
        <v>1515</v>
      </c>
      <c r="H293" s="597"/>
      <c r="I293" s="597"/>
      <c r="J293" s="597"/>
      <c r="K293" s="597"/>
      <c r="L293" s="597"/>
      <c r="M293" s="597"/>
      <c r="N293" s="599"/>
    </row>
    <row r="294" spans="1:14">
      <c r="B294" s="582">
        <f t="shared" si="4"/>
        <v>289</v>
      </c>
      <c r="D294" s="593" t="s">
        <v>1877</v>
      </c>
      <c r="E294" s="594" t="s">
        <v>11</v>
      </c>
      <c r="G294" s="597" t="s">
        <v>1515</v>
      </c>
      <c r="H294" s="597"/>
      <c r="I294" s="597"/>
      <c r="J294" s="597"/>
      <c r="K294" s="597"/>
      <c r="L294" s="597"/>
      <c r="M294" s="597"/>
      <c r="N294" s="599"/>
    </row>
    <row r="295" spans="1:14">
      <c r="B295" s="582">
        <f t="shared" si="4"/>
        <v>290</v>
      </c>
      <c r="D295" s="593" t="s">
        <v>1878</v>
      </c>
      <c r="E295" s="594" t="s">
        <v>11</v>
      </c>
      <c r="G295" s="597" t="s">
        <v>1515</v>
      </c>
      <c r="H295" s="597"/>
      <c r="I295" s="597"/>
      <c r="J295" s="597"/>
      <c r="K295" s="597"/>
      <c r="L295" s="597"/>
      <c r="M295" s="597"/>
      <c r="N295" s="599"/>
    </row>
    <row r="296" spans="1:14">
      <c r="B296" s="582">
        <f t="shared" si="4"/>
        <v>291</v>
      </c>
      <c r="D296" s="593" t="s">
        <v>1879</v>
      </c>
      <c r="E296" s="594" t="s">
        <v>11</v>
      </c>
      <c r="G296" s="597" t="s">
        <v>1515</v>
      </c>
      <c r="H296" s="597"/>
      <c r="I296" s="597"/>
      <c r="J296" s="597"/>
      <c r="K296" s="597"/>
      <c r="L296" s="597"/>
      <c r="M296" s="597"/>
      <c r="N296" s="599"/>
    </row>
    <row r="297" spans="1:14">
      <c r="A297" s="562" t="s">
        <v>387</v>
      </c>
      <c r="B297" s="582">
        <f t="shared" si="4"/>
        <v>292</v>
      </c>
      <c r="C297" s="592" t="s">
        <v>1880</v>
      </c>
      <c r="D297" s="593" t="s">
        <v>1881</v>
      </c>
      <c r="E297" s="594" t="s">
        <v>11</v>
      </c>
      <c r="F297" s="600">
        <v>623513</v>
      </c>
      <c r="G297" s="597" t="s">
        <v>1515</v>
      </c>
      <c r="H297" s="597"/>
      <c r="I297" s="597"/>
      <c r="J297" s="597"/>
      <c r="K297" s="597"/>
      <c r="L297" s="597"/>
      <c r="M297" s="597"/>
      <c r="N297" s="599"/>
    </row>
    <row r="298" spans="1:14">
      <c r="A298" s="562" t="s">
        <v>389</v>
      </c>
      <c r="B298" s="582">
        <f t="shared" si="4"/>
        <v>293</v>
      </c>
      <c r="C298" s="592" t="s">
        <v>1882</v>
      </c>
      <c r="D298" s="593" t="s">
        <v>1883</v>
      </c>
      <c r="E298" s="594" t="s">
        <v>36</v>
      </c>
      <c r="F298" s="600">
        <v>1147874</v>
      </c>
      <c r="G298" s="597" t="s">
        <v>1515</v>
      </c>
      <c r="H298" s="597"/>
      <c r="I298" s="597"/>
      <c r="J298" s="597"/>
      <c r="K298" s="597"/>
      <c r="L298" s="597"/>
      <c r="M298" s="597"/>
      <c r="N298" s="599"/>
    </row>
    <row r="299" spans="1:14">
      <c r="B299" s="582">
        <f t="shared" si="4"/>
        <v>294</v>
      </c>
      <c r="D299" s="593" t="s">
        <v>1884</v>
      </c>
      <c r="E299" s="594" t="s">
        <v>36</v>
      </c>
      <c r="G299" s="597" t="s">
        <v>1515</v>
      </c>
      <c r="H299" s="597"/>
      <c r="I299" s="597"/>
      <c r="J299" s="597"/>
      <c r="K299" s="597"/>
      <c r="L299" s="597"/>
      <c r="M299" s="597"/>
      <c r="N299" s="599"/>
    </row>
    <row r="300" spans="1:14" ht="29">
      <c r="A300" s="562" t="s">
        <v>391</v>
      </c>
      <c r="B300" s="582">
        <f t="shared" si="4"/>
        <v>295</v>
      </c>
      <c r="C300" s="592" t="s">
        <v>1885</v>
      </c>
      <c r="D300" s="593" t="s">
        <v>2356</v>
      </c>
      <c r="E300" s="594" t="s">
        <v>11</v>
      </c>
      <c r="F300" s="600">
        <v>5686832</v>
      </c>
      <c r="G300" s="597" t="s">
        <v>1515</v>
      </c>
      <c r="H300" s="597"/>
      <c r="I300" s="597"/>
      <c r="J300" s="597"/>
      <c r="K300" s="597"/>
      <c r="L300" s="597"/>
      <c r="M300" s="597"/>
      <c r="N300" s="599"/>
    </row>
    <row r="301" spans="1:14">
      <c r="B301" s="582">
        <f t="shared" si="4"/>
        <v>296</v>
      </c>
      <c r="D301" s="593" t="s">
        <v>1886</v>
      </c>
      <c r="E301" s="594" t="s">
        <v>11</v>
      </c>
      <c r="G301" s="597" t="s">
        <v>1515</v>
      </c>
      <c r="H301" s="597"/>
      <c r="I301" s="597"/>
      <c r="J301" s="597"/>
      <c r="K301" s="597"/>
      <c r="L301" s="597"/>
      <c r="M301" s="597"/>
      <c r="N301" s="599"/>
    </row>
    <row r="302" spans="1:14">
      <c r="B302" s="582">
        <f t="shared" si="4"/>
        <v>297</v>
      </c>
      <c r="D302" s="593" t="s">
        <v>1887</v>
      </c>
      <c r="E302" s="594" t="s">
        <v>11</v>
      </c>
      <c r="G302" s="597" t="s">
        <v>1515</v>
      </c>
      <c r="H302" s="597"/>
      <c r="I302" s="597"/>
      <c r="J302" s="597"/>
      <c r="K302" s="597"/>
      <c r="L302" s="597"/>
      <c r="M302" s="597"/>
      <c r="N302" s="599"/>
    </row>
    <row r="303" spans="1:14">
      <c r="B303" s="582">
        <f t="shared" si="4"/>
        <v>298</v>
      </c>
      <c r="D303" s="593" t="s">
        <v>1888</v>
      </c>
      <c r="G303" s="597" t="s">
        <v>1515</v>
      </c>
      <c r="H303" s="597"/>
      <c r="I303" s="597"/>
      <c r="J303" s="597"/>
      <c r="K303" s="597"/>
      <c r="L303" s="597"/>
      <c r="M303" s="597"/>
      <c r="N303" s="599"/>
    </row>
    <row r="304" spans="1:14">
      <c r="A304" s="562" t="s">
        <v>397</v>
      </c>
      <c r="B304" s="582">
        <f t="shared" si="4"/>
        <v>299</v>
      </c>
      <c r="C304" s="592" t="s">
        <v>1889</v>
      </c>
      <c r="D304" s="593" t="s">
        <v>1890</v>
      </c>
      <c r="E304" s="594" t="s">
        <v>36</v>
      </c>
      <c r="F304" s="600">
        <v>5035255</v>
      </c>
      <c r="G304" s="597" t="s">
        <v>1515</v>
      </c>
      <c r="H304" s="597"/>
      <c r="I304" s="597"/>
      <c r="J304" s="597"/>
      <c r="K304" s="597"/>
      <c r="L304" s="597"/>
      <c r="M304" s="597"/>
      <c r="N304" s="599"/>
    </row>
    <row r="305" spans="1:14">
      <c r="B305" s="582">
        <f t="shared" si="4"/>
        <v>300</v>
      </c>
      <c r="D305" s="593" t="s">
        <v>1806</v>
      </c>
      <c r="E305" s="594" t="s">
        <v>36</v>
      </c>
      <c r="G305" s="597" t="s">
        <v>1515</v>
      </c>
      <c r="H305" s="597"/>
      <c r="I305" s="597"/>
      <c r="J305" s="597"/>
      <c r="K305" s="597"/>
      <c r="L305" s="597"/>
      <c r="M305" s="597"/>
      <c r="N305" s="599"/>
    </row>
    <row r="306" spans="1:14">
      <c r="B306" s="582">
        <f t="shared" si="4"/>
        <v>301</v>
      </c>
      <c r="D306" s="593" t="s">
        <v>1891</v>
      </c>
      <c r="E306" s="594" t="s">
        <v>36</v>
      </c>
      <c r="G306" s="597" t="s">
        <v>1515</v>
      </c>
      <c r="H306" s="597"/>
      <c r="I306" s="597"/>
      <c r="J306" s="597"/>
      <c r="K306" s="597"/>
      <c r="L306" s="597"/>
      <c r="M306" s="597"/>
      <c r="N306" s="599"/>
    </row>
    <row r="307" spans="1:14">
      <c r="B307" s="582">
        <f t="shared" si="4"/>
        <v>302</v>
      </c>
      <c r="D307" s="593" t="s">
        <v>1616</v>
      </c>
      <c r="E307" s="594" t="s">
        <v>36</v>
      </c>
      <c r="G307" s="597" t="s">
        <v>1515</v>
      </c>
      <c r="H307" s="597"/>
      <c r="I307" s="597"/>
      <c r="J307" s="597"/>
      <c r="K307" s="597"/>
      <c r="L307" s="597"/>
      <c r="M307" s="597"/>
      <c r="N307" s="599"/>
    </row>
    <row r="308" spans="1:14">
      <c r="B308" s="582">
        <f t="shared" si="4"/>
        <v>303</v>
      </c>
      <c r="D308" s="593" t="s">
        <v>1892</v>
      </c>
      <c r="E308" s="594" t="s">
        <v>36</v>
      </c>
      <c r="G308" s="597" t="s">
        <v>1515</v>
      </c>
      <c r="H308" s="597"/>
      <c r="I308" s="597"/>
      <c r="J308" s="597"/>
      <c r="K308" s="597"/>
      <c r="L308" s="597"/>
      <c r="M308" s="597"/>
      <c r="N308" s="599"/>
    </row>
    <row r="309" spans="1:14" ht="29">
      <c r="A309" s="562" t="s">
        <v>1893</v>
      </c>
      <c r="B309" s="582">
        <f t="shared" si="4"/>
        <v>304</v>
      </c>
      <c r="C309" s="592" t="s">
        <v>1894</v>
      </c>
      <c r="D309" s="593" t="s">
        <v>1895</v>
      </c>
      <c r="E309" s="594" t="s">
        <v>11</v>
      </c>
      <c r="F309" s="600">
        <v>16733099</v>
      </c>
      <c r="G309" s="597" t="s">
        <v>1515</v>
      </c>
      <c r="H309" s="597"/>
      <c r="I309" s="597"/>
      <c r="J309" s="597"/>
      <c r="K309" s="597"/>
      <c r="L309" s="597"/>
      <c r="M309" s="597"/>
      <c r="N309" s="599"/>
    </row>
    <row r="310" spans="1:14">
      <c r="B310" s="582">
        <f t="shared" si="4"/>
        <v>305</v>
      </c>
      <c r="D310" s="593" t="s">
        <v>1896</v>
      </c>
      <c r="E310" s="594" t="s">
        <v>11</v>
      </c>
      <c r="G310" s="597" t="s">
        <v>1515</v>
      </c>
      <c r="H310" s="597"/>
      <c r="I310" s="597"/>
      <c r="J310" s="597"/>
      <c r="K310" s="597"/>
      <c r="L310" s="597"/>
      <c r="M310" s="597"/>
      <c r="N310" s="599"/>
    </row>
    <row r="311" spans="1:14">
      <c r="B311" s="582">
        <f t="shared" si="4"/>
        <v>306</v>
      </c>
      <c r="D311" s="593" t="s">
        <v>1897</v>
      </c>
      <c r="E311" s="594" t="s">
        <v>11</v>
      </c>
      <c r="G311" s="597" t="s">
        <v>1515</v>
      </c>
      <c r="H311" s="597"/>
      <c r="I311" s="597"/>
      <c r="J311" s="597"/>
      <c r="K311" s="597"/>
      <c r="L311" s="597"/>
      <c r="M311" s="597"/>
      <c r="N311" s="599"/>
    </row>
    <row r="312" spans="1:14">
      <c r="B312" s="582">
        <f t="shared" si="4"/>
        <v>307</v>
      </c>
      <c r="D312" s="593" t="s">
        <v>1898</v>
      </c>
      <c r="E312" s="594" t="s">
        <v>11</v>
      </c>
      <c r="G312" s="597" t="s">
        <v>1515</v>
      </c>
      <c r="H312" s="597"/>
      <c r="I312" s="597"/>
      <c r="J312" s="597"/>
      <c r="K312" s="597"/>
      <c r="L312" s="597"/>
      <c r="M312" s="597"/>
      <c r="N312" s="599"/>
    </row>
    <row r="313" spans="1:14">
      <c r="B313" s="582">
        <f t="shared" si="4"/>
        <v>308</v>
      </c>
      <c r="D313" s="593" t="s">
        <v>1899</v>
      </c>
      <c r="E313" s="594" t="s">
        <v>11</v>
      </c>
      <c r="G313" s="597" t="s">
        <v>1515</v>
      </c>
      <c r="H313" s="597"/>
      <c r="I313" s="597"/>
      <c r="J313" s="597"/>
      <c r="K313" s="597"/>
      <c r="L313" s="597"/>
      <c r="M313" s="597"/>
      <c r="N313" s="599"/>
    </row>
    <row r="314" spans="1:14">
      <c r="B314" s="582">
        <f t="shared" si="4"/>
        <v>309</v>
      </c>
      <c r="D314" s="593" t="s">
        <v>1900</v>
      </c>
      <c r="E314" s="594" t="s">
        <v>11</v>
      </c>
      <c r="G314" s="597" t="s">
        <v>1515</v>
      </c>
      <c r="H314" s="597" t="s">
        <v>1515</v>
      </c>
      <c r="I314" s="597"/>
      <c r="J314" s="597"/>
      <c r="K314" s="597"/>
      <c r="L314" s="597"/>
      <c r="M314" s="597"/>
      <c r="N314" s="599" t="s">
        <v>1901</v>
      </c>
    </row>
    <row r="315" spans="1:14">
      <c r="A315" s="562" t="s">
        <v>399</v>
      </c>
      <c r="B315" s="582">
        <f t="shared" si="4"/>
        <v>310</v>
      </c>
      <c r="C315" s="592" t="s">
        <v>1902</v>
      </c>
      <c r="D315" s="593" t="s">
        <v>1903</v>
      </c>
      <c r="E315" s="594" t="s">
        <v>11</v>
      </c>
      <c r="F315" s="600">
        <v>11004091</v>
      </c>
      <c r="G315" s="597" t="s">
        <v>1515</v>
      </c>
      <c r="H315" s="597"/>
      <c r="I315" s="597"/>
      <c r="J315" s="597"/>
      <c r="K315" s="597"/>
      <c r="L315" s="597"/>
      <c r="M315" s="597"/>
      <c r="N315" s="599"/>
    </row>
    <row r="316" spans="1:14">
      <c r="B316" s="582">
        <f t="shared" si="4"/>
        <v>311</v>
      </c>
      <c r="D316" s="593" t="s">
        <v>1904</v>
      </c>
      <c r="E316" s="594" t="s">
        <v>11</v>
      </c>
      <c r="G316" s="597" t="s">
        <v>1515</v>
      </c>
      <c r="H316" s="597"/>
      <c r="I316" s="597"/>
      <c r="J316" s="597"/>
      <c r="K316" s="597"/>
      <c r="L316" s="597"/>
      <c r="M316" s="597"/>
      <c r="N316" s="599"/>
    </row>
    <row r="317" spans="1:14">
      <c r="B317" s="582">
        <f t="shared" si="4"/>
        <v>312</v>
      </c>
      <c r="D317" s="593" t="s">
        <v>1905</v>
      </c>
      <c r="E317" s="594" t="s">
        <v>11</v>
      </c>
      <c r="G317" s="597" t="s">
        <v>1515</v>
      </c>
      <c r="H317" s="597"/>
      <c r="I317" s="597"/>
      <c r="J317" s="597"/>
      <c r="K317" s="597"/>
      <c r="L317" s="597"/>
      <c r="M317" s="597"/>
      <c r="N317" s="599"/>
    </row>
    <row r="318" spans="1:14">
      <c r="B318" s="582">
        <f t="shared" si="4"/>
        <v>313</v>
      </c>
      <c r="D318" s="593" t="s">
        <v>1906</v>
      </c>
      <c r="E318" s="594" t="s">
        <v>11</v>
      </c>
      <c r="G318" s="597" t="s">
        <v>1515</v>
      </c>
      <c r="H318" s="597"/>
      <c r="I318" s="597"/>
      <c r="J318" s="597"/>
      <c r="K318" s="597"/>
      <c r="L318" s="597"/>
      <c r="M318" s="597"/>
      <c r="N318" s="599"/>
    </row>
    <row r="319" spans="1:14">
      <c r="B319" s="582">
        <f t="shared" si="4"/>
        <v>314</v>
      </c>
      <c r="D319" s="593" t="s">
        <v>1907</v>
      </c>
      <c r="E319" s="594" t="s">
        <v>11</v>
      </c>
      <c r="G319" s="597" t="s">
        <v>1515</v>
      </c>
      <c r="H319" s="597"/>
      <c r="I319" s="597"/>
      <c r="J319" s="597"/>
      <c r="K319" s="597"/>
      <c r="L319" s="597"/>
      <c r="M319" s="597"/>
      <c r="N319" s="599"/>
    </row>
    <row r="320" spans="1:14">
      <c r="B320" s="582">
        <f t="shared" si="4"/>
        <v>315</v>
      </c>
      <c r="D320" s="593" t="s">
        <v>1908</v>
      </c>
      <c r="E320" s="594" t="s">
        <v>11</v>
      </c>
      <c r="G320" s="597" t="s">
        <v>1515</v>
      </c>
      <c r="H320" s="597"/>
      <c r="I320" s="597"/>
      <c r="J320" s="597"/>
      <c r="K320" s="597"/>
      <c r="L320" s="597"/>
      <c r="M320" s="597"/>
      <c r="N320" s="599"/>
    </row>
    <row r="321" spans="1:14" ht="29">
      <c r="A321" s="562" t="s">
        <v>403</v>
      </c>
      <c r="B321" s="582">
        <f t="shared" si="4"/>
        <v>316</v>
      </c>
      <c r="C321" s="592" t="s">
        <v>1909</v>
      </c>
      <c r="D321" s="593" t="s">
        <v>1910</v>
      </c>
      <c r="E321" s="594" t="s">
        <v>11</v>
      </c>
      <c r="F321" s="600">
        <v>12916958</v>
      </c>
      <c r="G321" s="597" t="s">
        <v>1515</v>
      </c>
      <c r="H321" s="597"/>
      <c r="I321" s="597"/>
      <c r="J321" s="597"/>
      <c r="K321" s="597"/>
      <c r="L321" s="597"/>
      <c r="M321" s="597"/>
      <c r="N321" s="599"/>
    </row>
    <row r="322" spans="1:14">
      <c r="B322" s="582">
        <f t="shared" si="4"/>
        <v>317</v>
      </c>
      <c r="D322" s="593" t="s">
        <v>1911</v>
      </c>
      <c r="E322" s="594" t="s">
        <v>11</v>
      </c>
      <c r="G322" s="597" t="s">
        <v>1515</v>
      </c>
      <c r="H322" s="597"/>
      <c r="I322" s="597"/>
      <c r="J322" s="597"/>
      <c r="K322" s="597"/>
      <c r="L322" s="597"/>
      <c r="M322" s="597"/>
      <c r="N322" s="599"/>
    </row>
    <row r="323" spans="1:14">
      <c r="B323" s="582">
        <f t="shared" si="4"/>
        <v>318</v>
      </c>
      <c r="D323" s="593" t="s">
        <v>1912</v>
      </c>
      <c r="E323" s="594" t="s">
        <v>11</v>
      </c>
      <c r="G323" s="597" t="s">
        <v>1515</v>
      </c>
      <c r="H323" s="597"/>
      <c r="I323" s="597"/>
      <c r="J323" s="597"/>
      <c r="K323" s="597"/>
      <c r="L323" s="597"/>
      <c r="M323" s="597"/>
      <c r="N323" s="599"/>
    </row>
    <row r="324" spans="1:14">
      <c r="B324" s="582">
        <f t="shared" si="4"/>
        <v>319</v>
      </c>
      <c r="D324" s="593" t="s">
        <v>1913</v>
      </c>
      <c r="E324" s="594" t="s">
        <v>11</v>
      </c>
      <c r="G324" s="597" t="s">
        <v>1515</v>
      </c>
      <c r="H324" s="597"/>
      <c r="I324" s="597"/>
      <c r="J324" s="597"/>
      <c r="K324" s="597"/>
      <c r="L324" s="597"/>
      <c r="M324" s="597"/>
      <c r="N324" s="599"/>
    </row>
    <row r="325" spans="1:14">
      <c r="B325" s="582">
        <f t="shared" si="4"/>
        <v>320</v>
      </c>
      <c r="D325" s="593" t="s">
        <v>1914</v>
      </c>
      <c r="E325" s="594" t="s">
        <v>11</v>
      </c>
      <c r="G325" s="597" t="s">
        <v>1515</v>
      </c>
      <c r="H325" s="597"/>
      <c r="I325" s="597"/>
      <c r="J325" s="597"/>
      <c r="K325" s="597"/>
      <c r="L325" s="597"/>
      <c r="M325" s="597"/>
      <c r="N325" s="599"/>
    </row>
    <row r="326" spans="1:14" ht="29">
      <c r="B326" s="582">
        <f t="shared" si="4"/>
        <v>321</v>
      </c>
      <c r="D326" s="593" t="s">
        <v>2403</v>
      </c>
      <c r="E326" s="594" t="s">
        <v>11</v>
      </c>
      <c r="G326" s="597" t="s">
        <v>1515</v>
      </c>
      <c r="H326" s="597"/>
      <c r="I326" s="597"/>
      <c r="J326" s="597"/>
      <c r="K326" s="597"/>
      <c r="L326" s="597"/>
      <c r="M326" s="597"/>
      <c r="N326" s="599"/>
    </row>
    <row r="327" spans="1:14">
      <c r="A327" s="562" t="s">
        <v>405</v>
      </c>
      <c r="B327" s="582">
        <f t="shared" ref="B327:B390" si="5">B326+1</f>
        <v>322</v>
      </c>
      <c r="C327" s="592" t="s">
        <v>1915</v>
      </c>
      <c r="D327" s="593" t="s">
        <v>2357</v>
      </c>
      <c r="E327" s="594" t="s">
        <v>11</v>
      </c>
      <c r="F327" s="600">
        <v>2518646</v>
      </c>
      <c r="G327" s="597" t="s">
        <v>1515</v>
      </c>
      <c r="H327" s="597"/>
      <c r="I327" s="597"/>
      <c r="J327" s="597"/>
      <c r="K327" s="597"/>
      <c r="L327" s="597"/>
      <c r="M327" s="597"/>
      <c r="N327" s="599"/>
    </row>
    <row r="328" spans="1:14">
      <c r="B328" s="582">
        <f t="shared" si="5"/>
        <v>323</v>
      </c>
      <c r="D328" s="593" t="s">
        <v>2358</v>
      </c>
      <c r="E328" s="594" t="s">
        <v>11</v>
      </c>
      <c r="G328" s="597" t="s">
        <v>1515</v>
      </c>
      <c r="H328" s="597"/>
      <c r="I328" s="597"/>
      <c r="J328" s="597"/>
      <c r="K328" s="597"/>
      <c r="L328" s="597"/>
      <c r="M328" s="597"/>
      <c r="N328" s="599"/>
    </row>
    <row r="329" spans="1:14">
      <c r="B329" s="582">
        <f t="shared" si="5"/>
        <v>324</v>
      </c>
      <c r="D329" s="593" t="s">
        <v>2359</v>
      </c>
      <c r="E329" s="594" t="s">
        <v>11</v>
      </c>
      <c r="G329" s="597" t="s">
        <v>1515</v>
      </c>
      <c r="H329" s="597"/>
      <c r="I329" s="597"/>
      <c r="J329" s="597"/>
      <c r="K329" s="597"/>
      <c r="L329" s="597"/>
      <c r="M329" s="597"/>
      <c r="N329" s="599"/>
    </row>
    <row r="330" spans="1:14">
      <c r="B330" s="582">
        <f t="shared" si="5"/>
        <v>325</v>
      </c>
      <c r="D330" s="593" t="s">
        <v>2360</v>
      </c>
      <c r="E330" s="594" t="s">
        <v>11</v>
      </c>
      <c r="G330" s="597" t="s">
        <v>1515</v>
      </c>
      <c r="H330" s="597" t="s">
        <v>1515</v>
      </c>
      <c r="I330" s="597"/>
      <c r="J330" s="597"/>
      <c r="K330" s="597"/>
      <c r="L330" s="597"/>
      <c r="M330" s="597"/>
      <c r="N330" s="599" t="s">
        <v>1916</v>
      </c>
    </row>
    <row r="331" spans="1:14">
      <c r="B331" s="582">
        <f t="shared" si="5"/>
        <v>326</v>
      </c>
      <c r="D331" s="593" t="s">
        <v>2361</v>
      </c>
      <c r="E331" s="594" t="s">
        <v>11</v>
      </c>
      <c r="G331" s="597" t="s">
        <v>1515</v>
      </c>
      <c r="H331" s="597"/>
      <c r="I331" s="597"/>
      <c r="J331" s="597"/>
      <c r="K331" s="597"/>
      <c r="L331" s="597"/>
      <c r="M331" s="597"/>
      <c r="N331" s="599"/>
    </row>
    <row r="332" spans="1:14">
      <c r="B332" s="582">
        <f t="shared" si="5"/>
        <v>327</v>
      </c>
      <c r="C332" s="592" t="s">
        <v>1917</v>
      </c>
      <c r="D332" s="612" t="s">
        <v>2362</v>
      </c>
      <c r="G332" s="597" t="s">
        <v>1515</v>
      </c>
      <c r="H332" s="597"/>
      <c r="I332" s="597"/>
      <c r="J332" s="597"/>
      <c r="K332" s="597"/>
      <c r="L332" s="597"/>
      <c r="M332" s="597"/>
      <c r="N332" s="599"/>
    </row>
    <row r="333" spans="1:14">
      <c r="B333" s="582">
        <f t="shared" si="5"/>
        <v>328</v>
      </c>
      <c r="D333" s="612" t="s">
        <v>1918</v>
      </c>
      <c r="G333" s="597" t="s">
        <v>1515</v>
      </c>
      <c r="H333" s="597"/>
      <c r="I333" s="597"/>
      <c r="J333" s="597"/>
      <c r="K333" s="597"/>
      <c r="L333" s="597"/>
      <c r="M333" s="597"/>
      <c r="N333" s="599"/>
    </row>
    <row r="334" spans="1:14">
      <c r="A334" s="562" t="s">
        <v>409</v>
      </c>
      <c r="B334" s="582">
        <f t="shared" si="5"/>
        <v>329</v>
      </c>
      <c r="C334" s="592" t="s">
        <v>1919</v>
      </c>
      <c r="D334" s="593" t="s">
        <v>1920</v>
      </c>
      <c r="E334" s="594" t="s">
        <v>11</v>
      </c>
      <c r="F334" s="600">
        <v>2344448</v>
      </c>
      <c r="G334" s="597" t="s">
        <v>1515</v>
      </c>
      <c r="H334" s="597"/>
      <c r="I334" s="597"/>
      <c r="J334" s="597"/>
      <c r="K334" s="597"/>
      <c r="L334" s="597"/>
      <c r="M334" s="597"/>
      <c r="N334" s="599"/>
    </row>
    <row r="335" spans="1:14">
      <c r="B335" s="582">
        <f t="shared" si="5"/>
        <v>330</v>
      </c>
      <c r="D335" s="593" t="s">
        <v>1921</v>
      </c>
      <c r="E335" s="594" t="s">
        <v>11</v>
      </c>
      <c r="G335" s="597" t="s">
        <v>1515</v>
      </c>
      <c r="H335" s="597"/>
      <c r="I335" s="597"/>
      <c r="J335" s="597"/>
      <c r="K335" s="597"/>
      <c r="L335" s="597"/>
      <c r="M335" s="597"/>
      <c r="N335" s="599"/>
    </row>
    <row r="336" spans="1:14" ht="29">
      <c r="B336" s="582">
        <f t="shared" si="5"/>
        <v>331</v>
      </c>
      <c r="D336" s="593" t="s">
        <v>1522</v>
      </c>
      <c r="E336" s="594" t="s">
        <v>11</v>
      </c>
      <c r="G336" s="597"/>
      <c r="H336" s="597" t="s">
        <v>1515</v>
      </c>
      <c r="I336" s="597"/>
      <c r="J336" s="597"/>
      <c r="K336" s="597"/>
      <c r="L336" s="597"/>
      <c r="M336" s="597"/>
      <c r="N336" s="599" t="s">
        <v>1922</v>
      </c>
    </row>
    <row r="337" spans="1:14" ht="29">
      <c r="B337" s="582">
        <f t="shared" si="5"/>
        <v>332</v>
      </c>
      <c r="D337" s="593" t="s">
        <v>1923</v>
      </c>
      <c r="E337" s="594" t="s">
        <v>11</v>
      </c>
      <c r="G337" s="597"/>
      <c r="H337" s="597" t="s">
        <v>1515</v>
      </c>
      <c r="I337" s="597"/>
      <c r="J337" s="597"/>
      <c r="K337" s="597"/>
      <c r="L337" s="597"/>
      <c r="M337" s="597"/>
      <c r="N337" s="599" t="s">
        <v>1924</v>
      </c>
    </row>
    <row r="338" spans="1:14">
      <c r="A338" s="562" t="s">
        <v>944</v>
      </c>
      <c r="B338" s="582">
        <f t="shared" si="5"/>
        <v>333</v>
      </c>
      <c r="C338" s="592" t="s">
        <v>1925</v>
      </c>
      <c r="D338" s="593" t="s">
        <v>1926</v>
      </c>
      <c r="E338" s="594" t="s">
        <v>36</v>
      </c>
      <c r="G338" s="597"/>
      <c r="H338" s="597" t="s">
        <v>1515</v>
      </c>
      <c r="I338" s="597"/>
      <c r="J338" s="597"/>
      <c r="K338" s="597"/>
      <c r="L338" s="597"/>
      <c r="M338" s="597"/>
      <c r="N338" s="599" t="s">
        <v>1927</v>
      </c>
    </row>
    <row r="339" spans="1:14">
      <c r="B339" s="582">
        <f t="shared" si="5"/>
        <v>334</v>
      </c>
      <c r="C339" s="592" t="s">
        <v>2363</v>
      </c>
      <c r="D339" s="593" t="s">
        <v>2455</v>
      </c>
      <c r="G339" s="597" t="s">
        <v>1515</v>
      </c>
      <c r="H339" s="597"/>
      <c r="I339" s="597"/>
      <c r="J339" s="597"/>
      <c r="K339" s="597"/>
      <c r="L339" s="597"/>
      <c r="M339" s="597"/>
      <c r="N339" s="599"/>
    </row>
    <row r="340" spans="1:14">
      <c r="B340" s="582"/>
      <c r="D340" s="593" t="s">
        <v>2456</v>
      </c>
      <c r="G340" s="597" t="s">
        <v>1515</v>
      </c>
      <c r="H340" s="597"/>
      <c r="I340" s="597"/>
      <c r="J340" s="597"/>
      <c r="K340" s="597"/>
      <c r="L340" s="597"/>
      <c r="M340" s="597"/>
      <c r="N340" s="599"/>
    </row>
    <row r="341" spans="1:14">
      <c r="A341" s="562" t="s">
        <v>411</v>
      </c>
      <c r="B341" s="582">
        <f>B339+1</f>
        <v>335</v>
      </c>
      <c r="C341" s="592" t="s">
        <v>1928</v>
      </c>
      <c r="D341" s="593" t="s">
        <v>1929</v>
      </c>
      <c r="E341" s="594" t="s">
        <v>11</v>
      </c>
      <c r="F341" s="600">
        <v>882074</v>
      </c>
      <c r="G341" s="597" t="s">
        <v>1515</v>
      </c>
      <c r="H341" s="597"/>
      <c r="I341" s="597"/>
      <c r="J341" s="597"/>
      <c r="K341" s="597"/>
      <c r="L341" s="597"/>
      <c r="M341" s="597"/>
      <c r="N341" s="599"/>
    </row>
    <row r="342" spans="1:14">
      <c r="B342" s="582">
        <f t="shared" si="5"/>
        <v>336</v>
      </c>
      <c r="D342" s="593" t="s">
        <v>1930</v>
      </c>
      <c r="E342" s="594" t="s">
        <v>11</v>
      </c>
      <c r="G342" s="597" t="s">
        <v>1515</v>
      </c>
      <c r="H342" s="597"/>
      <c r="I342" s="597"/>
      <c r="J342" s="597"/>
      <c r="K342" s="597"/>
      <c r="L342" s="597"/>
      <c r="M342" s="597"/>
      <c r="N342" s="599"/>
    </row>
    <row r="343" spans="1:14">
      <c r="A343" s="562" t="s">
        <v>413</v>
      </c>
      <c r="B343" s="582">
        <f t="shared" si="5"/>
        <v>337</v>
      </c>
      <c r="C343" s="592" t="s">
        <v>1931</v>
      </c>
      <c r="D343" s="593" t="s">
        <v>1932</v>
      </c>
      <c r="E343" s="594" t="s">
        <v>11</v>
      </c>
      <c r="F343" s="600">
        <v>12863876</v>
      </c>
      <c r="G343" s="597" t="s">
        <v>1515</v>
      </c>
      <c r="H343" s="597"/>
      <c r="I343" s="597"/>
      <c r="J343" s="597"/>
      <c r="K343" s="597"/>
      <c r="L343" s="597"/>
      <c r="M343" s="597"/>
      <c r="N343" s="599"/>
    </row>
    <row r="344" spans="1:14">
      <c r="B344" s="582">
        <f t="shared" si="5"/>
        <v>338</v>
      </c>
      <c r="D344" s="593" t="s">
        <v>1806</v>
      </c>
      <c r="E344" s="594" t="s">
        <v>11</v>
      </c>
      <c r="G344" s="597" t="s">
        <v>1515</v>
      </c>
      <c r="H344" s="597"/>
      <c r="I344" s="597"/>
      <c r="J344" s="597"/>
      <c r="K344" s="597"/>
      <c r="L344" s="597"/>
      <c r="M344" s="597"/>
      <c r="N344" s="599"/>
    </row>
    <row r="345" spans="1:14">
      <c r="B345" s="582">
        <f t="shared" si="5"/>
        <v>339</v>
      </c>
      <c r="D345" s="593" t="s">
        <v>1933</v>
      </c>
      <c r="E345" s="594" t="s">
        <v>11</v>
      </c>
      <c r="G345" s="597" t="s">
        <v>1515</v>
      </c>
      <c r="H345" s="597"/>
      <c r="I345" s="597"/>
      <c r="J345" s="597"/>
      <c r="K345" s="597"/>
      <c r="L345" s="597"/>
      <c r="M345" s="597"/>
      <c r="N345" s="599"/>
    </row>
    <row r="346" spans="1:14">
      <c r="B346" s="582">
        <f t="shared" si="5"/>
        <v>340</v>
      </c>
      <c r="D346" s="593" t="s">
        <v>1934</v>
      </c>
      <c r="E346" s="594" t="s">
        <v>11</v>
      </c>
      <c r="G346" s="597" t="s">
        <v>1515</v>
      </c>
      <c r="H346" s="597"/>
      <c r="I346" s="597"/>
      <c r="J346" s="597"/>
      <c r="K346" s="597"/>
      <c r="L346" s="597"/>
      <c r="M346" s="597"/>
      <c r="N346" s="599"/>
    </row>
    <row r="347" spans="1:14">
      <c r="A347" s="562" t="s">
        <v>415</v>
      </c>
      <c r="B347" s="582">
        <f t="shared" si="5"/>
        <v>341</v>
      </c>
      <c r="C347" s="592" t="s">
        <v>1935</v>
      </c>
      <c r="D347" s="593" t="s">
        <v>1936</v>
      </c>
      <c r="E347" s="594" t="s">
        <v>11</v>
      </c>
      <c r="F347" s="600">
        <v>3786849</v>
      </c>
      <c r="G347" s="597" t="s">
        <v>1515</v>
      </c>
      <c r="H347" s="597"/>
      <c r="I347" s="597"/>
      <c r="J347" s="597"/>
      <c r="K347" s="597"/>
      <c r="L347" s="597"/>
      <c r="M347" s="597"/>
      <c r="N347" s="599"/>
    </row>
    <row r="348" spans="1:14">
      <c r="B348" s="582">
        <f t="shared" si="5"/>
        <v>342</v>
      </c>
      <c r="D348" s="593" t="s">
        <v>1688</v>
      </c>
      <c r="E348" s="594" t="s">
        <v>11</v>
      </c>
      <c r="G348" s="597"/>
      <c r="H348" s="597" t="s">
        <v>1515</v>
      </c>
      <c r="I348" s="597" t="s">
        <v>1515</v>
      </c>
      <c r="J348" s="597"/>
      <c r="K348" s="597"/>
      <c r="L348" s="597"/>
      <c r="M348" s="597"/>
      <c r="N348" s="599" t="s">
        <v>1937</v>
      </c>
    </row>
    <row r="349" spans="1:14">
      <c r="B349" s="582">
        <f t="shared" si="5"/>
        <v>343</v>
      </c>
      <c r="D349" s="593" t="s">
        <v>1938</v>
      </c>
      <c r="E349" s="594" t="s">
        <v>11</v>
      </c>
      <c r="G349" s="597" t="s">
        <v>1515</v>
      </c>
      <c r="H349" s="597"/>
      <c r="I349" s="597"/>
      <c r="J349" s="597"/>
      <c r="K349" s="597"/>
      <c r="L349" s="597"/>
      <c r="M349" s="597"/>
      <c r="N349" s="599"/>
    </row>
    <row r="350" spans="1:14">
      <c r="A350" s="562" t="s">
        <v>419</v>
      </c>
      <c r="B350" s="582">
        <f t="shared" si="5"/>
        <v>344</v>
      </c>
      <c r="C350" s="592" t="s">
        <v>1939</v>
      </c>
      <c r="D350" s="593" t="s">
        <v>1940</v>
      </c>
      <c r="E350" s="594" t="s">
        <v>11</v>
      </c>
      <c r="F350" s="600">
        <v>3206763</v>
      </c>
      <c r="G350" s="597" t="s">
        <v>1515</v>
      </c>
      <c r="H350" s="597"/>
      <c r="I350" s="597"/>
      <c r="J350" s="597"/>
      <c r="K350" s="597"/>
      <c r="L350" s="597"/>
      <c r="M350" s="597"/>
      <c r="N350" s="599"/>
    </row>
    <row r="351" spans="1:14">
      <c r="B351" s="582">
        <f t="shared" si="5"/>
        <v>345</v>
      </c>
      <c r="D351" s="593" t="s">
        <v>1941</v>
      </c>
      <c r="G351" s="597" t="s">
        <v>1515</v>
      </c>
      <c r="H351" s="597"/>
      <c r="I351" s="597"/>
      <c r="J351" s="597"/>
      <c r="K351" s="597"/>
      <c r="L351" s="597"/>
      <c r="M351" s="597"/>
      <c r="N351" s="599"/>
    </row>
    <row r="352" spans="1:14">
      <c r="B352" s="582">
        <f t="shared" si="5"/>
        <v>346</v>
      </c>
      <c r="C352" s="592" t="s">
        <v>2364</v>
      </c>
      <c r="D352" s="593" t="s">
        <v>2457</v>
      </c>
      <c r="G352" s="597" t="s">
        <v>1515</v>
      </c>
      <c r="H352" s="597"/>
      <c r="I352" s="597"/>
      <c r="J352" s="597"/>
      <c r="K352" s="597"/>
      <c r="L352" s="597"/>
      <c r="M352" s="597"/>
      <c r="N352" s="599"/>
    </row>
    <row r="353" spans="1:14">
      <c r="B353" s="582"/>
      <c r="D353" s="593" t="s">
        <v>2458</v>
      </c>
      <c r="G353" s="597" t="s">
        <v>1515</v>
      </c>
      <c r="H353" s="597"/>
      <c r="I353" s="597"/>
      <c r="J353" s="597"/>
      <c r="K353" s="597"/>
      <c r="L353" s="597"/>
      <c r="M353" s="597"/>
      <c r="N353" s="599"/>
    </row>
    <row r="354" spans="1:14">
      <c r="B354" s="582"/>
      <c r="D354" s="593" t="s">
        <v>2459</v>
      </c>
      <c r="G354" s="597" t="s">
        <v>1515</v>
      </c>
      <c r="H354" s="597"/>
      <c r="I354" s="597"/>
      <c r="J354" s="597"/>
      <c r="K354" s="597"/>
      <c r="L354" s="597"/>
      <c r="M354" s="597"/>
      <c r="N354" s="599"/>
    </row>
    <row r="355" spans="1:14">
      <c r="B355" s="582"/>
      <c r="D355" s="593" t="s">
        <v>2460</v>
      </c>
      <c r="G355" s="597" t="s">
        <v>1515</v>
      </c>
      <c r="H355" s="597"/>
      <c r="I355" s="597"/>
      <c r="J355" s="597"/>
      <c r="K355" s="597"/>
      <c r="L355" s="597"/>
      <c r="M355" s="597"/>
      <c r="N355" s="599"/>
    </row>
    <row r="356" spans="1:14">
      <c r="A356" s="562" t="s">
        <v>421</v>
      </c>
      <c r="B356" s="582">
        <f>B352+1</f>
        <v>347</v>
      </c>
      <c r="C356" s="592" t="s">
        <v>1942</v>
      </c>
      <c r="D356" s="593" t="s">
        <v>1943</v>
      </c>
      <c r="E356" s="594" t="s">
        <v>11</v>
      </c>
      <c r="F356" s="600">
        <v>770265</v>
      </c>
      <c r="G356" s="597" t="s">
        <v>1515</v>
      </c>
      <c r="H356" s="597"/>
      <c r="I356" s="597"/>
      <c r="J356" s="597"/>
      <c r="K356" s="597"/>
      <c r="L356" s="597"/>
      <c r="M356" s="597"/>
      <c r="N356" s="599"/>
    </row>
    <row r="357" spans="1:14">
      <c r="B357" s="582">
        <f t="shared" si="5"/>
        <v>348</v>
      </c>
      <c r="D357" s="593" t="s">
        <v>1944</v>
      </c>
      <c r="E357" s="594" t="s">
        <v>11</v>
      </c>
      <c r="G357" s="597" t="s">
        <v>1515</v>
      </c>
      <c r="H357" s="597"/>
      <c r="I357" s="597"/>
      <c r="J357" s="597"/>
      <c r="K357" s="597"/>
      <c r="L357" s="597"/>
      <c r="M357" s="597"/>
      <c r="N357" s="599"/>
    </row>
    <row r="358" spans="1:14">
      <c r="B358" s="582">
        <f t="shared" si="5"/>
        <v>349</v>
      </c>
      <c r="C358" s="592" t="s">
        <v>2365</v>
      </c>
      <c r="D358" s="593" t="s">
        <v>2366</v>
      </c>
      <c r="F358" s="595"/>
      <c r="G358" s="607" t="s">
        <v>1515</v>
      </c>
      <c r="H358" s="607"/>
      <c r="I358" s="608"/>
      <c r="J358" s="608"/>
      <c r="K358" s="607"/>
      <c r="L358" s="609"/>
      <c r="M358" s="613"/>
      <c r="N358" s="614" t="s">
        <v>2367</v>
      </c>
    </row>
    <row r="359" spans="1:14">
      <c r="A359" s="562" t="s">
        <v>423</v>
      </c>
      <c r="B359" s="582">
        <f t="shared" si="5"/>
        <v>350</v>
      </c>
      <c r="C359" s="592" t="s">
        <v>1945</v>
      </c>
      <c r="D359" s="593" t="s">
        <v>1946</v>
      </c>
      <c r="E359" s="594" t="s">
        <v>11</v>
      </c>
      <c r="F359" s="600">
        <v>3111719</v>
      </c>
      <c r="G359" s="607" t="s">
        <v>1515</v>
      </c>
      <c r="H359" s="607"/>
      <c r="I359" s="607"/>
      <c r="J359" s="607"/>
      <c r="K359" s="615"/>
      <c r="L359" s="607"/>
      <c r="M359" s="607"/>
      <c r="N359" s="616"/>
    </row>
    <row r="360" spans="1:14">
      <c r="B360" s="582">
        <f t="shared" si="5"/>
        <v>351</v>
      </c>
      <c r="D360" s="593" t="s">
        <v>2368</v>
      </c>
      <c r="F360" s="595"/>
      <c r="G360" s="607" t="s">
        <v>1515</v>
      </c>
      <c r="H360" s="607"/>
      <c r="I360" s="608"/>
      <c r="J360" s="608"/>
      <c r="K360" s="615"/>
      <c r="L360" s="609"/>
      <c r="M360" s="613"/>
      <c r="N360" s="616" t="s">
        <v>2367</v>
      </c>
    </row>
    <row r="361" spans="1:14">
      <c r="A361" s="562" t="s">
        <v>425</v>
      </c>
      <c r="B361" s="582">
        <f t="shared" si="5"/>
        <v>352</v>
      </c>
      <c r="C361" s="592" t="s">
        <v>1947</v>
      </c>
      <c r="D361" s="593" t="s">
        <v>1948</v>
      </c>
      <c r="E361" s="594" t="s">
        <v>11</v>
      </c>
      <c r="F361" s="600">
        <v>1115828</v>
      </c>
      <c r="G361" s="597" t="s">
        <v>1515</v>
      </c>
      <c r="H361" s="597"/>
      <c r="I361" s="597"/>
      <c r="J361" s="607"/>
      <c r="K361" s="598"/>
      <c r="L361" s="607"/>
      <c r="M361" s="597"/>
      <c r="N361" s="599"/>
    </row>
    <row r="362" spans="1:14">
      <c r="B362" s="582">
        <f t="shared" si="5"/>
        <v>353</v>
      </c>
      <c r="D362" s="593" t="s">
        <v>1949</v>
      </c>
      <c r="E362" s="594" t="s">
        <v>11</v>
      </c>
      <c r="G362" s="597" t="s">
        <v>1515</v>
      </c>
      <c r="H362" s="597"/>
      <c r="I362" s="597"/>
      <c r="J362" s="597"/>
      <c r="K362" s="598"/>
      <c r="L362" s="597"/>
      <c r="M362" s="597"/>
      <c r="N362" s="599"/>
    </row>
    <row r="363" spans="1:14" ht="29">
      <c r="A363" s="562" t="s">
        <v>431</v>
      </c>
      <c r="B363" s="582">
        <f t="shared" si="5"/>
        <v>354</v>
      </c>
      <c r="C363" s="592" t="s">
        <v>1950</v>
      </c>
      <c r="D363" s="593" t="s">
        <v>1951</v>
      </c>
      <c r="E363" s="594" t="s">
        <v>11</v>
      </c>
      <c r="F363" s="600">
        <v>14589532</v>
      </c>
      <c r="G363" s="597" t="s">
        <v>1515</v>
      </c>
      <c r="H363" s="597"/>
      <c r="I363" s="597"/>
      <c r="J363" s="597"/>
      <c r="K363" s="598"/>
      <c r="L363" s="597"/>
      <c r="M363" s="597"/>
      <c r="N363" s="599"/>
    </row>
    <row r="364" spans="1:14">
      <c r="B364" s="582">
        <f t="shared" si="5"/>
        <v>355</v>
      </c>
      <c r="D364" s="593" t="s">
        <v>1952</v>
      </c>
      <c r="E364" s="594" t="s">
        <v>11</v>
      </c>
      <c r="G364" s="597" t="s">
        <v>1515</v>
      </c>
      <c r="H364" s="597"/>
      <c r="I364" s="597"/>
      <c r="J364" s="597"/>
      <c r="K364" s="598"/>
      <c r="L364" s="597"/>
      <c r="M364" s="597"/>
      <c r="N364" s="599"/>
    </row>
    <row r="365" spans="1:14">
      <c r="B365" s="582">
        <f t="shared" si="5"/>
        <v>356</v>
      </c>
      <c r="D365" s="593" t="s">
        <v>1953</v>
      </c>
      <c r="E365" s="594" t="s">
        <v>11</v>
      </c>
      <c r="G365" s="597" t="s">
        <v>1515</v>
      </c>
      <c r="H365" s="597"/>
      <c r="I365" s="597"/>
      <c r="J365" s="597"/>
      <c r="K365" s="598"/>
      <c r="L365" s="597"/>
      <c r="M365" s="597"/>
      <c r="N365" s="599"/>
    </row>
    <row r="366" spans="1:14">
      <c r="B366" s="582">
        <f t="shared" si="5"/>
        <v>357</v>
      </c>
      <c r="D366" s="593" t="s">
        <v>1954</v>
      </c>
      <c r="E366" s="594" t="s">
        <v>11</v>
      </c>
      <c r="G366" s="597" t="s">
        <v>1515</v>
      </c>
      <c r="H366" s="597"/>
      <c r="I366" s="597"/>
      <c r="J366" s="597"/>
      <c r="K366" s="598"/>
      <c r="L366" s="597"/>
      <c r="M366" s="597"/>
      <c r="N366" s="599"/>
    </row>
    <row r="367" spans="1:14" ht="29">
      <c r="B367" s="582">
        <f t="shared" si="5"/>
        <v>358</v>
      </c>
      <c r="D367" s="593" t="s">
        <v>2369</v>
      </c>
      <c r="E367" s="594" t="s">
        <v>11</v>
      </c>
      <c r="G367" s="597" t="s">
        <v>1515</v>
      </c>
      <c r="H367" s="597" t="s">
        <v>1515</v>
      </c>
      <c r="I367" s="597"/>
      <c r="J367" s="597"/>
      <c r="K367" s="598"/>
      <c r="L367" s="597"/>
      <c r="M367" s="597"/>
      <c r="N367" s="599" t="s">
        <v>1955</v>
      </c>
    </row>
    <row r="368" spans="1:14">
      <c r="B368" s="582">
        <f t="shared" si="5"/>
        <v>359</v>
      </c>
      <c r="D368" s="593" t="s">
        <v>1956</v>
      </c>
      <c r="E368" s="594" t="s">
        <v>11</v>
      </c>
      <c r="G368" s="597" t="s">
        <v>1515</v>
      </c>
      <c r="H368" s="597"/>
      <c r="I368" s="597"/>
      <c r="J368" s="597"/>
      <c r="K368" s="598"/>
      <c r="L368" s="597"/>
      <c r="M368" s="597"/>
      <c r="N368" s="599"/>
    </row>
    <row r="369" spans="1:14">
      <c r="B369" s="582">
        <f t="shared" si="5"/>
        <v>360</v>
      </c>
      <c r="D369" s="593" t="s">
        <v>1957</v>
      </c>
      <c r="E369" s="594" t="s">
        <v>11</v>
      </c>
      <c r="G369" s="597" t="s">
        <v>1515</v>
      </c>
      <c r="H369" s="597"/>
      <c r="I369" s="597"/>
      <c r="J369" s="597"/>
      <c r="K369" s="598"/>
      <c r="L369" s="597"/>
      <c r="M369" s="597"/>
      <c r="N369" s="599"/>
    </row>
    <row r="370" spans="1:14">
      <c r="B370" s="582">
        <f t="shared" si="5"/>
        <v>361</v>
      </c>
      <c r="D370" s="593" t="s">
        <v>1958</v>
      </c>
      <c r="E370" s="594" t="s">
        <v>11</v>
      </c>
      <c r="G370" s="597" t="s">
        <v>1515</v>
      </c>
      <c r="H370" s="597"/>
      <c r="I370" s="597"/>
      <c r="J370" s="597"/>
      <c r="K370" s="598"/>
      <c r="L370" s="597"/>
      <c r="M370" s="597"/>
      <c r="N370" s="599"/>
    </row>
    <row r="371" spans="1:14" ht="17.25" customHeight="1">
      <c r="B371" s="582">
        <f t="shared" si="5"/>
        <v>362</v>
      </c>
      <c r="D371" s="593" t="s">
        <v>1959</v>
      </c>
      <c r="E371" s="594" t="s">
        <v>11</v>
      </c>
      <c r="G371" s="597"/>
      <c r="H371" s="597" t="s">
        <v>1515</v>
      </c>
      <c r="I371" s="597"/>
      <c r="J371" s="597"/>
      <c r="K371" s="598"/>
      <c r="L371" s="597"/>
      <c r="M371" s="597"/>
      <c r="N371" s="601" t="s">
        <v>1960</v>
      </c>
    </row>
    <row r="372" spans="1:14">
      <c r="B372" s="582">
        <f t="shared" si="5"/>
        <v>363</v>
      </c>
      <c r="D372" s="593" t="s">
        <v>1961</v>
      </c>
      <c r="E372" s="594" t="s">
        <v>11</v>
      </c>
      <c r="G372" s="597"/>
      <c r="H372" s="597" t="s">
        <v>1515</v>
      </c>
      <c r="I372" s="597"/>
      <c r="J372" s="597"/>
      <c r="K372" s="598"/>
      <c r="L372" s="597"/>
      <c r="M372" s="597"/>
      <c r="N372" s="599" t="s">
        <v>1962</v>
      </c>
    </row>
    <row r="373" spans="1:14">
      <c r="A373" s="562" t="s">
        <v>427</v>
      </c>
      <c r="B373" s="582">
        <f t="shared" si="5"/>
        <v>364</v>
      </c>
      <c r="C373" s="592" t="s">
        <v>1963</v>
      </c>
      <c r="D373" s="593" t="s">
        <v>1964</v>
      </c>
      <c r="E373" s="594" t="s">
        <v>11</v>
      </c>
      <c r="F373" s="600">
        <v>2900981</v>
      </c>
      <c r="G373" s="597" t="s">
        <v>1515</v>
      </c>
      <c r="H373" s="597"/>
      <c r="I373" s="597"/>
      <c r="J373" s="597"/>
      <c r="K373" s="598"/>
      <c r="L373" s="597"/>
      <c r="M373" s="597"/>
      <c r="N373" s="599"/>
    </row>
    <row r="374" spans="1:14">
      <c r="B374" s="582">
        <f t="shared" si="5"/>
        <v>365</v>
      </c>
      <c r="D374" s="593" t="s">
        <v>1965</v>
      </c>
      <c r="E374" s="594" t="s">
        <v>11</v>
      </c>
      <c r="G374" s="597" t="s">
        <v>1515</v>
      </c>
      <c r="H374" s="597"/>
      <c r="I374" s="597"/>
      <c r="J374" s="597"/>
      <c r="K374" s="598"/>
      <c r="L374" s="597"/>
      <c r="M374" s="597"/>
      <c r="N374" s="599"/>
    </row>
    <row r="375" spans="1:14">
      <c r="A375" s="562" t="s">
        <v>429</v>
      </c>
      <c r="B375" s="582">
        <f t="shared" si="5"/>
        <v>366</v>
      </c>
      <c r="C375" s="592" t="s">
        <v>1966</v>
      </c>
      <c r="D375" s="593" t="s">
        <v>1830</v>
      </c>
      <c r="E375" s="594" t="s">
        <v>11</v>
      </c>
      <c r="F375" s="600">
        <v>11751835</v>
      </c>
      <c r="G375" s="597" t="s">
        <v>1515</v>
      </c>
      <c r="H375" s="597"/>
      <c r="I375" s="597"/>
      <c r="J375" s="597"/>
      <c r="K375" s="598"/>
      <c r="L375" s="597"/>
      <c r="M375" s="597"/>
      <c r="N375" s="599"/>
    </row>
    <row r="376" spans="1:14">
      <c r="A376" s="562" t="s">
        <v>433</v>
      </c>
      <c r="B376" s="582">
        <f t="shared" si="5"/>
        <v>367</v>
      </c>
      <c r="C376" s="592" t="s">
        <v>1967</v>
      </c>
      <c r="D376" s="593" t="s">
        <v>1968</v>
      </c>
      <c r="E376" s="594" t="s">
        <v>11</v>
      </c>
      <c r="F376" s="600">
        <v>7130269</v>
      </c>
      <c r="G376" s="597" t="s">
        <v>1515</v>
      </c>
      <c r="H376" s="597"/>
      <c r="I376" s="597"/>
      <c r="J376" s="597"/>
      <c r="K376" s="598"/>
      <c r="L376" s="597"/>
      <c r="M376" s="597"/>
      <c r="N376" s="599"/>
    </row>
    <row r="377" spans="1:14">
      <c r="B377" s="582">
        <f t="shared" si="5"/>
        <v>368</v>
      </c>
      <c r="D377" s="593" t="s">
        <v>1969</v>
      </c>
      <c r="E377" s="594" t="s">
        <v>11</v>
      </c>
      <c r="G377" s="597" t="s">
        <v>1515</v>
      </c>
      <c r="H377" s="597"/>
      <c r="I377" s="597"/>
      <c r="J377" s="597"/>
      <c r="K377" s="598"/>
      <c r="L377" s="597"/>
      <c r="M377" s="597"/>
      <c r="N377" s="599"/>
    </row>
    <row r="378" spans="1:14">
      <c r="B378" s="582">
        <f t="shared" si="5"/>
        <v>369</v>
      </c>
      <c r="D378" s="593" t="s">
        <v>1970</v>
      </c>
      <c r="E378" s="594" t="s">
        <v>11</v>
      </c>
      <c r="G378" s="597" t="s">
        <v>1515</v>
      </c>
      <c r="H378" s="597"/>
      <c r="I378" s="597"/>
      <c r="J378" s="597"/>
      <c r="K378" s="598"/>
      <c r="L378" s="597"/>
      <c r="M378" s="597"/>
      <c r="N378" s="599"/>
    </row>
    <row r="379" spans="1:14">
      <c r="B379" s="582">
        <f t="shared" si="5"/>
        <v>370</v>
      </c>
      <c r="D379" s="593" t="s">
        <v>1971</v>
      </c>
      <c r="E379" s="594" t="s">
        <v>11</v>
      </c>
      <c r="G379" s="597" t="s">
        <v>1515</v>
      </c>
      <c r="H379" s="597"/>
      <c r="I379" s="597"/>
      <c r="J379" s="597"/>
      <c r="K379" s="598"/>
      <c r="L379" s="597"/>
      <c r="M379" s="597"/>
      <c r="N379" s="599"/>
    </row>
    <row r="380" spans="1:14">
      <c r="B380" s="582">
        <f t="shared" si="5"/>
        <v>371</v>
      </c>
      <c r="D380" s="593" t="s">
        <v>1972</v>
      </c>
      <c r="E380" s="594" t="s">
        <v>11</v>
      </c>
      <c r="G380" s="597" t="s">
        <v>1515</v>
      </c>
      <c r="H380" s="597"/>
      <c r="I380" s="597"/>
      <c r="J380" s="597"/>
      <c r="K380" s="598"/>
      <c r="L380" s="597"/>
      <c r="M380" s="597"/>
      <c r="N380" s="599"/>
    </row>
    <row r="381" spans="1:14">
      <c r="B381" s="582">
        <f t="shared" si="5"/>
        <v>372</v>
      </c>
      <c r="D381" s="593" t="s">
        <v>1973</v>
      </c>
      <c r="E381" s="594" t="s">
        <v>11</v>
      </c>
      <c r="G381" s="597" t="s">
        <v>1515</v>
      </c>
      <c r="H381" s="597"/>
      <c r="I381" s="597"/>
      <c r="J381" s="597"/>
      <c r="K381" s="598"/>
      <c r="L381" s="597"/>
      <c r="M381" s="597"/>
      <c r="N381" s="599"/>
    </row>
    <row r="382" spans="1:14">
      <c r="B382" s="582">
        <f t="shared" si="5"/>
        <v>373</v>
      </c>
      <c r="D382" s="593" t="s">
        <v>1974</v>
      </c>
      <c r="E382" s="594" t="s">
        <v>11</v>
      </c>
      <c r="G382" s="597" t="s">
        <v>1515</v>
      </c>
      <c r="H382" s="597"/>
      <c r="I382" s="597"/>
      <c r="J382" s="597"/>
      <c r="K382" s="598"/>
      <c r="L382" s="597"/>
      <c r="M382" s="597"/>
      <c r="N382" s="599"/>
    </row>
    <row r="383" spans="1:14">
      <c r="B383" s="582">
        <f t="shared" si="5"/>
        <v>374</v>
      </c>
      <c r="D383" s="593" t="s">
        <v>1975</v>
      </c>
      <c r="E383" s="594" t="s">
        <v>11</v>
      </c>
      <c r="G383" s="597" t="s">
        <v>1515</v>
      </c>
      <c r="H383" s="597"/>
      <c r="I383" s="597"/>
      <c r="J383" s="597"/>
      <c r="K383" s="598"/>
      <c r="L383" s="597"/>
      <c r="M383" s="597"/>
      <c r="N383" s="599"/>
    </row>
    <row r="384" spans="1:14">
      <c r="B384" s="582">
        <f t="shared" si="5"/>
        <v>375</v>
      </c>
      <c r="D384" s="593" t="s">
        <v>2370</v>
      </c>
      <c r="F384" s="595"/>
      <c r="G384" s="607"/>
      <c r="H384" s="607"/>
      <c r="I384" s="608" t="s">
        <v>1515</v>
      </c>
      <c r="J384" s="608"/>
      <c r="K384" s="615"/>
      <c r="L384" s="609"/>
      <c r="M384" s="613"/>
      <c r="N384" s="614" t="s">
        <v>2371</v>
      </c>
    </row>
    <row r="385" spans="1:14">
      <c r="A385" s="562" t="s">
        <v>435</v>
      </c>
      <c r="B385" s="582">
        <f t="shared" si="5"/>
        <v>376</v>
      </c>
      <c r="C385" s="592" t="s">
        <v>1976</v>
      </c>
      <c r="D385" s="593" t="s">
        <v>1977</v>
      </c>
      <c r="E385" s="594" t="s">
        <v>11</v>
      </c>
      <c r="F385" s="600">
        <v>5041642</v>
      </c>
      <c r="G385" s="597" t="s">
        <v>1515</v>
      </c>
      <c r="H385" s="597"/>
      <c r="I385" s="597"/>
      <c r="J385" s="597"/>
      <c r="K385" s="597"/>
      <c r="L385" s="597"/>
      <c r="M385" s="597"/>
      <c r="N385" s="599"/>
    </row>
    <row r="386" spans="1:14">
      <c r="B386" s="582">
        <f t="shared" si="5"/>
        <v>377</v>
      </c>
      <c r="D386" s="593" t="s">
        <v>1978</v>
      </c>
      <c r="G386" s="597" t="s">
        <v>1515</v>
      </c>
      <c r="H386" s="597"/>
      <c r="I386" s="597"/>
      <c r="J386" s="597"/>
      <c r="K386" s="597"/>
      <c r="L386" s="597"/>
      <c r="M386" s="597"/>
      <c r="N386" s="599"/>
    </row>
    <row r="387" spans="1:14">
      <c r="A387" s="562" t="s">
        <v>1979</v>
      </c>
      <c r="B387" s="582">
        <f t="shared" si="5"/>
        <v>378</v>
      </c>
      <c r="C387" s="592" t="s">
        <v>1980</v>
      </c>
      <c r="D387" s="567" t="s">
        <v>1981</v>
      </c>
      <c r="E387" s="594" t="s">
        <v>36</v>
      </c>
      <c r="F387" s="600">
        <v>55663</v>
      </c>
      <c r="G387" s="597" t="s">
        <v>1515</v>
      </c>
      <c r="H387" s="597"/>
      <c r="I387" s="597"/>
      <c r="J387" s="597"/>
      <c r="K387" s="597"/>
      <c r="L387" s="597"/>
      <c r="M387" s="597"/>
      <c r="N387" s="599"/>
    </row>
    <row r="388" spans="1:14">
      <c r="A388" s="562" t="s">
        <v>441</v>
      </c>
      <c r="B388" s="582">
        <f t="shared" si="5"/>
        <v>379</v>
      </c>
      <c r="C388" s="592" t="s">
        <v>1982</v>
      </c>
      <c r="D388" s="593" t="s">
        <v>1983</v>
      </c>
      <c r="E388" s="594" t="s">
        <v>11</v>
      </c>
      <c r="F388" s="600">
        <v>10936510</v>
      </c>
      <c r="G388" s="597" t="s">
        <v>1515</v>
      </c>
      <c r="H388" s="597"/>
      <c r="I388" s="597"/>
      <c r="J388" s="597"/>
      <c r="K388" s="597"/>
      <c r="L388" s="597"/>
      <c r="M388" s="597"/>
      <c r="N388" s="599"/>
    </row>
    <row r="389" spans="1:14">
      <c r="B389" s="582">
        <f t="shared" si="5"/>
        <v>380</v>
      </c>
      <c r="D389" s="593" t="s">
        <v>1984</v>
      </c>
      <c r="E389" s="594" t="s">
        <v>11</v>
      </c>
      <c r="G389" s="597" t="s">
        <v>1515</v>
      </c>
      <c r="H389" s="597"/>
      <c r="I389" s="597"/>
      <c r="J389" s="597"/>
      <c r="K389" s="597"/>
      <c r="L389" s="597"/>
      <c r="M389" s="597"/>
      <c r="N389" s="599"/>
    </row>
    <row r="390" spans="1:14">
      <c r="B390" s="582">
        <f t="shared" si="5"/>
        <v>381</v>
      </c>
      <c r="D390" s="593" t="s">
        <v>1985</v>
      </c>
      <c r="E390" s="594" t="s">
        <v>11</v>
      </c>
      <c r="G390" s="597" t="s">
        <v>1515</v>
      </c>
      <c r="H390" s="597"/>
      <c r="I390" s="597"/>
      <c r="J390" s="597"/>
      <c r="K390" s="597"/>
      <c r="L390" s="597"/>
      <c r="M390" s="597"/>
      <c r="N390" s="599"/>
    </row>
    <row r="391" spans="1:14">
      <c r="B391" s="582">
        <f t="shared" ref="B391:B454" si="6">B390+1</f>
        <v>382</v>
      </c>
      <c r="D391" s="593" t="s">
        <v>1986</v>
      </c>
      <c r="E391" s="594" t="s">
        <v>11</v>
      </c>
      <c r="G391" s="597" t="s">
        <v>1515</v>
      </c>
      <c r="H391" s="597"/>
      <c r="I391" s="597"/>
      <c r="J391" s="597"/>
      <c r="K391" s="597"/>
      <c r="L391" s="597"/>
      <c r="M391" s="597"/>
      <c r="N391" s="599"/>
    </row>
    <row r="392" spans="1:14">
      <c r="B392" s="582">
        <f t="shared" si="6"/>
        <v>383</v>
      </c>
      <c r="D392" s="593" t="s">
        <v>1815</v>
      </c>
      <c r="E392" s="594" t="s">
        <v>11</v>
      </c>
      <c r="G392" s="597" t="s">
        <v>1515</v>
      </c>
      <c r="H392" s="597"/>
      <c r="I392" s="597"/>
      <c r="J392" s="597"/>
      <c r="K392" s="597"/>
      <c r="L392" s="597"/>
      <c r="M392" s="597"/>
      <c r="N392" s="599"/>
    </row>
    <row r="393" spans="1:14">
      <c r="A393" s="562" t="s">
        <v>443</v>
      </c>
      <c r="B393" s="582">
        <f t="shared" si="6"/>
        <v>384</v>
      </c>
      <c r="C393" s="592" t="s">
        <v>1987</v>
      </c>
      <c r="D393" s="593" t="s">
        <v>1988</v>
      </c>
      <c r="E393" s="594" t="s">
        <v>11</v>
      </c>
      <c r="F393" s="600">
        <v>613605</v>
      </c>
      <c r="G393" s="597" t="s">
        <v>1515</v>
      </c>
      <c r="H393" s="597"/>
      <c r="I393" s="597"/>
      <c r="J393" s="597"/>
      <c r="K393" s="597"/>
      <c r="L393" s="597"/>
      <c r="M393" s="597"/>
      <c r="N393" s="599"/>
    </row>
    <row r="394" spans="1:14" ht="29">
      <c r="A394" s="562" t="s">
        <v>447</v>
      </c>
      <c r="B394" s="582">
        <f t="shared" si="6"/>
        <v>385</v>
      </c>
      <c r="C394" s="592" t="s">
        <v>1989</v>
      </c>
      <c r="D394" s="593" t="s">
        <v>1990</v>
      </c>
      <c r="E394" s="594" t="s">
        <v>11</v>
      </c>
      <c r="F394" s="600">
        <v>7852641</v>
      </c>
      <c r="G394" s="597" t="s">
        <v>1515</v>
      </c>
      <c r="H394" s="597"/>
      <c r="I394" s="597"/>
      <c r="J394" s="597"/>
      <c r="K394" s="597"/>
      <c r="L394" s="597"/>
      <c r="M394" s="597"/>
      <c r="N394" s="599"/>
    </row>
    <row r="395" spans="1:14">
      <c r="B395" s="582">
        <f t="shared" si="6"/>
        <v>386</v>
      </c>
      <c r="D395" s="593" t="s">
        <v>1991</v>
      </c>
      <c r="E395" s="594" t="s">
        <v>11</v>
      </c>
      <c r="G395" s="597"/>
      <c r="H395" s="597"/>
      <c r="I395" s="597" t="s">
        <v>1515</v>
      </c>
      <c r="J395" s="597"/>
      <c r="K395" s="597"/>
      <c r="L395" s="597"/>
      <c r="M395" s="597"/>
      <c r="N395" s="599" t="s">
        <v>1992</v>
      </c>
    </row>
    <row r="396" spans="1:14">
      <c r="B396" s="582">
        <f t="shared" si="6"/>
        <v>387</v>
      </c>
      <c r="D396" s="593" t="s">
        <v>1993</v>
      </c>
      <c r="E396" s="594" t="s">
        <v>11</v>
      </c>
      <c r="G396" s="597"/>
      <c r="H396" s="597"/>
      <c r="I396" s="597" t="s">
        <v>1515</v>
      </c>
      <c r="J396" s="597"/>
      <c r="K396" s="597"/>
      <c r="L396" s="597"/>
      <c r="M396" s="597"/>
      <c r="N396" s="599" t="s">
        <v>1992</v>
      </c>
    </row>
    <row r="397" spans="1:14">
      <c r="A397" s="562" t="s">
        <v>445</v>
      </c>
      <c r="B397" s="582">
        <f t="shared" si="6"/>
        <v>388</v>
      </c>
      <c r="C397" s="592" t="s">
        <v>1994</v>
      </c>
      <c r="D397" s="593" t="s">
        <v>1995</v>
      </c>
      <c r="E397" s="594" t="s">
        <v>11</v>
      </c>
      <c r="F397" s="600">
        <v>15292177</v>
      </c>
      <c r="G397" s="597" t="s">
        <v>1515</v>
      </c>
      <c r="H397" s="597"/>
      <c r="I397" s="597"/>
      <c r="J397" s="597"/>
      <c r="K397" s="597"/>
      <c r="L397" s="597"/>
      <c r="M397" s="597"/>
      <c r="N397" s="599"/>
    </row>
    <row r="398" spans="1:14" ht="29">
      <c r="B398" s="582">
        <f t="shared" si="6"/>
        <v>389</v>
      </c>
      <c r="D398" s="593" t="s">
        <v>2372</v>
      </c>
      <c r="E398" s="594" t="s">
        <v>11</v>
      </c>
      <c r="G398" s="597" t="s">
        <v>1515</v>
      </c>
      <c r="H398" s="597"/>
      <c r="I398" s="597"/>
      <c r="J398" s="597"/>
      <c r="K398" s="597"/>
      <c r="L398" s="597"/>
      <c r="M398" s="597"/>
      <c r="N398" s="599"/>
    </row>
    <row r="399" spans="1:14" ht="29">
      <c r="B399" s="582"/>
      <c r="D399" s="593" t="s">
        <v>2373</v>
      </c>
      <c r="G399" s="597" t="s">
        <v>1515</v>
      </c>
      <c r="H399" s="597"/>
      <c r="I399" s="597"/>
      <c r="J399" s="597"/>
      <c r="K399" s="597"/>
      <c r="L399" s="597"/>
      <c r="M399" s="597"/>
      <c r="N399" s="599"/>
    </row>
    <row r="400" spans="1:14">
      <c r="B400" s="582">
        <f>B398+1</f>
        <v>390</v>
      </c>
      <c r="D400" s="593" t="s">
        <v>1996</v>
      </c>
      <c r="E400" s="594" t="s">
        <v>11</v>
      </c>
      <c r="G400" s="597" t="s">
        <v>1515</v>
      </c>
      <c r="H400" s="597"/>
      <c r="I400" s="597"/>
      <c r="J400" s="597"/>
      <c r="K400" s="597"/>
      <c r="L400" s="597"/>
      <c r="M400" s="597"/>
      <c r="N400" s="599"/>
    </row>
    <row r="401" spans="1:14" ht="29">
      <c r="A401" s="617" t="s">
        <v>449</v>
      </c>
      <c r="B401" s="582">
        <f t="shared" si="6"/>
        <v>391</v>
      </c>
      <c r="C401" s="592" t="s">
        <v>1997</v>
      </c>
      <c r="D401" s="593" t="s">
        <v>1998</v>
      </c>
      <c r="E401" s="594" t="s">
        <v>11</v>
      </c>
      <c r="F401" s="600">
        <v>3120406</v>
      </c>
      <c r="G401" s="597" t="s">
        <v>1515</v>
      </c>
      <c r="H401" s="597"/>
      <c r="I401" s="597"/>
      <c r="J401" s="597"/>
      <c r="K401" s="597"/>
      <c r="L401" s="597"/>
      <c r="M401" s="597"/>
      <c r="N401" s="599"/>
    </row>
    <row r="402" spans="1:14">
      <c r="A402" s="617"/>
      <c r="B402" s="582">
        <f t="shared" si="6"/>
        <v>392</v>
      </c>
      <c r="D402" s="593" t="s">
        <v>1999</v>
      </c>
      <c r="E402" s="594" t="s">
        <v>11</v>
      </c>
      <c r="G402" s="597" t="s">
        <v>1515</v>
      </c>
      <c r="H402" s="597"/>
      <c r="I402" s="597"/>
      <c r="J402" s="597"/>
      <c r="K402" s="597"/>
      <c r="L402" s="597"/>
      <c r="M402" s="597"/>
      <c r="N402" s="599"/>
    </row>
    <row r="403" spans="1:14">
      <c r="A403" s="617"/>
      <c r="B403" s="582">
        <f t="shared" si="6"/>
        <v>393</v>
      </c>
      <c r="D403" s="593" t="s">
        <v>2000</v>
      </c>
      <c r="E403" s="594" t="s">
        <v>11</v>
      </c>
      <c r="G403" s="597" t="s">
        <v>1515</v>
      </c>
      <c r="H403" s="597"/>
      <c r="I403" s="597"/>
      <c r="J403" s="597"/>
      <c r="K403" s="597"/>
      <c r="L403" s="597"/>
      <c r="M403" s="597"/>
      <c r="N403" s="599"/>
    </row>
    <row r="404" spans="1:14" ht="29">
      <c r="A404" s="562" t="s">
        <v>451</v>
      </c>
      <c r="B404" s="582">
        <f t="shared" si="6"/>
        <v>394</v>
      </c>
      <c r="C404" s="592" t="s">
        <v>2001</v>
      </c>
      <c r="D404" s="593" t="s">
        <v>2002</v>
      </c>
      <c r="E404" s="594" t="s">
        <v>11</v>
      </c>
      <c r="F404" s="600">
        <v>6003327</v>
      </c>
      <c r="G404" s="597" t="s">
        <v>1515</v>
      </c>
      <c r="H404" s="597"/>
      <c r="I404" s="597"/>
      <c r="J404" s="597"/>
      <c r="K404" s="597"/>
      <c r="L404" s="597"/>
      <c r="M404" s="597"/>
      <c r="N404" s="599"/>
    </row>
    <row r="405" spans="1:14">
      <c r="B405" s="582">
        <f t="shared" si="6"/>
        <v>395</v>
      </c>
      <c r="D405" s="593" t="s">
        <v>2003</v>
      </c>
      <c r="E405" s="594" t="s">
        <v>11</v>
      </c>
      <c r="G405" s="597" t="s">
        <v>1515</v>
      </c>
      <c r="H405" s="597"/>
      <c r="I405" s="597"/>
      <c r="J405" s="597"/>
      <c r="K405" s="597"/>
      <c r="L405" s="597"/>
      <c r="M405" s="597"/>
      <c r="N405" s="599"/>
    </row>
    <row r="406" spans="1:14">
      <c r="A406" s="562" t="s">
        <v>453</v>
      </c>
      <c r="B406" s="582">
        <f t="shared" si="6"/>
        <v>396</v>
      </c>
      <c r="C406" s="592" t="s">
        <v>2004</v>
      </c>
      <c r="D406" s="593" t="s">
        <v>2005</v>
      </c>
      <c r="E406" s="594" t="s">
        <v>11</v>
      </c>
      <c r="F406" s="600">
        <v>1315661</v>
      </c>
      <c r="G406" s="597" t="s">
        <v>1515</v>
      </c>
      <c r="H406" s="597"/>
      <c r="I406" s="597"/>
      <c r="J406" s="597"/>
      <c r="K406" s="597"/>
      <c r="L406" s="597"/>
      <c r="M406" s="597"/>
      <c r="N406" s="599"/>
    </row>
    <row r="407" spans="1:14">
      <c r="B407" s="582">
        <f t="shared" si="6"/>
        <v>397</v>
      </c>
      <c r="D407" s="593" t="s">
        <v>2006</v>
      </c>
      <c r="E407" s="594" t="s">
        <v>11</v>
      </c>
      <c r="G407" s="597" t="s">
        <v>1515</v>
      </c>
      <c r="H407" s="597"/>
      <c r="I407" s="597"/>
      <c r="J407" s="597"/>
      <c r="K407" s="597"/>
      <c r="L407" s="597"/>
      <c r="M407" s="597"/>
      <c r="N407" s="599"/>
    </row>
    <row r="408" spans="1:14">
      <c r="B408" s="582">
        <f t="shared" si="6"/>
        <v>398</v>
      </c>
      <c r="D408" s="593"/>
      <c r="G408" s="597"/>
      <c r="H408" s="597"/>
      <c r="I408" s="597"/>
      <c r="J408" s="597"/>
      <c r="K408" s="597"/>
      <c r="L408" s="597"/>
      <c r="M408" s="597"/>
      <c r="N408" s="599"/>
    </row>
    <row r="409" spans="1:14">
      <c r="B409" s="582">
        <f t="shared" si="6"/>
        <v>399</v>
      </c>
      <c r="C409" s="618" t="s">
        <v>2007</v>
      </c>
      <c r="D409" s="593"/>
      <c r="G409" s="597"/>
      <c r="H409" s="597"/>
      <c r="I409" s="597"/>
      <c r="J409" s="597"/>
      <c r="K409" s="597"/>
      <c r="L409" s="597"/>
      <c r="M409" s="597"/>
      <c r="N409" s="599"/>
    </row>
    <row r="410" spans="1:14" ht="29">
      <c r="B410" s="582">
        <f t="shared" si="6"/>
        <v>400</v>
      </c>
      <c r="C410" s="619" t="s">
        <v>10</v>
      </c>
      <c r="D410" s="593"/>
      <c r="E410" s="594" t="s">
        <v>11</v>
      </c>
      <c r="F410" s="600">
        <v>133158</v>
      </c>
      <c r="G410" s="597" t="s">
        <v>1515</v>
      </c>
      <c r="H410" s="597"/>
      <c r="I410" s="597"/>
      <c r="J410" s="597"/>
      <c r="K410" s="597"/>
      <c r="L410" s="597"/>
      <c r="M410" s="597"/>
      <c r="N410" s="599"/>
    </row>
    <row r="411" spans="1:14" ht="29">
      <c r="B411" s="582">
        <f t="shared" si="6"/>
        <v>401</v>
      </c>
      <c r="C411" s="619" t="s">
        <v>13</v>
      </c>
      <c r="D411" s="593"/>
      <c r="E411" s="594" t="s">
        <v>11</v>
      </c>
      <c r="F411" s="600">
        <v>96623</v>
      </c>
      <c r="G411" s="597" t="s">
        <v>1515</v>
      </c>
      <c r="H411" s="597"/>
      <c r="I411" s="597"/>
      <c r="J411" s="597"/>
      <c r="K411" s="597"/>
      <c r="L411" s="597"/>
      <c r="M411" s="597"/>
      <c r="N411" s="599"/>
    </row>
    <row r="412" spans="1:14">
      <c r="B412" s="582">
        <f t="shared" si="6"/>
        <v>402</v>
      </c>
      <c r="C412" s="619" t="s">
        <v>15</v>
      </c>
      <c r="D412" s="593"/>
      <c r="E412" s="594" t="s">
        <v>11</v>
      </c>
      <c r="F412" s="600">
        <v>459778</v>
      </c>
      <c r="G412" s="597" t="s">
        <v>1515</v>
      </c>
      <c r="H412" s="597"/>
      <c r="I412" s="597"/>
      <c r="J412" s="597"/>
      <c r="K412" s="597"/>
      <c r="L412" s="597"/>
      <c r="M412" s="597"/>
      <c r="N412" s="599"/>
    </row>
    <row r="413" spans="1:14">
      <c r="B413" s="582">
        <f t="shared" si="6"/>
        <v>403</v>
      </c>
      <c r="C413" s="619" t="s">
        <v>17</v>
      </c>
      <c r="D413" s="593"/>
      <c r="E413" s="594" t="s">
        <v>11</v>
      </c>
      <c r="F413" s="600">
        <v>351685</v>
      </c>
      <c r="G413" s="597" t="s">
        <v>1515</v>
      </c>
      <c r="H413" s="597"/>
      <c r="I413" s="597"/>
      <c r="J413" s="597"/>
      <c r="K413" s="597"/>
      <c r="L413" s="597"/>
      <c r="M413" s="597"/>
      <c r="N413" s="599"/>
    </row>
    <row r="414" spans="1:14">
      <c r="B414" s="582">
        <f t="shared" si="6"/>
        <v>404</v>
      </c>
      <c r="C414" s="619" t="s">
        <v>19</v>
      </c>
      <c r="D414" s="593"/>
      <c r="E414" s="594" t="s">
        <v>11</v>
      </c>
      <c r="F414" s="600">
        <v>5000750</v>
      </c>
      <c r="G414" s="597" t="s">
        <v>1515</v>
      </c>
      <c r="H414" s="597"/>
      <c r="I414" s="597"/>
      <c r="J414" s="597"/>
      <c r="K414" s="597"/>
      <c r="L414" s="597"/>
      <c r="M414" s="597"/>
      <c r="N414" s="599"/>
    </row>
    <row r="415" spans="1:14" ht="29">
      <c r="B415" s="582">
        <f t="shared" si="6"/>
        <v>405</v>
      </c>
      <c r="C415" s="619" t="s">
        <v>21</v>
      </c>
      <c r="D415" s="593"/>
      <c r="E415" s="594" t="s">
        <v>11</v>
      </c>
      <c r="F415" s="600">
        <v>5697945</v>
      </c>
      <c r="G415" s="597" t="s">
        <v>1515</v>
      </c>
      <c r="H415" s="597"/>
      <c r="I415" s="597"/>
      <c r="J415" s="597"/>
      <c r="K415" s="597"/>
      <c r="L415" s="597"/>
      <c r="M415" s="597"/>
      <c r="N415" s="599"/>
    </row>
    <row r="416" spans="1:14" ht="29">
      <c r="B416" s="582">
        <f t="shared" si="6"/>
        <v>406</v>
      </c>
      <c r="C416" s="619" t="s">
        <v>23</v>
      </c>
      <c r="D416" s="593"/>
      <c r="E416" s="594" t="s">
        <v>11</v>
      </c>
      <c r="F416" s="600">
        <v>4229572</v>
      </c>
      <c r="G416" s="597" t="s">
        <v>1515</v>
      </c>
      <c r="H416" s="597"/>
      <c r="I416" s="597"/>
      <c r="J416" s="597"/>
      <c r="K416" s="597"/>
      <c r="L416" s="597"/>
      <c r="M416" s="597"/>
      <c r="N416" s="599"/>
    </row>
    <row r="417" spans="2:14">
      <c r="B417" s="582">
        <f t="shared" si="6"/>
        <v>407</v>
      </c>
      <c r="C417" s="619" t="s">
        <v>25</v>
      </c>
      <c r="D417" s="602"/>
      <c r="E417" s="594" t="s">
        <v>11</v>
      </c>
      <c r="F417" s="603">
        <v>7763675</v>
      </c>
      <c r="G417" s="597" t="s">
        <v>1515</v>
      </c>
      <c r="H417" s="597"/>
      <c r="I417" s="597"/>
      <c r="J417" s="597"/>
      <c r="K417" s="597"/>
      <c r="L417" s="597"/>
      <c r="M417" s="597"/>
      <c r="N417" s="599"/>
    </row>
    <row r="418" spans="2:14">
      <c r="B418" s="582">
        <f t="shared" si="6"/>
        <v>408</v>
      </c>
      <c r="C418" s="619" t="s">
        <v>27</v>
      </c>
      <c r="D418" s="602"/>
      <c r="E418" s="594" t="s">
        <v>11</v>
      </c>
      <c r="F418" s="603">
        <v>1954466</v>
      </c>
      <c r="G418" s="597" t="s">
        <v>1515</v>
      </c>
      <c r="H418" s="597"/>
      <c r="I418" s="597"/>
      <c r="J418" s="597"/>
      <c r="K418" s="597"/>
      <c r="L418" s="597"/>
      <c r="M418" s="597"/>
      <c r="N418" s="599"/>
    </row>
    <row r="419" spans="2:14" ht="29">
      <c r="B419" s="582">
        <f t="shared" si="6"/>
        <v>409</v>
      </c>
      <c r="C419" s="619" t="s">
        <v>29</v>
      </c>
      <c r="D419" s="602"/>
      <c r="E419" s="594" t="s">
        <v>11</v>
      </c>
      <c r="F419" s="603">
        <v>1718240</v>
      </c>
      <c r="G419" s="597" t="s">
        <v>1515</v>
      </c>
      <c r="H419" s="597"/>
      <c r="I419" s="597"/>
      <c r="J419" s="597"/>
      <c r="K419" s="597"/>
      <c r="L419" s="597"/>
      <c r="M419" s="597"/>
      <c r="N419" s="599"/>
    </row>
    <row r="420" spans="2:14" ht="29">
      <c r="B420" s="582">
        <f t="shared" si="6"/>
        <v>410</v>
      </c>
      <c r="C420" s="619" t="s">
        <v>31</v>
      </c>
      <c r="D420" s="602"/>
      <c r="E420" s="594" t="s">
        <v>11</v>
      </c>
      <c r="F420" s="603">
        <v>3318558</v>
      </c>
      <c r="G420" s="597" t="s">
        <v>1515</v>
      </c>
      <c r="H420" s="597"/>
      <c r="I420" s="597"/>
      <c r="J420" s="597"/>
      <c r="K420" s="597"/>
      <c r="L420" s="597"/>
      <c r="M420" s="597"/>
      <c r="N420" s="599"/>
    </row>
    <row r="421" spans="2:14" ht="29">
      <c r="B421" s="582">
        <f t="shared" si="6"/>
        <v>411</v>
      </c>
      <c r="C421" s="619" t="s">
        <v>33</v>
      </c>
      <c r="D421" s="602"/>
      <c r="E421" s="594" t="s">
        <v>11</v>
      </c>
      <c r="F421" s="603">
        <v>2952237</v>
      </c>
      <c r="G421" s="597" t="s">
        <v>1515</v>
      </c>
      <c r="H421" s="597"/>
      <c r="I421" s="597"/>
      <c r="J421" s="597"/>
      <c r="K421" s="597"/>
      <c r="L421" s="597"/>
      <c r="M421" s="597"/>
      <c r="N421" s="599"/>
    </row>
    <row r="422" spans="2:14" ht="29">
      <c r="B422" s="582">
        <f t="shared" si="6"/>
        <v>412</v>
      </c>
      <c r="C422" s="619" t="s">
        <v>2008</v>
      </c>
      <c r="D422" s="602"/>
      <c r="E422" s="594" t="s">
        <v>36</v>
      </c>
      <c r="F422" s="603"/>
      <c r="G422" s="597" t="s">
        <v>1515</v>
      </c>
      <c r="H422" s="597"/>
      <c r="I422" s="597"/>
      <c r="J422" s="597"/>
      <c r="K422" s="597"/>
      <c r="L422" s="597"/>
      <c r="M422" s="597"/>
      <c r="N422" s="599"/>
    </row>
    <row r="423" spans="2:14">
      <c r="B423" s="582">
        <f t="shared" si="6"/>
        <v>413</v>
      </c>
      <c r="C423" s="619" t="s">
        <v>40</v>
      </c>
      <c r="D423" s="602"/>
      <c r="E423" s="594" t="s">
        <v>11</v>
      </c>
      <c r="F423" s="603">
        <v>1259668</v>
      </c>
      <c r="G423" s="597" t="s">
        <v>1515</v>
      </c>
      <c r="H423" s="597"/>
      <c r="I423" s="597"/>
      <c r="J423" s="597"/>
      <c r="K423" s="597"/>
      <c r="L423" s="597"/>
      <c r="M423" s="597"/>
      <c r="N423" s="599"/>
    </row>
    <row r="424" spans="2:14" ht="29">
      <c r="B424" s="582">
        <f t="shared" si="6"/>
        <v>414</v>
      </c>
      <c r="C424" s="619" t="s">
        <v>42</v>
      </c>
      <c r="D424" s="602"/>
      <c r="E424" s="594" t="s">
        <v>11</v>
      </c>
      <c r="F424" s="603">
        <v>7750195</v>
      </c>
      <c r="G424" s="597" t="s">
        <v>1515</v>
      </c>
      <c r="H424" s="597"/>
      <c r="I424" s="597"/>
      <c r="J424" s="597"/>
      <c r="K424" s="597"/>
      <c r="L424" s="597"/>
      <c r="M424" s="597"/>
      <c r="N424" s="599"/>
    </row>
    <row r="425" spans="2:14">
      <c r="B425" s="582">
        <f t="shared" si="6"/>
        <v>415</v>
      </c>
      <c r="C425" s="619" t="s">
        <v>44</v>
      </c>
      <c r="D425" s="602"/>
      <c r="E425" s="594" t="s">
        <v>11</v>
      </c>
      <c r="F425" s="603">
        <v>14513308</v>
      </c>
      <c r="G425" s="597" t="s">
        <v>1515</v>
      </c>
      <c r="H425" s="597"/>
      <c r="I425" s="597"/>
      <c r="J425" s="597"/>
      <c r="K425" s="597"/>
      <c r="L425" s="597"/>
      <c r="M425" s="597"/>
      <c r="N425" s="599"/>
    </row>
    <row r="426" spans="2:14">
      <c r="B426" s="582">
        <f t="shared" si="6"/>
        <v>416</v>
      </c>
      <c r="C426" s="619" t="s">
        <v>2009</v>
      </c>
      <c r="D426" s="602"/>
      <c r="E426" s="594" t="s">
        <v>11</v>
      </c>
      <c r="F426" s="603">
        <v>4705536</v>
      </c>
      <c r="G426" s="597" t="s">
        <v>1515</v>
      </c>
      <c r="H426" s="597"/>
      <c r="I426" s="597"/>
      <c r="J426" s="597"/>
      <c r="K426" s="597"/>
      <c r="L426" s="597"/>
      <c r="M426" s="597"/>
      <c r="N426" s="599"/>
    </row>
    <row r="427" spans="2:14">
      <c r="B427" s="582">
        <f t="shared" si="6"/>
        <v>417</v>
      </c>
      <c r="C427" s="619" t="s">
        <v>46</v>
      </c>
      <c r="D427" s="593" t="s">
        <v>2010</v>
      </c>
      <c r="E427" s="594" t="s">
        <v>36</v>
      </c>
      <c r="F427" s="600">
        <v>5804318</v>
      </c>
      <c r="G427" s="597" t="s">
        <v>1515</v>
      </c>
      <c r="H427" s="597"/>
      <c r="I427" s="597"/>
      <c r="J427" s="597"/>
      <c r="K427" s="597"/>
      <c r="L427" s="597"/>
      <c r="M427" s="597"/>
      <c r="N427" s="599"/>
    </row>
    <row r="428" spans="2:14">
      <c r="B428" s="582">
        <f t="shared" si="6"/>
        <v>418</v>
      </c>
      <c r="C428" s="619" t="s">
        <v>48</v>
      </c>
      <c r="D428" s="593"/>
      <c r="E428" s="594" t="s">
        <v>11</v>
      </c>
      <c r="F428" s="600">
        <v>1366481</v>
      </c>
      <c r="G428" s="597" t="s">
        <v>1515</v>
      </c>
      <c r="H428" s="597"/>
      <c r="I428" s="597"/>
      <c r="J428" s="597"/>
      <c r="K428" s="597"/>
      <c r="L428" s="597"/>
      <c r="M428" s="597"/>
      <c r="N428" s="599"/>
    </row>
    <row r="429" spans="2:14" ht="29">
      <c r="B429" s="582">
        <f t="shared" si="6"/>
        <v>419</v>
      </c>
      <c r="C429" s="619" t="s">
        <v>50</v>
      </c>
      <c r="D429" s="593"/>
      <c r="E429" s="594" t="s">
        <v>11</v>
      </c>
      <c r="F429" s="600">
        <v>2605678</v>
      </c>
      <c r="G429" s="597" t="s">
        <v>1515</v>
      </c>
      <c r="H429" s="597"/>
      <c r="I429" s="597"/>
      <c r="J429" s="597"/>
      <c r="K429" s="597"/>
      <c r="L429" s="597"/>
      <c r="M429" s="597"/>
      <c r="N429" s="599"/>
    </row>
    <row r="430" spans="2:14">
      <c r="B430" s="582">
        <f t="shared" si="6"/>
        <v>420</v>
      </c>
      <c r="C430" s="619" t="s">
        <v>52</v>
      </c>
      <c r="D430" s="593"/>
      <c r="E430" s="594" t="s">
        <v>11</v>
      </c>
      <c r="F430" s="600">
        <v>553800</v>
      </c>
      <c r="G430" s="597" t="s">
        <v>1515</v>
      </c>
      <c r="H430" s="597"/>
      <c r="I430" s="597"/>
      <c r="J430" s="597"/>
      <c r="K430" s="597"/>
      <c r="L430" s="597"/>
      <c r="M430" s="597"/>
      <c r="N430" s="599"/>
    </row>
    <row r="431" spans="2:14">
      <c r="B431" s="582">
        <f t="shared" si="6"/>
        <v>421</v>
      </c>
      <c r="C431" s="619" t="s">
        <v>54</v>
      </c>
      <c r="D431" s="593"/>
      <c r="E431" s="594" t="s">
        <v>11</v>
      </c>
      <c r="F431" s="600">
        <v>2867800</v>
      </c>
      <c r="G431" s="597" t="s">
        <v>1515</v>
      </c>
      <c r="H431" s="597"/>
      <c r="I431" s="597"/>
      <c r="J431" s="597"/>
      <c r="K431" s="597"/>
      <c r="L431" s="597"/>
      <c r="M431" s="597"/>
      <c r="N431" s="599"/>
    </row>
    <row r="432" spans="2:14">
      <c r="B432" s="582">
        <f t="shared" si="6"/>
        <v>422</v>
      </c>
      <c r="C432" s="619" t="s">
        <v>56</v>
      </c>
      <c r="D432" s="593"/>
      <c r="E432" s="594" t="s">
        <v>11</v>
      </c>
      <c r="F432" s="600">
        <v>918676</v>
      </c>
      <c r="G432" s="597" t="s">
        <v>1515</v>
      </c>
      <c r="H432" s="597"/>
      <c r="I432" s="597"/>
      <c r="J432" s="597"/>
      <c r="K432" s="597"/>
      <c r="L432" s="597"/>
      <c r="M432" s="597"/>
      <c r="N432" s="599"/>
    </row>
    <row r="433" spans="2:14">
      <c r="B433" s="582">
        <f t="shared" si="6"/>
        <v>423</v>
      </c>
      <c r="C433" s="619" t="s">
        <v>58</v>
      </c>
      <c r="D433" s="593"/>
      <c r="E433" s="594" t="s">
        <v>11</v>
      </c>
      <c r="F433" s="600">
        <v>1258900</v>
      </c>
      <c r="G433" s="597" t="s">
        <v>1515</v>
      </c>
      <c r="H433" s="597"/>
      <c r="I433" s="597"/>
      <c r="J433" s="597"/>
      <c r="K433" s="597"/>
      <c r="L433" s="597"/>
      <c r="M433" s="597"/>
      <c r="N433" s="599"/>
    </row>
    <row r="434" spans="2:14">
      <c r="B434" s="582">
        <f t="shared" si="6"/>
        <v>424</v>
      </c>
      <c r="C434" s="619" t="s">
        <v>60</v>
      </c>
      <c r="D434" s="593"/>
      <c r="E434" s="594" t="s">
        <v>11</v>
      </c>
      <c r="F434" s="600">
        <v>21014624</v>
      </c>
      <c r="G434" s="597" t="s">
        <v>1515</v>
      </c>
      <c r="H434" s="597"/>
      <c r="I434" s="597"/>
      <c r="J434" s="597"/>
      <c r="K434" s="597"/>
      <c r="L434" s="597"/>
      <c r="M434" s="597"/>
      <c r="N434" s="599"/>
    </row>
    <row r="435" spans="2:14">
      <c r="B435" s="582">
        <f t="shared" si="6"/>
        <v>425</v>
      </c>
      <c r="C435" s="619" t="s">
        <v>62</v>
      </c>
      <c r="D435" s="593"/>
      <c r="E435" s="594" t="s">
        <v>11</v>
      </c>
      <c r="F435" s="600">
        <v>8311002</v>
      </c>
      <c r="G435" s="597" t="s">
        <v>1515</v>
      </c>
      <c r="H435" s="597"/>
      <c r="I435" s="597"/>
      <c r="J435" s="597"/>
      <c r="K435" s="597"/>
      <c r="L435" s="597"/>
      <c r="M435" s="597"/>
      <c r="N435" s="599"/>
    </row>
    <row r="436" spans="2:14">
      <c r="B436" s="582">
        <f t="shared" si="6"/>
        <v>426</v>
      </c>
      <c r="C436" s="619" t="s">
        <v>64</v>
      </c>
      <c r="D436" s="593"/>
      <c r="E436" s="594" t="s">
        <v>11</v>
      </c>
      <c r="F436" s="600">
        <v>1872142</v>
      </c>
      <c r="G436" s="597" t="s">
        <v>1515</v>
      </c>
      <c r="H436" s="597"/>
      <c r="I436" s="597"/>
      <c r="J436" s="597"/>
      <c r="K436" s="597"/>
      <c r="L436" s="597"/>
      <c r="M436" s="597"/>
      <c r="N436" s="599"/>
    </row>
    <row r="437" spans="2:14">
      <c r="B437" s="582">
        <f t="shared" si="6"/>
        <v>427</v>
      </c>
      <c r="C437" s="619" t="s">
        <v>66</v>
      </c>
      <c r="D437" s="593"/>
      <c r="E437" s="594" t="s">
        <v>11</v>
      </c>
      <c r="F437" s="600">
        <v>375316</v>
      </c>
      <c r="G437" s="597" t="s">
        <v>1515</v>
      </c>
      <c r="H437" s="597"/>
      <c r="I437" s="597"/>
      <c r="J437" s="597"/>
      <c r="K437" s="597"/>
      <c r="L437" s="597"/>
      <c r="M437" s="597"/>
      <c r="N437" s="599"/>
    </row>
    <row r="438" spans="2:14">
      <c r="B438" s="582">
        <f t="shared" si="6"/>
        <v>428</v>
      </c>
      <c r="C438" s="619" t="s">
        <v>68</v>
      </c>
      <c r="D438" s="593"/>
      <c r="E438" s="594" t="s">
        <v>11</v>
      </c>
      <c r="F438" s="600">
        <v>771572</v>
      </c>
      <c r="G438" s="597" t="s">
        <v>1515</v>
      </c>
      <c r="H438" s="597"/>
      <c r="I438" s="597"/>
      <c r="J438" s="597"/>
      <c r="K438" s="597"/>
      <c r="L438" s="597"/>
      <c r="M438" s="597"/>
      <c r="N438" s="599"/>
    </row>
    <row r="439" spans="2:14" ht="29">
      <c r="B439" s="582">
        <f t="shared" si="6"/>
        <v>429</v>
      </c>
      <c r="C439" s="619" t="s">
        <v>70</v>
      </c>
      <c r="D439" s="593"/>
      <c r="E439" s="594" t="s">
        <v>11</v>
      </c>
      <c r="F439" s="600">
        <v>60704</v>
      </c>
      <c r="G439" s="597" t="s">
        <v>1515</v>
      </c>
      <c r="H439" s="597"/>
      <c r="I439" s="597"/>
      <c r="J439" s="597"/>
      <c r="K439" s="597"/>
      <c r="L439" s="597"/>
      <c r="M439" s="597"/>
      <c r="N439" s="599"/>
    </row>
    <row r="440" spans="2:14">
      <c r="B440" s="582">
        <f t="shared" si="6"/>
        <v>430</v>
      </c>
      <c r="C440" s="619" t="s">
        <v>72</v>
      </c>
      <c r="D440" s="593"/>
      <c r="E440" s="594" t="s">
        <v>11</v>
      </c>
      <c r="F440" s="600">
        <v>2369098</v>
      </c>
      <c r="G440" s="597" t="s">
        <v>1515</v>
      </c>
      <c r="H440" s="597"/>
      <c r="I440" s="597"/>
      <c r="J440" s="597"/>
      <c r="K440" s="597"/>
      <c r="L440" s="597"/>
      <c r="M440" s="597"/>
      <c r="N440" s="599"/>
    </row>
    <row r="441" spans="2:14">
      <c r="B441" s="582">
        <f t="shared" si="6"/>
        <v>431</v>
      </c>
      <c r="C441" s="619" t="s">
        <v>74</v>
      </c>
      <c r="D441" s="593"/>
      <c r="E441" s="594" t="s">
        <v>11</v>
      </c>
      <c r="F441" s="600">
        <v>7305877</v>
      </c>
      <c r="G441" s="597" t="s">
        <v>1515</v>
      </c>
      <c r="H441" s="597"/>
      <c r="I441" s="597"/>
      <c r="J441" s="597"/>
      <c r="K441" s="597"/>
      <c r="L441" s="597"/>
      <c r="M441" s="597"/>
      <c r="N441" s="599"/>
    </row>
    <row r="442" spans="2:14" ht="29">
      <c r="B442" s="582">
        <f t="shared" si="6"/>
        <v>432</v>
      </c>
      <c r="C442" s="619" t="s">
        <v>76</v>
      </c>
      <c r="D442" s="593"/>
      <c r="E442" s="594" t="s">
        <v>11</v>
      </c>
      <c r="F442" s="600">
        <v>922098</v>
      </c>
      <c r="G442" s="597" t="s">
        <v>1515</v>
      </c>
      <c r="H442" s="597"/>
      <c r="I442" s="597"/>
      <c r="J442" s="597"/>
      <c r="K442" s="597"/>
      <c r="L442" s="597"/>
      <c r="M442" s="597"/>
      <c r="N442" s="599"/>
    </row>
    <row r="443" spans="2:14">
      <c r="B443" s="582">
        <f t="shared" si="6"/>
        <v>433</v>
      </c>
      <c r="C443" s="619" t="s">
        <v>78</v>
      </c>
      <c r="D443" s="593"/>
      <c r="E443" s="594" t="s">
        <v>11</v>
      </c>
      <c r="F443" s="600">
        <v>3440115</v>
      </c>
      <c r="G443" s="597" t="s">
        <v>1515</v>
      </c>
      <c r="H443" s="597"/>
      <c r="I443" s="597"/>
      <c r="J443" s="597"/>
      <c r="K443" s="597"/>
      <c r="L443" s="597"/>
      <c r="M443" s="597"/>
      <c r="N443" s="599"/>
    </row>
    <row r="444" spans="2:14">
      <c r="B444" s="582">
        <f t="shared" si="6"/>
        <v>434</v>
      </c>
      <c r="C444" s="619" t="s">
        <v>2011</v>
      </c>
      <c r="D444" s="593"/>
      <c r="E444" s="594" t="s">
        <v>11</v>
      </c>
      <c r="F444" s="600">
        <v>444780</v>
      </c>
      <c r="G444" s="597" t="s">
        <v>1515</v>
      </c>
      <c r="H444" s="597"/>
      <c r="I444" s="597"/>
      <c r="J444" s="597"/>
      <c r="K444" s="597"/>
      <c r="L444" s="597"/>
      <c r="M444" s="597"/>
      <c r="N444" s="599"/>
    </row>
    <row r="445" spans="2:14">
      <c r="B445" s="582">
        <f t="shared" si="6"/>
        <v>435</v>
      </c>
      <c r="C445" s="619" t="s">
        <v>2012</v>
      </c>
      <c r="D445" s="593"/>
      <c r="E445" s="594" t="s">
        <v>11</v>
      </c>
      <c r="F445" s="600">
        <v>7919832</v>
      </c>
      <c r="G445" s="597" t="s">
        <v>1515</v>
      </c>
      <c r="H445" s="597"/>
      <c r="I445" s="597"/>
      <c r="J445" s="597"/>
      <c r="K445" s="597"/>
      <c r="L445" s="597"/>
      <c r="M445" s="597"/>
      <c r="N445" s="599"/>
    </row>
    <row r="446" spans="2:14">
      <c r="B446" s="582">
        <f t="shared" si="6"/>
        <v>436</v>
      </c>
      <c r="C446" s="619" t="s">
        <v>84</v>
      </c>
      <c r="D446" s="593" t="s">
        <v>2013</v>
      </c>
      <c r="E446" s="594" t="s">
        <v>36</v>
      </c>
      <c r="F446" s="600">
        <v>28806330</v>
      </c>
      <c r="G446" s="597" t="s">
        <v>1515</v>
      </c>
      <c r="H446" s="597"/>
      <c r="I446" s="597"/>
      <c r="J446" s="597"/>
      <c r="K446" s="597"/>
      <c r="L446" s="597"/>
      <c r="M446" s="597"/>
      <c r="N446" s="599"/>
    </row>
    <row r="447" spans="2:14">
      <c r="B447" s="582">
        <f t="shared" si="6"/>
        <v>437</v>
      </c>
      <c r="C447" s="619" t="s">
        <v>86</v>
      </c>
      <c r="D447" s="593" t="s">
        <v>2014</v>
      </c>
      <c r="E447" s="594" t="s">
        <v>36</v>
      </c>
      <c r="F447" s="600">
        <v>157876</v>
      </c>
      <c r="G447" s="597" t="s">
        <v>1515</v>
      </c>
      <c r="H447" s="597"/>
      <c r="I447" s="597"/>
      <c r="J447" s="597"/>
      <c r="K447" s="597"/>
      <c r="L447" s="597"/>
      <c r="M447" s="597"/>
      <c r="N447" s="599"/>
    </row>
    <row r="448" spans="2:14">
      <c r="B448" s="582">
        <f t="shared" si="6"/>
        <v>438</v>
      </c>
      <c r="C448" s="619" t="s">
        <v>88</v>
      </c>
      <c r="D448" s="593"/>
      <c r="E448" s="594" t="s">
        <v>11</v>
      </c>
      <c r="F448" s="600">
        <v>10096097</v>
      </c>
      <c r="G448" s="597" t="s">
        <v>1515</v>
      </c>
      <c r="H448" s="597"/>
      <c r="I448" s="597"/>
      <c r="J448" s="597"/>
      <c r="K448" s="597"/>
      <c r="L448" s="597"/>
      <c r="M448" s="597"/>
      <c r="N448" s="599"/>
    </row>
    <row r="449" spans="2:14">
      <c r="B449" s="582">
        <f t="shared" si="6"/>
        <v>439</v>
      </c>
      <c r="C449" s="619" t="s">
        <v>90</v>
      </c>
      <c r="D449" s="593"/>
      <c r="E449" s="594" t="s">
        <v>11</v>
      </c>
      <c r="F449" s="600">
        <v>7554492</v>
      </c>
      <c r="G449" s="597" t="s">
        <v>1515</v>
      </c>
      <c r="H449" s="597"/>
      <c r="I449" s="597"/>
      <c r="J449" s="597"/>
      <c r="K449" s="597"/>
      <c r="L449" s="597"/>
      <c r="M449" s="597"/>
      <c r="N449" s="599"/>
    </row>
    <row r="450" spans="2:14" ht="29">
      <c r="B450" s="582">
        <f t="shared" si="6"/>
        <v>440</v>
      </c>
      <c r="C450" s="619" t="s">
        <v>92</v>
      </c>
      <c r="D450" s="593"/>
      <c r="E450" s="594" t="s">
        <v>11</v>
      </c>
      <c r="F450" s="600">
        <v>7326839</v>
      </c>
      <c r="G450" s="597" t="s">
        <v>1515</v>
      </c>
      <c r="H450" s="597"/>
      <c r="I450" s="597"/>
      <c r="J450" s="597"/>
      <c r="K450" s="597"/>
      <c r="L450" s="597"/>
      <c r="M450" s="597"/>
      <c r="N450" s="599"/>
    </row>
    <row r="451" spans="2:14" ht="29">
      <c r="B451" s="582">
        <f t="shared" si="6"/>
        <v>441</v>
      </c>
      <c r="C451" s="619" t="s">
        <v>94</v>
      </c>
      <c r="D451" s="593"/>
      <c r="E451" s="594" t="s">
        <v>11</v>
      </c>
      <c r="F451" s="600">
        <v>2262949</v>
      </c>
      <c r="G451" s="597" t="s">
        <v>1515</v>
      </c>
      <c r="H451" s="597"/>
      <c r="I451" s="597"/>
      <c r="J451" s="597"/>
      <c r="K451" s="597"/>
      <c r="L451" s="597"/>
      <c r="M451" s="597"/>
      <c r="N451" s="599"/>
    </row>
    <row r="452" spans="2:14">
      <c r="B452" s="582">
        <f t="shared" si="6"/>
        <v>442</v>
      </c>
      <c r="C452" s="619" t="s">
        <v>96</v>
      </c>
      <c r="D452" s="593"/>
      <c r="E452" s="594" t="s">
        <v>11</v>
      </c>
      <c r="F452" s="600">
        <v>777327</v>
      </c>
      <c r="G452" s="597" t="s">
        <v>1515</v>
      </c>
      <c r="H452" s="597"/>
      <c r="I452" s="597"/>
      <c r="J452" s="597"/>
      <c r="K452" s="597"/>
      <c r="L452" s="597"/>
      <c r="M452" s="597"/>
      <c r="N452" s="599"/>
    </row>
    <row r="453" spans="2:14">
      <c r="B453" s="582">
        <f t="shared" si="6"/>
        <v>443</v>
      </c>
      <c r="C453" s="619" t="s">
        <v>98</v>
      </c>
      <c r="D453" s="593"/>
      <c r="E453" s="594" t="s">
        <v>11</v>
      </c>
      <c r="F453" s="600">
        <v>967828</v>
      </c>
      <c r="G453" s="597" t="s">
        <v>1515</v>
      </c>
      <c r="H453" s="597"/>
      <c r="I453" s="597"/>
      <c r="J453" s="597"/>
      <c r="K453" s="597"/>
      <c r="L453" s="597"/>
      <c r="M453" s="597"/>
      <c r="N453" s="599"/>
    </row>
    <row r="454" spans="2:14">
      <c r="B454" s="582">
        <f t="shared" si="6"/>
        <v>444</v>
      </c>
      <c r="C454" s="619" t="s">
        <v>100</v>
      </c>
      <c r="D454" s="593"/>
      <c r="E454" s="594" t="s">
        <v>11</v>
      </c>
      <c r="F454" s="600">
        <v>679540</v>
      </c>
      <c r="G454" s="597" t="s">
        <v>1515</v>
      </c>
      <c r="H454" s="597"/>
      <c r="I454" s="597"/>
      <c r="J454" s="597"/>
      <c r="K454" s="597"/>
      <c r="L454" s="597"/>
      <c r="M454" s="597"/>
      <c r="N454" s="599"/>
    </row>
    <row r="455" spans="2:14" ht="29">
      <c r="B455" s="582">
        <f t="shared" ref="B455:B518" si="7">B454+1</f>
        <v>445</v>
      </c>
      <c r="C455" s="619" t="s">
        <v>102</v>
      </c>
      <c r="D455" s="593"/>
      <c r="E455" s="594" t="s">
        <v>11</v>
      </c>
      <c r="F455" s="600">
        <v>10230863</v>
      </c>
      <c r="G455" s="597" t="s">
        <v>1515</v>
      </c>
      <c r="H455" s="597"/>
      <c r="I455" s="597"/>
      <c r="J455" s="597"/>
      <c r="K455" s="597"/>
      <c r="L455" s="597"/>
      <c r="M455" s="597"/>
      <c r="N455" s="599"/>
    </row>
    <row r="456" spans="2:14" ht="29">
      <c r="B456" s="582">
        <f t="shared" si="7"/>
        <v>446</v>
      </c>
      <c r="C456" s="619" t="s">
        <v>104</v>
      </c>
      <c r="D456" s="593"/>
      <c r="E456" s="594" t="s">
        <v>11</v>
      </c>
      <c r="F456" s="600">
        <v>16397505</v>
      </c>
      <c r="G456" s="597" t="s">
        <v>1515</v>
      </c>
      <c r="H456" s="597"/>
      <c r="I456" s="597"/>
      <c r="J456" s="597"/>
      <c r="K456" s="597"/>
      <c r="L456" s="597"/>
      <c r="M456" s="597"/>
      <c r="N456" s="599"/>
    </row>
    <row r="457" spans="2:14" ht="29">
      <c r="B457" s="582">
        <f t="shared" si="7"/>
        <v>447</v>
      </c>
      <c r="C457" s="619" t="s">
        <v>106</v>
      </c>
      <c r="D457" s="593"/>
      <c r="E457" s="594" t="s">
        <v>11</v>
      </c>
      <c r="F457" s="600">
        <v>5033030</v>
      </c>
      <c r="G457" s="597" t="s">
        <v>1515</v>
      </c>
      <c r="H457" s="597"/>
      <c r="I457" s="597"/>
      <c r="J457" s="597"/>
      <c r="K457" s="597"/>
      <c r="L457" s="597"/>
      <c r="M457" s="597"/>
      <c r="N457" s="599"/>
    </row>
    <row r="458" spans="2:14" ht="29">
      <c r="B458" s="582">
        <f t="shared" si="7"/>
        <v>448</v>
      </c>
      <c r="C458" s="619" t="s">
        <v>108</v>
      </c>
      <c r="D458" s="593"/>
      <c r="E458" s="594" t="s">
        <v>11</v>
      </c>
      <c r="F458" s="600">
        <v>10035507</v>
      </c>
      <c r="G458" s="597" t="s">
        <v>1515</v>
      </c>
      <c r="H458" s="597"/>
      <c r="I458" s="597"/>
      <c r="J458" s="597"/>
      <c r="K458" s="597"/>
      <c r="L458" s="597"/>
      <c r="M458" s="597"/>
      <c r="N458" s="599"/>
    </row>
    <row r="459" spans="2:14" ht="29">
      <c r="B459" s="582">
        <f t="shared" si="7"/>
        <v>449</v>
      </c>
      <c r="C459" s="619" t="s">
        <v>110</v>
      </c>
      <c r="D459" s="593"/>
      <c r="E459" s="594" t="s">
        <v>11</v>
      </c>
      <c r="F459" s="600">
        <v>6133398</v>
      </c>
      <c r="G459" s="597" t="s">
        <v>1515</v>
      </c>
      <c r="H459" s="597"/>
      <c r="I459" s="597"/>
      <c r="J459" s="597"/>
      <c r="K459" s="597"/>
      <c r="L459" s="597"/>
      <c r="M459" s="597"/>
      <c r="N459" s="599"/>
    </row>
    <row r="460" spans="2:14">
      <c r="B460" s="582">
        <f t="shared" si="7"/>
        <v>450</v>
      </c>
      <c r="C460" s="619" t="s">
        <v>112</v>
      </c>
      <c r="D460" s="593"/>
      <c r="E460" s="594" t="s">
        <v>11</v>
      </c>
      <c r="F460" s="600">
        <v>4306775</v>
      </c>
      <c r="G460" s="597" t="s">
        <v>1515</v>
      </c>
      <c r="H460" s="597"/>
      <c r="I460" s="597"/>
      <c r="J460" s="597"/>
      <c r="K460" s="597"/>
      <c r="L460" s="597"/>
      <c r="M460" s="597"/>
      <c r="N460" s="599"/>
    </row>
    <row r="461" spans="2:14">
      <c r="B461" s="582">
        <f t="shared" si="7"/>
        <v>451</v>
      </c>
      <c r="C461" s="619" t="s">
        <v>114</v>
      </c>
      <c r="D461" s="593"/>
      <c r="E461" s="594" t="s">
        <v>11</v>
      </c>
      <c r="F461" s="600">
        <v>1993083</v>
      </c>
      <c r="G461" s="597" t="s">
        <v>1515</v>
      </c>
      <c r="H461" s="597"/>
      <c r="I461" s="597"/>
      <c r="J461" s="597"/>
      <c r="K461" s="597"/>
      <c r="L461" s="597"/>
      <c r="M461" s="597"/>
      <c r="N461" s="599"/>
    </row>
    <row r="462" spans="2:14">
      <c r="B462" s="582">
        <f t="shared" si="7"/>
        <v>452</v>
      </c>
      <c r="C462" s="619" t="s">
        <v>116</v>
      </c>
      <c r="D462" s="593"/>
      <c r="E462" s="594" t="s">
        <v>11</v>
      </c>
      <c r="F462" s="600">
        <v>1540944</v>
      </c>
      <c r="G462" s="597" t="s">
        <v>1515</v>
      </c>
      <c r="H462" s="597"/>
      <c r="I462" s="597"/>
      <c r="J462" s="597"/>
      <c r="K462" s="597"/>
      <c r="L462" s="597"/>
      <c r="M462" s="597"/>
      <c r="N462" s="599"/>
    </row>
    <row r="463" spans="2:14">
      <c r="B463" s="582">
        <f t="shared" si="7"/>
        <v>453</v>
      </c>
      <c r="C463" s="619" t="s">
        <v>118</v>
      </c>
      <c r="D463" s="593"/>
      <c r="E463" s="594" t="s">
        <v>11</v>
      </c>
      <c r="F463" s="600">
        <v>455727</v>
      </c>
      <c r="G463" s="597" t="s">
        <v>1515</v>
      </c>
      <c r="H463" s="597"/>
      <c r="I463" s="597"/>
      <c r="J463" s="597"/>
      <c r="K463" s="597"/>
      <c r="L463" s="597"/>
      <c r="M463" s="597"/>
      <c r="N463" s="599"/>
    </row>
    <row r="464" spans="2:14">
      <c r="B464" s="582">
        <f t="shared" si="7"/>
        <v>454</v>
      </c>
      <c r="C464" s="619" t="s">
        <v>120</v>
      </c>
      <c r="D464" s="593"/>
      <c r="E464" s="594" t="s">
        <v>11</v>
      </c>
      <c r="F464" s="600">
        <v>2348919</v>
      </c>
      <c r="G464" s="597" t="s">
        <v>1515</v>
      </c>
      <c r="H464" s="597"/>
      <c r="I464" s="597"/>
      <c r="J464" s="597"/>
      <c r="K464" s="597"/>
      <c r="L464" s="597"/>
      <c r="M464" s="597"/>
      <c r="N464" s="599"/>
    </row>
    <row r="465" spans="2:14">
      <c r="B465" s="582">
        <f t="shared" si="7"/>
        <v>455</v>
      </c>
      <c r="C465" s="619" t="s">
        <v>122</v>
      </c>
      <c r="D465" s="593"/>
      <c r="E465" s="594" t="s">
        <v>11</v>
      </c>
      <c r="F465" s="600">
        <v>3279089</v>
      </c>
      <c r="G465" s="597" t="s">
        <v>1515</v>
      </c>
      <c r="H465" s="597"/>
      <c r="I465" s="597"/>
      <c r="J465" s="597"/>
      <c r="K465" s="597"/>
      <c r="L465" s="597"/>
      <c r="M465" s="597"/>
      <c r="N465" s="599"/>
    </row>
    <row r="466" spans="2:14" ht="29">
      <c r="B466" s="582">
        <f t="shared" si="7"/>
        <v>456</v>
      </c>
      <c r="C466" s="619" t="s">
        <v>124</v>
      </c>
      <c r="D466" s="593"/>
      <c r="E466" s="594" t="s">
        <v>11</v>
      </c>
      <c r="F466" s="600">
        <v>156778</v>
      </c>
      <c r="G466" s="597" t="s">
        <v>1515</v>
      </c>
      <c r="H466" s="597"/>
      <c r="I466" s="597"/>
      <c r="J466" s="597"/>
      <c r="K466" s="597"/>
      <c r="L466" s="597"/>
      <c r="M466" s="597"/>
      <c r="N466" s="599"/>
    </row>
    <row r="467" spans="2:14">
      <c r="B467" s="582">
        <f t="shared" si="7"/>
        <v>457</v>
      </c>
      <c r="C467" s="619" t="s">
        <v>126</v>
      </c>
      <c r="D467" s="593" t="s">
        <v>2010</v>
      </c>
      <c r="E467" s="594" t="s">
        <v>36</v>
      </c>
      <c r="F467" s="600">
        <v>12744945</v>
      </c>
      <c r="G467" s="597" t="s">
        <v>1515</v>
      </c>
      <c r="H467" s="597"/>
      <c r="I467" s="597"/>
      <c r="J467" s="597"/>
      <c r="K467" s="597"/>
      <c r="L467" s="597"/>
      <c r="M467" s="597"/>
      <c r="N467" s="599"/>
    </row>
    <row r="468" spans="2:14">
      <c r="B468" s="582">
        <f t="shared" si="7"/>
        <v>458</v>
      </c>
      <c r="C468" s="619" t="s">
        <v>128</v>
      </c>
      <c r="D468" s="593"/>
      <c r="E468" s="594" t="s">
        <v>11</v>
      </c>
      <c r="F468" s="600">
        <v>2010227</v>
      </c>
      <c r="G468" s="597" t="s">
        <v>1515</v>
      </c>
      <c r="H468" s="597"/>
      <c r="I468" s="597"/>
      <c r="J468" s="597"/>
      <c r="K468" s="597"/>
      <c r="L468" s="597"/>
      <c r="M468" s="597"/>
      <c r="N468" s="599"/>
    </row>
    <row r="469" spans="2:14">
      <c r="B469" s="582">
        <f t="shared" si="7"/>
        <v>459</v>
      </c>
      <c r="C469" s="619" t="s">
        <v>130</v>
      </c>
      <c r="D469" s="593"/>
      <c r="E469" s="594" t="s">
        <v>11</v>
      </c>
      <c r="F469" s="600">
        <v>1212199</v>
      </c>
      <c r="G469" s="597" t="s">
        <v>1515</v>
      </c>
      <c r="H469" s="597"/>
      <c r="I469" s="597"/>
      <c r="J469" s="597"/>
      <c r="K469" s="597"/>
      <c r="L469" s="597"/>
      <c r="M469" s="597"/>
      <c r="N469" s="599"/>
    </row>
    <row r="470" spans="2:14">
      <c r="B470" s="582">
        <f t="shared" si="7"/>
        <v>460</v>
      </c>
      <c r="C470" s="619" t="s">
        <v>132</v>
      </c>
      <c r="D470" s="593"/>
      <c r="E470" s="594" t="s">
        <v>11</v>
      </c>
      <c r="F470" s="600">
        <v>3176751</v>
      </c>
      <c r="G470" s="597" t="s">
        <v>1515</v>
      </c>
      <c r="H470" s="597"/>
      <c r="I470" s="597"/>
      <c r="J470" s="597"/>
      <c r="K470" s="597"/>
      <c r="L470" s="597"/>
      <c r="M470" s="597"/>
      <c r="N470" s="599"/>
    </row>
    <row r="471" spans="2:14">
      <c r="B471" s="582">
        <f t="shared" si="7"/>
        <v>461</v>
      </c>
      <c r="C471" s="619" t="s">
        <v>2015</v>
      </c>
      <c r="D471" s="593" t="s">
        <v>2013</v>
      </c>
      <c r="E471" s="594" t="s">
        <v>36</v>
      </c>
      <c r="F471" s="600">
        <v>8685923</v>
      </c>
      <c r="G471" s="597" t="s">
        <v>1515</v>
      </c>
      <c r="H471" s="597"/>
      <c r="I471" s="597"/>
      <c r="J471" s="597"/>
      <c r="K471" s="597"/>
      <c r="L471" s="597"/>
      <c r="M471" s="597"/>
      <c r="N471" s="599"/>
    </row>
    <row r="472" spans="2:14">
      <c r="B472" s="582">
        <f t="shared" si="7"/>
        <v>462</v>
      </c>
      <c r="C472" s="619" t="s">
        <v>136</v>
      </c>
      <c r="D472" s="593" t="s">
        <v>2016</v>
      </c>
      <c r="E472" s="594" t="s">
        <v>36</v>
      </c>
      <c r="F472" s="600">
        <v>5561905</v>
      </c>
      <c r="G472" s="597" t="s">
        <v>1515</v>
      </c>
      <c r="H472" s="597"/>
      <c r="I472" s="597"/>
      <c r="J472" s="597"/>
      <c r="K472" s="597"/>
      <c r="L472" s="597"/>
      <c r="M472" s="597"/>
      <c r="N472" s="599"/>
    </row>
    <row r="473" spans="2:14">
      <c r="B473" s="582">
        <f t="shared" si="7"/>
        <v>463</v>
      </c>
      <c r="C473" s="619" t="s">
        <v>138</v>
      </c>
      <c r="D473" s="593"/>
      <c r="E473" s="594" t="s">
        <v>11</v>
      </c>
      <c r="F473" s="600">
        <v>2270236</v>
      </c>
      <c r="G473" s="597" t="s">
        <v>1515</v>
      </c>
      <c r="H473" s="597"/>
      <c r="I473" s="597"/>
      <c r="J473" s="597"/>
      <c r="K473" s="597"/>
      <c r="L473" s="597"/>
      <c r="M473" s="597"/>
      <c r="N473" s="599"/>
    </row>
    <row r="474" spans="2:14" ht="29">
      <c r="B474" s="582">
        <f t="shared" si="7"/>
        <v>464</v>
      </c>
      <c r="C474" s="619" t="s">
        <v>140</v>
      </c>
      <c r="D474" s="593"/>
      <c r="E474" s="594" t="s">
        <v>11</v>
      </c>
      <c r="F474" s="600">
        <v>11228663</v>
      </c>
      <c r="G474" s="597" t="s">
        <v>1515</v>
      </c>
      <c r="H474" s="597"/>
      <c r="I474" s="597"/>
      <c r="J474" s="597"/>
      <c r="K474" s="597"/>
      <c r="L474" s="597"/>
      <c r="M474" s="597"/>
      <c r="N474" s="599"/>
    </row>
    <row r="475" spans="2:14">
      <c r="B475" s="582">
        <f t="shared" si="7"/>
        <v>465</v>
      </c>
      <c r="C475" s="619" t="s">
        <v>142</v>
      </c>
      <c r="D475" s="593"/>
      <c r="E475" s="594" t="s">
        <v>11</v>
      </c>
      <c r="F475" s="600">
        <v>617623</v>
      </c>
      <c r="G475" s="597" t="s">
        <v>1515</v>
      </c>
      <c r="H475" s="597"/>
      <c r="I475" s="597"/>
      <c r="J475" s="597"/>
      <c r="K475" s="597"/>
      <c r="L475" s="597"/>
      <c r="M475" s="597"/>
      <c r="N475" s="599"/>
    </row>
    <row r="476" spans="2:14" ht="29">
      <c r="B476" s="582">
        <f t="shared" si="7"/>
        <v>466</v>
      </c>
      <c r="C476" s="619" t="s">
        <v>144</v>
      </c>
      <c r="D476" s="593"/>
      <c r="E476" s="594" t="s">
        <v>11</v>
      </c>
      <c r="F476" s="600">
        <v>6319622</v>
      </c>
      <c r="G476" s="597" t="s">
        <v>1515</v>
      </c>
      <c r="H476" s="597"/>
      <c r="I476" s="597"/>
      <c r="J476" s="597"/>
      <c r="K476" s="597"/>
      <c r="L476" s="597"/>
      <c r="M476" s="597"/>
      <c r="N476" s="599"/>
    </row>
    <row r="477" spans="2:14">
      <c r="B477" s="582">
        <f t="shared" si="7"/>
        <v>467</v>
      </c>
      <c r="C477" s="619" t="s">
        <v>146</v>
      </c>
      <c r="D477" s="593"/>
      <c r="E477" s="594" t="s">
        <v>11</v>
      </c>
      <c r="F477" s="600">
        <v>324360</v>
      </c>
      <c r="G477" s="597" t="s">
        <v>1515</v>
      </c>
      <c r="H477" s="597"/>
      <c r="I477" s="597"/>
      <c r="J477" s="597"/>
      <c r="K477" s="597"/>
      <c r="L477" s="597"/>
      <c r="M477" s="597"/>
      <c r="N477" s="599"/>
    </row>
    <row r="478" spans="2:14">
      <c r="B478" s="582">
        <f t="shared" si="7"/>
        <v>468</v>
      </c>
      <c r="C478" s="619" t="s">
        <v>148</v>
      </c>
      <c r="D478" s="593"/>
      <c r="E478" s="594" t="s">
        <v>11</v>
      </c>
      <c r="F478" s="600">
        <v>4941649</v>
      </c>
      <c r="G478" s="597" t="s">
        <v>1515</v>
      </c>
      <c r="H478" s="597"/>
      <c r="I478" s="597"/>
      <c r="J478" s="597"/>
      <c r="K478" s="597"/>
      <c r="L478" s="597"/>
      <c r="M478" s="597"/>
      <c r="N478" s="599"/>
    </row>
    <row r="479" spans="2:14">
      <c r="B479" s="582">
        <f t="shared" si="7"/>
        <v>469</v>
      </c>
      <c r="C479" s="619" t="s">
        <v>150</v>
      </c>
      <c r="D479" s="593"/>
      <c r="E479" s="594" t="s">
        <v>11</v>
      </c>
      <c r="F479" s="600">
        <v>3155850</v>
      </c>
      <c r="G479" s="597" t="s">
        <v>1515</v>
      </c>
      <c r="H479" s="597"/>
      <c r="I479" s="597"/>
      <c r="J479" s="597"/>
      <c r="K479" s="597"/>
      <c r="L479" s="597"/>
      <c r="M479" s="597"/>
      <c r="N479" s="599"/>
    </row>
    <row r="480" spans="2:14">
      <c r="B480" s="582">
        <f t="shared" si="7"/>
        <v>470</v>
      </c>
      <c r="C480" s="619" t="s">
        <v>152</v>
      </c>
      <c r="D480" s="593"/>
      <c r="E480" s="594" t="s">
        <v>11</v>
      </c>
      <c r="F480" s="600">
        <v>22285708</v>
      </c>
      <c r="G480" s="597" t="s">
        <v>1515</v>
      </c>
      <c r="H480" s="597"/>
      <c r="I480" s="597"/>
      <c r="J480" s="597"/>
      <c r="K480" s="597"/>
      <c r="L480" s="597"/>
      <c r="M480" s="597"/>
      <c r="N480" s="599"/>
    </row>
    <row r="481" spans="2:14">
      <c r="B481" s="582">
        <f t="shared" si="7"/>
        <v>471</v>
      </c>
      <c r="C481" s="619" t="s">
        <v>154</v>
      </c>
      <c r="D481" s="593"/>
      <c r="E481" s="594" t="s">
        <v>11</v>
      </c>
      <c r="F481" s="600">
        <v>1055414</v>
      </c>
      <c r="G481" s="597" t="s">
        <v>1515</v>
      </c>
      <c r="H481" s="597"/>
      <c r="I481" s="597"/>
      <c r="J481" s="597"/>
      <c r="K481" s="597"/>
      <c r="L481" s="597"/>
      <c r="M481" s="597"/>
      <c r="N481" s="599"/>
    </row>
    <row r="482" spans="2:14">
      <c r="B482" s="582">
        <f t="shared" si="7"/>
        <v>472</v>
      </c>
      <c r="C482" s="619" t="s">
        <v>156</v>
      </c>
      <c r="D482" s="593"/>
      <c r="E482" s="594" t="s">
        <v>11</v>
      </c>
      <c r="F482" s="600">
        <v>8982948</v>
      </c>
      <c r="G482" s="597" t="s">
        <v>1515</v>
      </c>
      <c r="H482" s="597"/>
      <c r="I482" s="597"/>
      <c r="J482" s="597"/>
      <c r="K482" s="597"/>
      <c r="L482" s="597"/>
      <c r="M482" s="597"/>
      <c r="N482" s="599"/>
    </row>
    <row r="483" spans="2:14">
      <c r="B483" s="582">
        <f t="shared" si="7"/>
        <v>473</v>
      </c>
      <c r="C483" s="619" t="s">
        <v>158</v>
      </c>
      <c r="D483" s="593"/>
      <c r="E483" s="594" t="s">
        <v>11</v>
      </c>
      <c r="F483" s="600">
        <v>2038631</v>
      </c>
      <c r="G483" s="597" t="s">
        <v>1515</v>
      </c>
      <c r="H483" s="597"/>
      <c r="I483" s="597"/>
      <c r="J483" s="597"/>
      <c r="K483" s="597"/>
      <c r="L483" s="597"/>
      <c r="M483" s="597"/>
      <c r="N483" s="599"/>
    </row>
    <row r="484" spans="2:14">
      <c r="B484" s="582">
        <f t="shared" si="7"/>
        <v>474</v>
      </c>
      <c r="C484" s="619" t="s">
        <v>160</v>
      </c>
      <c r="D484" s="593"/>
      <c r="E484" s="594" t="s">
        <v>11</v>
      </c>
      <c r="F484" s="600">
        <v>1089083</v>
      </c>
      <c r="G484" s="597" t="s">
        <v>1515</v>
      </c>
      <c r="H484" s="597"/>
      <c r="I484" s="597"/>
      <c r="J484" s="597"/>
      <c r="K484" s="597"/>
      <c r="L484" s="597"/>
      <c r="M484" s="597"/>
      <c r="N484" s="599"/>
    </row>
    <row r="485" spans="2:14">
      <c r="B485" s="582">
        <f t="shared" si="7"/>
        <v>475</v>
      </c>
      <c r="C485" s="619" t="s">
        <v>162</v>
      </c>
      <c r="D485" s="593"/>
      <c r="E485" s="594" t="s">
        <v>11</v>
      </c>
      <c r="F485" s="600">
        <v>1816904</v>
      </c>
      <c r="G485" s="597" t="s">
        <v>1515</v>
      </c>
      <c r="H485" s="597"/>
      <c r="I485" s="597"/>
      <c r="J485" s="597"/>
      <c r="K485" s="597"/>
      <c r="L485" s="597"/>
      <c r="M485" s="597"/>
      <c r="N485" s="599"/>
    </row>
    <row r="486" spans="2:14">
      <c r="B486" s="582">
        <f t="shared" si="7"/>
        <v>476</v>
      </c>
      <c r="C486" s="619" t="s">
        <v>164</v>
      </c>
      <c r="D486" s="593"/>
      <c r="E486" s="594" t="s">
        <v>11</v>
      </c>
      <c r="F486" s="600">
        <v>1790108</v>
      </c>
      <c r="G486" s="597" t="s">
        <v>1515</v>
      </c>
      <c r="H486" s="597"/>
      <c r="I486" s="597"/>
      <c r="J486" s="597"/>
      <c r="K486" s="597"/>
      <c r="L486" s="597"/>
      <c r="M486" s="597"/>
      <c r="N486" s="599"/>
    </row>
    <row r="487" spans="2:14">
      <c r="B487" s="582">
        <f t="shared" si="7"/>
        <v>477</v>
      </c>
      <c r="C487" s="619" t="s">
        <v>166</v>
      </c>
      <c r="D487" s="593"/>
      <c r="E487" s="594" t="s">
        <v>11</v>
      </c>
      <c r="F487" s="600">
        <v>6346264</v>
      </c>
      <c r="G487" s="597" t="s">
        <v>1515</v>
      </c>
      <c r="H487" s="597"/>
      <c r="I487" s="597"/>
      <c r="J487" s="597"/>
      <c r="K487" s="597"/>
      <c r="L487" s="597"/>
      <c r="M487" s="597"/>
      <c r="N487" s="599"/>
    </row>
    <row r="488" spans="2:14">
      <c r="B488" s="582">
        <f t="shared" si="7"/>
        <v>478</v>
      </c>
      <c r="C488" s="619" t="s">
        <v>168</v>
      </c>
      <c r="D488" s="593"/>
      <c r="E488" s="594" t="s">
        <v>11</v>
      </c>
      <c r="F488" s="600">
        <v>10569338</v>
      </c>
      <c r="G488" s="597" t="s">
        <v>1515</v>
      </c>
      <c r="H488" s="597"/>
      <c r="I488" s="597"/>
      <c r="J488" s="597"/>
      <c r="K488" s="597"/>
      <c r="L488" s="597"/>
      <c r="M488" s="597"/>
      <c r="N488" s="599"/>
    </row>
    <row r="489" spans="2:14">
      <c r="B489" s="582">
        <f t="shared" si="7"/>
        <v>479</v>
      </c>
      <c r="C489" s="619" t="s">
        <v>170</v>
      </c>
      <c r="D489" s="593" t="s">
        <v>2010</v>
      </c>
      <c r="E489" s="594" t="s">
        <v>36</v>
      </c>
      <c r="F489" s="600">
        <v>3750704</v>
      </c>
      <c r="G489" s="597" t="s">
        <v>1515</v>
      </c>
      <c r="H489" s="597"/>
      <c r="I489" s="597"/>
      <c r="J489" s="597"/>
      <c r="K489" s="597"/>
      <c r="L489" s="597"/>
      <c r="M489" s="597"/>
      <c r="N489" s="599"/>
    </row>
    <row r="490" spans="2:14">
      <c r="B490" s="582">
        <f t="shared" si="7"/>
        <v>480</v>
      </c>
      <c r="C490" s="619" t="s">
        <v>172</v>
      </c>
      <c r="D490" s="593"/>
      <c r="E490" s="594" t="s">
        <v>11</v>
      </c>
      <c r="F490" s="600">
        <v>2720853</v>
      </c>
      <c r="G490" s="597" t="s">
        <v>1515</v>
      </c>
      <c r="H490" s="597"/>
      <c r="I490" s="597"/>
      <c r="J490" s="597"/>
      <c r="K490" s="597"/>
      <c r="L490" s="597"/>
      <c r="M490" s="597"/>
      <c r="N490" s="599"/>
    </row>
    <row r="491" spans="2:14" ht="29">
      <c r="B491" s="582">
        <f t="shared" si="7"/>
        <v>481</v>
      </c>
      <c r="C491" s="619" t="s">
        <v>174</v>
      </c>
      <c r="D491" s="593"/>
      <c r="E491" s="594" t="s">
        <v>11</v>
      </c>
      <c r="F491" s="600">
        <v>1132486</v>
      </c>
      <c r="G491" s="597" t="s">
        <v>1515</v>
      </c>
      <c r="H491" s="597"/>
      <c r="I491" s="597"/>
      <c r="J491" s="597"/>
      <c r="K491" s="597"/>
      <c r="L491" s="597"/>
      <c r="M491" s="597"/>
      <c r="N491" s="599"/>
    </row>
    <row r="492" spans="2:14" ht="29">
      <c r="B492" s="582">
        <f t="shared" si="7"/>
        <v>482</v>
      </c>
      <c r="C492" s="619" t="s">
        <v>176</v>
      </c>
      <c r="D492" s="593"/>
      <c r="E492" s="594" t="s">
        <v>11</v>
      </c>
      <c r="F492" s="600">
        <v>309991</v>
      </c>
      <c r="G492" s="597" t="s">
        <v>1515</v>
      </c>
      <c r="H492" s="597"/>
      <c r="I492" s="597"/>
      <c r="J492" s="597"/>
      <c r="K492" s="597"/>
      <c r="L492" s="597"/>
      <c r="M492" s="597"/>
      <c r="N492" s="599"/>
    </row>
    <row r="493" spans="2:14" ht="29">
      <c r="B493" s="582">
        <f t="shared" si="7"/>
        <v>483</v>
      </c>
      <c r="C493" s="619" t="s">
        <v>178</v>
      </c>
      <c r="D493" s="593"/>
      <c r="E493" s="594" t="s">
        <v>11</v>
      </c>
      <c r="F493" s="600">
        <v>2651860</v>
      </c>
      <c r="G493" s="597" t="s">
        <v>1515</v>
      </c>
      <c r="H493" s="597"/>
      <c r="I493" s="597"/>
      <c r="J493" s="597"/>
      <c r="K493" s="597"/>
      <c r="L493" s="597"/>
      <c r="M493" s="597"/>
      <c r="N493" s="599"/>
    </row>
    <row r="494" spans="2:14" ht="29">
      <c r="B494" s="582">
        <f t="shared" si="7"/>
        <v>484</v>
      </c>
      <c r="C494" s="619" t="s">
        <v>180</v>
      </c>
      <c r="D494" s="593"/>
      <c r="E494" s="594" t="s">
        <v>11</v>
      </c>
      <c r="F494" s="600">
        <v>3850393</v>
      </c>
      <c r="G494" s="597" t="s">
        <v>1515</v>
      </c>
      <c r="H494" s="597"/>
      <c r="I494" s="597"/>
      <c r="J494" s="597"/>
      <c r="K494" s="597"/>
      <c r="L494" s="597"/>
      <c r="M494" s="597"/>
      <c r="N494" s="599"/>
    </row>
    <row r="495" spans="2:14" ht="29">
      <c r="B495" s="582">
        <f t="shared" si="7"/>
        <v>485</v>
      </c>
      <c r="C495" s="619" t="s">
        <v>182</v>
      </c>
      <c r="D495" s="593"/>
      <c r="E495" s="594" t="s">
        <v>11</v>
      </c>
      <c r="F495" s="600">
        <v>5119119</v>
      </c>
      <c r="G495" s="597" t="s">
        <v>1515</v>
      </c>
      <c r="H495" s="597"/>
      <c r="I495" s="597"/>
      <c r="J495" s="597"/>
      <c r="K495" s="597"/>
      <c r="L495" s="597"/>
      <c r="M495" s="597"/>
      <c r="N495" s="599"/>
    </row>
    <row r="496" spans="2:14">
      <c r="B496" s="582">
        <f t="shared" si="7"/>
        <v>486</v>
      </c>
      <c r="C496" s="619" t="s">
        <v>184</v>
      </c>
      <c r="D496" s="593"/>
      <c r="E496" s="594" t="s">
        <v>11</v>
      </c>
      <c r="F496" s="600">
        <v>5768280</v>
      </c>
      <c r="G496" s="597" t="s">
        <v>1515</v>
      </c>
      <c r="H496" s="597"/>
      <c r="I496" s="597"/>
      <c r="J496" s="597"/>
      <c r="K496" s="597"/>
      <c r="L496" s="597"/>
      <c r="M496" s="597"/>
      <c r="N496" s="599"/>
    </row>
    <row r="497" spans="2:14">
      <c r="B497" s="582">
        <f t="shared" si="7"/>
        <v>487</v>
      </c>
      <c r="C497" s="619" t="s">
        <v>186</v>
      </c>
      <c r="D497" s="593"/>
      <c r="E497" s="594" t="s">
        <v>11</v>
      </c>
      <c r="F497" s="600">
        <v>1967901</v>
      </c>
      <c r="G497" s="597" t="s">
        <v>1515</v>
      </c>
      <c r="H497" s="597"/>
      <c r="I497" s="597"/>
      <c r="J497" s="597"/>
      <c r="K497" s="597"/>
      <c r="L497" s="597"/>
      <c r="M497" s="597"/>
      <c r="N497" s="599"/>
    </row>
    <row r="498" spans="2:14">
      <c r="B498" s="582">
        <f t="shared" si="7"/>
        <v>488</v>
      </c>
      <c r="C498" s="619" t="s">
        <v>188</v>
      </c>
      <c r="D498" s="593"/>
      <c r="E498" s="594" t="s">
        <v>11</v>
      </c>
      <c r="F498" s="600">
        <v>6683770</v>
      </c>
      <c r="G498" s="597" t="s">
        <v>1515</v>
      </c>
      <c r="H498" s="597"/>
      <c r="I498" s="597"/>
      <c r="J498" s="597"/>
      <c r="K498" s="597"/>
      <c r="L498" s="597"/>
      <c r="M498" s="597"/>
      <c r="N498" s="599"/>
    </row>
    <row r="499" spans="2:14">
      <c r="B499" s="582">
        <f t="shared" si="7"/>
        <v>489</v>
      </c>
      <c r="C499" s="619" t="s">
        <v>190</v>
      </c>
      <c r="D499" s="593"/>
      <c r="E499" s="594" t="s">
        <v>11</v>
      </c>
      <c r="F499" s="600">
        <v>388816</v>
      </c>
      <c r="G499" s="597" t="s">
        <v>1515</v>
      </c>
      <c r="H499" s="597"/>
      <c r="I499" s="597"/>
      <c r="J499" s="597"/>
      <c r="K499" s="597"/>
      <c r="L499" s="597"/>
      <c r="M499" s="597"/>
      <c r="N499" s="599"/>
    </row>
    <row r="500" spans="2:14">
      <c r="B500" s="582">
        <f t="shared" si="7"/>
        <v>490</v>
      </c>
      <c r="C500" s="619" t="s">
        <v>192</v>
      </c>
      <c r="D500" s="593"/>
      <c r="E500" s="594" t="s">
        <v>11</v>
      </c>
      <c r="F500" s="600">
        <v>2488318</v>
      </c>
      <c r="G500" s="597" t="s">
        <v>1515</v>
      </c>
      <c r="H500" s="597"/>
      <c r="I500" s="597"/>
      <c r="J500" s="597"/>
      <c r="K500" s="597"/>
      <c r="L500" s="597"/>
      <c r="M500" s="597"/>
      <c r="N500" s="599"/>
    </row>
    <row r="501" spans="2:14">
      <c r="B501" s="582">
        <f t="shared" si="7"/>
        <v>491</v>
      </c>
      <c r="C501" s="619" t="s">
        <v>194</v>
      </c>
      <c r="D501" s="593"/>
      <c r="E501" s="594" t="s">
        <v>11</v>
      </c>
      <c r="F501" s="600">
        <v>1187034</v>
      </c>
      <c r="G501" s="597" t="s">
        <v>1515</v>
      </c>
      <c r="H501" s="597"/>
      <c r="I501" s="597"/>
      <c r="J501" s="597"/>
      <c r="K501" s="597"/>
      <c r="L501" s="597"/>
      <c r="M501" s="597"/>
      <c r="N501" s="599"/>
    </row>
    <row r="502" spans="2:14">
      <c r="B502" s="582">
        <f t="shared" si="7"/>
        <v>492</v>
      </c>
      <c r="C502" s="619" t="s">
        <v>2017</v>
      </c>
      <c r="D502" s="593"/>
      <c r="G502" s="597" t="s">
        <v>1515</v>
      </c>
      <c r="H502" s="597"/>
      <c r="I502" s="597"/>
      <c r="J502" s="597"/>
      <c r="K502" s="597"/>
      <c r="L502" s="597"/>
      <c r="M502" s="597"/>
      <c r="N502" s="599"/>
    </row>
    <row r="503" spans="2:14" ht="29">
      <c r="B503" s="582">
        <f t="shared" si="7"/>
        <v>493</v>
      </c>
      <c r="C503" s="619" t="s">
        <v>196</v>
      </c>
      <c r="D503" s="593"/>
      <c r="E503" s="594" t="s">
        <v>11</v>
      </c>
      <c r="F503" s="600">
        <v>52064</v>
      </c>
      <c r="G503" s="597" t="s">
        <v>1515</v>
      </c>
      <c r="H503" s="597"/>
      <c r="I503" s="597"/>
      <c r="J503" s="597"/>
      <c r="K503" s="597"/>
      <c r="L503" s="597"/>
      <c r="M503" s="597"/>
      <c r="N503" s="599"/>
    </row>
    <row r="504" spans="2:14">
      <c r="B504" s="582">
        <f t="shared" si="7"/>
        <v>494</v>
      </c>
      <c r="C504" s="619" t="s">
        <v>198</v>
      </c>
      <c r="D504" s="593"/>
      <c r="E504" s="594" t="s">
        <v>11</v>
      </c>
      <c r="F504" s="600">
        <v>2235655</v>
      </c>
      <c r="G504" s="597" t="s">
        <v>1515</v>
      </c>
      <c r="H504" s="597"/>
      <c r="I504" s="597"/>
      <c r="J504" s="597"/>
      <c r="K504" s="597"/>
      <c r="L504" s="597"/>
      <c r="M504" s="597"/>
      <c r="N504" s="599"/>
    </row>
    <row r="505" spans="2:14">
      <c r="B505" s="582">
        <f t="shared" si="7"/>
        <v>495</v>
      </c>
      <c r="C505" s="619" t="s">
        <v>201</v>
      </c>
      <c r="D505" s="593"/>
      <c r="E505" s="594" t="s">
        <v>11</v>
      </c>
      <c r="F505" s="600">
        <v>1825369</v>
      </c>
      <c r="G505" s="597" t="s">
        <v>1515</v>
      </c>
      <c r="H505" s="597"/>
      <c r="I505" s="597"/>
      <c r="J505" s="597"/>
      <c r="K505" s="597"/>
      <c r="L505" s="597"/>
      <c r="M505" s="597"/>
      <c r="N505" s="599"/>
    </row>
    <row r="506" spans="2:14">
      <c r="B506" s="582">
        <f t="shared" si="7"/>
        <v>496</v>
      </c>
      <c r="C506" s="619" t="s">
        <v>203</v>
      </c>
      <c r="D506" s="593"/>
      <c r="E506" s="594" t="s">
        <v>11</v>
      </c>
      <c r="F506" s="600">
        <v>1938353</v>
      </c>
      <c r="G506" s="597" t="s">
        <v>1515</v>
      </c>
      <c r="H506" s="597"/>
      <c r="I506" s="597"/>
      <c r="J506" s="597"/>
      <c r="K506" s="597"/>
      <c r="L506" s="597"/>
      <c r="M506" s="597"/>
      <c r="N506" s="599"/>
    </row>
    <row r="507" spans="2:14">
      <c r="B507" s="582">
        <f t="shared" si="7"/>
        <v>497</v>
      </c>
      <c r="C507" s="619" t="s">
        <v>205</v>
      </c>
      <c r="D507" s="593"/>
      <c r="E507" s="594" t="s">
        <v>11</v>
      </c>
      <c r="F507" s="600">
        <v>3217192</v>
      </c>
      <c r="G507" s="597" t="s">
        <v>1515</v>
      </c>
      <c r="H507" s="597"/>
      <c r="I507" s="597"/>
      <c r="J507" s="597"/>
      <c r="K507" s="597"/>
      <c r="L507" s="597"/>
      <c r="M507" s="597"/>
      <c r="N507" s="599"/>
    </row>
    <row r="508" spans="2:14" ht="29">
      <c r="B508" s="582">
        <f t="shared" si="7"/>
        <v>498</v>
      </c>
      <c r="C508" s="619" t="s">
        <v>207</v>
      </c>
      <c r="D508" s="593"/>
      <c r="E508" s="594" t="s">
        <v>11</v>
      </c>
      <c r="F508" s="600">
        <v>277897</v>
      </c>
      <c r="G508" s="597" t="s">
        <v>1515</v>
      </c>
      <c r="H508" s="597"/>
      <c r="I508" s="597"/>
      <c r="J508" s="597"/>
      <c r="K508" s="597"/>
      <c r="L508" s="597"/>
      <c r="M508" s="597"/>
      <c r="N508" s="599"/>
    </row>
    <row r="509" spans="2:14">
      <c r="B509" s="582">
        <f t="shared" si="7"/>
        <v>499</v>
      </c>
      <c r="C509" s="619" t="s">
        <v>209</v>
      </c>
      <c r="D509" s="593"/>
      <c r="E509" s="594" t="s">
        <v>11</v>
      </c>
      <c r="F509" s="600">
        <v>6743203</v>
      </c>
      <c r="G509" s="597" t="s">
        <v>1515</v>
      </c>
      <c r="H509" s="597"/>
      <c r="I509" s="597"/>
      <c r="J509" s="597"/>
      <c r="K509" s="597"/>
      <c r="L509" s="597"/>
      <c r="M509" s="597"/>
      <c r="N509" s="599"/>
    </row>
    <row r="510" spans="2:14">
      <c r="B510" s="582">
        <f t="shared" si="7"/>
        <v>500</v>
      </c>
      <c r="C510" s="619" t="s">
        <v>211</v>
      </c>
      <c r="D510" s="593" t="s">
        <v>2016</v>
      </c>
      <c r="E510" s="594" t="s">
        <v>36</v>
      </c>
      <c r="F510" s="600">
        <v>1084858</v>
      </c>
      <c r="G510" s="597" t="s">
        <v>1515</v>
      </c>
      <c r="H510" s="597" t="s">
        <v>1515</v>
      </c>
      <c r="I510" s="597"/>
      <c r="J510" s="597"/>
      <c r="K510" s="597"/>
      <c r="L510" s="597"/>
      <c r="M510" s="597"/>
      <c r="N510" s="599"/>
    </row>
    <row r="511" spans="2:14">
      <c r="B511" s="582">
        <f t="shared" si="7"/>
        <v>501</v>
      </c>
      <c r="C511" s="619" t="s">
        <v>213</v>
      </c>
      <c r="D511" s="593"/>
      <c r="E511" s="594" t="s">
        <v>11</v>
      </c>
      <c r="F511" s="600">
        <v>3485236</v>
      </c>
      <c r="G511" s="597" t="s">
        <v>1515</v>
      </c>
      <c r="H511" s="597"/>
      <c r="I511" s="597"/>
      <c r="J511" s="597"/>
      <c r="K511" s="597"/>
      <c r="L511" s="597"/>
      <c r="M511" s="597"/>
      <c r="N511" s="599"/>
    </row>
    <row r="512" spans="2:14">
      <c r="B512" s="582">
        <f t="shared" si="7"/>
        <v>502</v>
      </c>
      <c r="C512" s="619" t="s">
        <v>215</v>
      </c>
      <c r="D512" s="593"/>
      <c r="E512" s="594" t="s">
        <v>11</v>
      </c>
      <c r="F512" s="600">
        <v>1527895</v>
      </c>
      <c r="G512" s="597" t="s">
        <v>1515</v>
      </c>
      <c r="H512" s="597"/>
      <c r="I512" s="597"/>
      <c r="J512" s="597"/>
      <c r="K512" s="597"/>
      <c r="L512" s="597"/>
      <c r="M512" s="597"/>
      <c r="N512" s="599"/>
    </row>
    <row r="513" spans="1:14">
      <c r="B513" s="582">
        <f t="shared" si="7"/>
        <v>503</v>
      </c>
      <c r="C513" s="619" t="s">
        <v>2018</v>
      </c>
      <c r="D513" s="593" t="s">
        <v>2013</v>
      </c>
      <c r="E513" s="594" t="s">
        <v>36</v>
      </c>
      <c r="F513" s="600">
        <v>4497482</v>
      </c>
      <c r="G513" s="597" t="s">
        <v>1515</v>
      </c>
      <c r="H513" s="597"/>
      <c r="I513" s="597"/>
      <c r="J513" s="597"/>
      <c r="K513" s="597"/>
      <c r="L513" s="597"/>
      <c r="M513" s="597"/>
      <c r="N513" s="599"/>
    </row>
    <row r="514" spans="1:14" ht="43.5">
      <c r="B514" s="582">
        <f t="shared" si="7"/>
        <v>504</v>
      </c>
      <c r="C514" s="619" t="s">
        <v>219</v>
      </c>
      <c r="D514" s="593"/>
      <c r="E514" s="594" t="s">
        <v>11</v>
      </c>
      <c r="F514" s="600">
        <v>312931</v>
      </c>
      <c r="G514" s="597" t="s">
        <v>1515</v>
      </c>
      <c r="H514" s="597"/>
      <c r="I514" s="597"/>
      <c r="J514" s="597"/>
      <c r="K514" s="597"/>
      <c r="L514" s="597"/>
      <c r="M514" s="597"/>
      <c r="N514" s="599"/>
    </row>
    <row r="515" spans="1:14" ht="29">
      <c r="B515" s="582">
        <f t="shared" si="7"/>
        <v>505</v>
      </c>
      <c r="C515" s="619" t="s">
        <v>221</v>
      </c>
      <c r="D515" s="593"/>
      <c r="E515" s="594" t="s">
        <v>11</v>
      </c>
      <c r="F515" s="600">
        <v>7381220</v>
      </c>
      <c r="G515" s="597" t="s">
        <v>1515</v>
      </c>
      <c r="H515" s="597"/>
      <c r="I515" s="597"/>
      <c r="J515" s="597"/>
      <c r="K515" s="597"/>
      <c r="L515" s="597"/>
      <c r="M515" s="597"/>
      <c r="N515" s="599"/>
    </row>
    <row r="516" spans="1:14">
      <c r="B516" s="582">
        <f t="shared" si="7"/>
        <v>506</v>
      </c>
      <c r="C516" s="619" t="s">
        <v>223</v>
      </c>
      <c r="D516" s="593"/>
      <c r="E516" s="594" t="s">
        <v>11</v>
      </c>
      <c r="F516" s="600">
        <v>26679769</v>
      </c>
      <c r="G516" s="597" t="s">
        <v>1515</v>
      </c>
      <c r="H516" s="597"/>
      <c r="I516" s="597"/>
      <c r="J516" s="597"/>
      <c r="K516" s="597"/>
      <c r="L516" s="597"/>
      <c r="M516" s="597"/>
      <c r="N516" s="599"/>
    </row>
    <row r="517" spans="1:14">
      <c r="B517" s="582">
        <f t="shared" si="7"/>
        <v>507</v>
      </c>
      <c r="C517" s="619" t="s">
        <v>224</v>
      </c>
      <c r="D517" s="593"/>
      <c r="E517" s="594" t="s">
        <v>11</v>
      </c>
      <c r="F517" s="600">
        <v>992709</v>
      </c>
      <c r="G517" s="597" t="s">
        <v>1515</v>
      </c>
      <c r="H517" s="597"/>
      <c r="I517" s="597"/>
      <c r="J517" s="597"/>
      <c r="K517" s="597"/>
      <c r="L517" s="597"/>
      <c r="M517" s="597"/>
      <c r="N517" s="599"/>
    </row>
    <row r="518" spans="1:14">
      <c r="B518" s="582">
        <f t="shared" si="7"/>
        <v>508</v>
      </c>
      <c r="C518" s="619" t="s">
        <v>226</v>
      </c>
      <c r="D518" s="593"/>
      <c r="E518" s="594" t="s">
        <v>11</v>
      </c>
      <c r="F518" s="600">
        <v>17608556</v>
      </c>
      <c r="G518" s="597" t="s">
        <v>1515</v>
      </c>
      <c r="H518" s="597"/>
      <c r="I518" s="597"/>
      <c r="J518" s="597"/>
      <c r="K518" s="597"/>
      <c r="L518" s="597"/>
      <c r="M518" s="597"/>
      <c r="N518" s="599"/>
    </row>
    <row r="519" spans="1:14">
      <c r="B519" s="582">
        <f t="shared" ref="B519:B582" si="8">B518+1</f>
        <v>509</v>
      </c>
      <c r="C519" s="619" t="s">
        <v>228</v>
      </c>
      <c r="D519" s="593"/>
      <c r="E519" s="594" t="s">
        <v>11</v>
      </c>
      <c r="F519" s="600">
        <v>2783582</v>
      </c>
      <c r="G519" s="597" t="s">
        <v>1515</v>
      </c>
      <c r="H519" s="597"/>
      <c r="I519" s="597"/>
      <c r="J519" s="597"/>
      <c r="K519" s="597"/>
      <c r="L519" s="597"/>
      <c r="M519" s="597"/>
      <c r="N519" s="599"/>
    </row>
    <row r="520" spans="1:14">
      <c r="B520" s="582">
        <f t="shared" si="8"/>
        <v>510</v>
      </c>
      <c r="C520" s="619" t="s">
        <v>230</v>
      </c>
      <c r="D520" s="593"/>
      <c r="E520" s="594" t="s">
        <v>11</v>
      </c>
      <c r="F520" s="600">
        <v>4629316</v>
      </c>
      <c r="G520" s="597" t="s">
        <v>1515</v>
      </c>
      <c r="H520" s="597"/>
      <c r="I520" s="597"/>
      <c r="J520" s="597"/>
      <c r="K520" s="597"/>
      <c r="L520" s="597"/>
      <c r="M520" s="597"/>
      <c r="N520" s="599"/>
    </row>
    <row r="521" spans="1:14">
      <c r="B521" s="582">
        <f t="shared" si="8"/>
        <v>511</v>
      </c>
      <c r="C521" s="619" t="s">
        <v>232</v>
      </c>
      <c r="D521" s="593" t="s">
        <v>2010</v>
      </c>
      <c r="E521" s="594" t="s">
        <v>36</v>
      </c>
      <c r="F521" s="600">
        <v>2265163</v>
      </c>
      <c r="G521" s="597" t="s">
        <v>1515</v>
      </c>
      <c r="H521" s="597"/>
      <c r="I521" s="597"/>
      <c r="J521" s="597"/>
      <c r="K521" s="597"/>
      <c r="L521" s="597"/>
      <c r="M521" s="597"/>
      <c r="N521" s="599"/>
    </row>
    <row r="522" spans="1:14" ht="29">
      <c r="B522" s="582">
        <f t="shared" si="8"/>
        <v>512</v>
      </c>
      <c r="C522" s="619" t="s">
        <v>2019</v>
      </c>
      <c r="D522" s="593" t="s">
        <v>2374</v>
      </c>
      <c r="E522" s="594" t="s">
        <v>36</v>
      </c>
      <c r="F522" s="600">
        <v>0</v>
      </c>
      <c r="G522" s="597" t="s">
        <v>1515</v>
      </c>
      <c r="H522" s="597"/>
      <c r="I522" s="597"/>
      <c r="J522" s="597"/>
      <c r="K522" s="597"/>
      <c r="L522" s="597"/>
      <c r="M522" s="597"/>
      <c r="N522" s="599"/>
    </row>
    <row r="523" spans="1:14">
      <c r="B523" s="582">
        <f t="shared" si="8"/>
        <v>513</v>
      </c>
      <c r="C523" s="619"/>
      <c r="D523" s="593"/>
      <c r="G523" s="597"/>
      <c r="H523" s="597"/>
      <c r="I523" s="597"/>
      <c r="J523" s="597"/>
      <c r="K523" s="597"/>
      <c r="L523" s="597"/>
      <c r="M523" s="597"/>
      <c r="N523" s="599"/>
    </row>
    <row r="524" spans="1:14">
      <c r="B524" s="582">
        <f t="shared" si="8"/>
        <v>514</v>
      </c>
      <c r="C524" s="618" t="s">
        <v>2020</v>
      </c>
      <c r="D524" s="593"/>
      <c r="G524" s="597"/>
      <c r="H524" s="597"/>
      <c r="I524" s="597"/>
      <c r="J524" s="597"/>
      <c r="K524" s="597"/>
      <c r="L524" s="597"/>
      <c r="M524" s="597"/>
      <c r="N524" s="599"/>
    </row>
    <row r="525" spans="1:14">
      <c r="A525" s="562" t="s">
        <v>467</v>
      </c>
      <c r="B525" s="582">
        <f t="shared" si="8"/>
        <v>515</v>
      </c>
      <c r="C525" s="592" t="s">
        <v>2021</v>
      </c>
      <c r="D525" s="593" t="s">
        <v>2022</v>
      </c>
      <c r="E525" s="594" t="s">
        <v>11</v>
      </c>
      <c r="F525" s="600">
        <v>1286118</v>
      </c>
      <c r="G525" s="597" t="s">
        <v>1515</v>
      </c>
      <c r="H525" s="597"/>
      <c r="I525" s="597"/>
      <c r="J525" s="597"/>
      <c r="K525" s="597"/>
      <c r="L525" s="597"/>
      <c r="M525" s="597"/>
      <c r="N525" s="599"/>
    </row>
    <row r="526" spans="1:14">
      <c r="A526" s="562" t="s">
        <v>469</v>
      </c>
      <c r="B526" s="582">
        <f t="shared" si="8"/>
        <v>516</v>
      </c>
      <c r="C526" s="592" t="s">
        <v>2023</v>
      </c>
      <c r="D526" s="593" t="s">
        <v>2024</v>
      </c>
      <c r="E526" s="594" t="s">
        <v>11</v>
      </c>
      <c r="F526" s="600">
        <v>810134</v>
      </c>
      <c r="G526" s="597" t="s">
        <v>1515</v>
      </c>
      <c r="H526" s="597"/>
      <c r="I526" s="597"/>
      <c r="J526" s="597"/>
      <c r="K526" s="597"/>
      <c r="L526" s="597"/>
      <c r="M526" s="597"/>
      <c r="N526" s="599"/>
    </row>
    <row r="527" spans="1:14">
      <c r="A527" s="562" t="s">
        <v>489</v>
      </c>
      <c r="B527" s="582">
        <f t="shared" si="8"/>
        <v>517</v>
      </c>
      <c r="C527" s="592" t="s">
        <v>2025</v>
      </c>
      <c r="D527" s="593" t="s">
        <v>2026</v>
      </c>
      <c r="E527" s="594" t="s">
        <v>11</v>
      </c>
      <c r="F527" s="600">
        <v>180660</v>
      </c>
      <c r="G527" s="597" t="s">
        <v>1515</v>
      </c>
      <c r="H527" s="597"/>
      <c r="I527" s="597"/>
      <c r="J527" s="597"/>
      <c r="K527" s="597"/>
      <c r="L527" s="597"/>
      <c r="M527" s="597"/>
      <c r="N527" s="599"/>
    </row>
    <row r="528" spans="1:14">
      <c r="A528" s="562" t="s">
        <v>491</v>
      </c>
      <c r="B528" s="582">
        <f t="shared" si="8"/>
        <v>518</v>
      </c>
      <c r="C528" s="592" t="s">
        <v>2027</v>
      </c>
      <c r="D528" s="593" t="s">
        <v>1661</v>
      </c>
      <c r="E528" s="594" t="s">
        <v>11</v>
      </c>
      <c r="F528" s="600">
        <v>851881</v>
      </c>
      <c r="G528" s="597" t="s">
        <v>1515</v>
      </c>
      <c r="H528" s="597"/>
      <c r="I528" s="597"/>
      <c r="J528" s="597"/>
      <c r="K528" s="597"/>
      <c r="L528" s="597"/>
      <c r="M528" s="597"/>
      <c r="N528" s="599"/>
    </row>
    <row r="529" spans="1:14">
      <c r="A529" s="562" t="s">
        <v>493</v>
      </c>
      <c r="B529" s="582">
        <f t="shared" si="8"/>
        <v>519</v>
      </c>
      <c r="C529" s="592" t="s">
        <v>2028</v>
      </c>
      <c r="D529" s="593" t="s">
        <v>2029</v>
      </c>
      <c r="E529" s="594" t="s">
        <v>11</v>
      </c>
      <c r="F529" s="600">
        <v>951783</v>
      </c>
      <c r="G529" s="597" t="s">
        <v>1515</v>
      </c>
      <c r="H529" s="597"/>
      <c r="I529" s="597"/>
      <c r="J529" s="597"/>
      <c r="K529" s="597"/>
      <c r="L529" s="597"/>
      <c r="M529" s="597"/>
      <c r="N529" s="599"/>
    </row>
    <row r="530" spans="1:14">
      <c r="A530" s="562" t="s">
        <v>495</v>
      </c>
      <c r="B530" s="582">
        <f t="shared" si="8"/>
        <v>520</v>
      </c>
      <c r="C530" s="592" t="s">
        <v>2030</v>
      </c>
      <c r="D530" s="593" t="s">
        <v>2031</v>
      </c>
      <c r="E530" s="594" t="s">
        <v>11</v>
      </c>
      <c r="F530" s="600">
        <v>22102</v>
      </c>
      <c r="G530" s="597" t="s">
        <v>1515</v>
      </c>
      <c r="H530" s="597"/>
      <c r="I530" s="597"/>
      <c r="J530" s="597"/>
      <c r="K530" s="597"/>
      <c r="L530" s="597"/>
      <c r="M530" s="597"/>
      <c r="N530" s="599"/>
    </row>
    <row r="531" spans="1:14">
      <c r="A531" s="562" t="s">
        <v>499</v>
      </c>
      <c r="B531" s="582">
        <f t="shared" si="8"/>
        <v>521</v>
      </c>
      <c r="C531" s="592" t="s">
        <v>2032</v>
      </c>
      <c r="D531" s="593" t="s">
        <v>2033</v>
      </c>
      <c r="E531" s="594" t="s">
        <v>11</v>
      </c>
      <c r="F531" s="600">
        <v>336089</v>
      </c>
      <c r="G531" s="597" t="s">
        <v>1515</v>
      </c>
      <c r="H531" s="597"/>
      <c r="I531" s="597"/>
      <c r="J531" s="597"/>
      <c r="K531" s="597"/>
      <c r="L531" s="597"/>
      <c r="M531" s="597"/>
      <c r="N531" s="599"/>
    </row>
    <row r="532" spans="1:14">
      <c r="A532" s="562" t="s">
        <v>501</v>
      </c>
      <c r="B532" s="582">
        <f t="shared" si="8"/>
        <v>522</v>
      </c>
      <c r="C532" s="592" t="s">
        <v>2034</v>
      </c>
      <c r="D532" s="593" t="s">
        <v>2035</v>
      </c>
      <c r="E532" s="594" t="s">
        <v>36</v>
      </c>
      <c r="F532" s="600">
        <v>166306</v>
      </c>
      <c r="G532" s="597" t="s">
        <v>1515</v>
      </c>
      <c r="H532" s="597" t="s">
        <v>1515</v>
      </c>
      <c r="I532" s="597"/>
      <c r="J532" s="597"/>
      <c r="K532" s="597"/>
      <c r="L532" s="597"/>
      <c r="M532" s="597"/>
      <c r="N532" s="599" t="s">
        <v>2036</v>
      </c>
    </row>
    <row r="533" spans="1:14">
      <c r="A533" s="562" t="s">
        <v>503</v>
      </c>
      <c r="B533" s="582">
        <f t="shared" si="8"/>
        <v>523</v>
      </c>
      <c r="C533" s="592" t="s">
        <v>2037</v>
      </c>
      <c r="D533" s="593" t="s">
        <v>1613</v>
      </c>
      <c r="E533" s="594" t="s">
        <v>11</v>
      </c>
      <c r="F533" s="600">
        <v>232375</v>
      </c>
      <c r="G533" s="597" t="s">
        <v>1515</v>
      </c>
      <c r="H533" s="597"/>
      <c r="I533" s="597"/>
      <c r="J533" s="597"/>
      <c r="K533" s="597"/>
      <c r="L533" s="597"/>
      <c r="M533" s="597"/>
      <c r="N533" s="599"/>
    </row>
    <row r="534" spans="1:14">
      <c r="B534" s="582">
        <f t="shared" si="8"/>
        <v>524</v>
      </c>
      <c r="D534" s="593"/>
      <c r="G534" s="597"/>
      <c r="H534" s="597"/>
      <c r="I534" s="597"/>
      <c r="J534" s="597"/>
      <c r="K534" s="597"/>
      <c r="L534" s="597"/>
      <c r="M534" s="597"/>
      <c r="N534" s="599"/>
    </row>
    <row r="535" spans="1:14" ht="29">
      <c r="B535" s="582">
        <f t="shared" si="8"/>
        <v>525</v>
      </c>
      <c r="C535" s="583" t="s">
        <v>2038</v>
      </c>
      <c r="D535" s="593"/>
      <c r="G535" s="597"/>
      <c r="H535" s="597"/>
      <c r="I535" s="597"/>
      <c r="J535" s="597"/>
      <c r="K535" s="597"/>
      <c r="L535" s="597"/>
      <c r="M535" s="597"/>
      <c r="N535" s="599"/>
    </row>
    <row r="536" spans="1:14">
      <c r="B536" s="582">
        <f t="shared" si="8"/>
        <v>526</v>
      </c>
      <c r="C536" s="592" t="s">
        <v>513</v>
      </c>
      <c r="D536" s="593"/>
      <c r="E536" s="594" t="s">
        <v>11</v>
      </c>
      <c r="F536" s="600">
        <v>3488667</v>
      </c>
      <c r="G536" s="597"/>
      <c r="H536" s="597"/>
      <c r="I536" s="597"/>
      <c r="J536" s="597" t="s">
        <v>1515</v>
      </c>
      <c r="K536" s="597"/>
      <c r="L536" s="597"/>
      <c r="M536" s="597"/>
      <c r="N536" s="599"/>
    </row>
    <row r="537" spans="1:14">
      <c r="B537" s="582">
        <f t="shared" si="8"/>
        <v>527</v>
      </c>
      <c r="C537" s="592" t="s">
        <v>515</v>
      </c>
      <c r="D537" s="593"/>
      <c r="E537" s="594" t="s">
        <v>11</v>
      </c>
      <c r="F537" s="600">
        <v>9536492</v>
      </c>
      <c r="G537" s="597"/>
      <c r="H537" s="597"/>
      <c r="I537" s="597"/>
      <c r="J537" s="597" t="s">
        <v>1515</v>
      </c>
      <c r="K537" s="597"/>
      <c r="L537" s="597"/>
      <c r="M537" s="597"/>
      <c r="N537" s="599"/>
    </row>
    <row r="538" spans="1:14">
      <c r="B538" s="582">
        <f t="shared" si="8"/>
        <v>528</v>
      </c>
      <c r="C538" s="592" t="s">
        <v>517</v>
      </c>
      <c r="D538" s="593"/>
      <c r="E538" s="594" t="s">
        <v>11</v>
      </c>
      <c r="F538" s="600">
        <v>3934438</v>
      </c>
      <c r="G538" s="597"/>
      <c r="H538" s="597"/>
      <c r="I538" s="597"/>
      <c r="J538" s="597" t="s">
        <v>1515</v>
      </c>
      <c r="K538" s="597"/>
      <c r="L538" s="597"/>
      <c r="M538" s="597"/>
      <c r="N538" s="599"/>
    </row>
    <row r="539" spans="1:14">
      <c r="B539" s="582">
        <f t="shared" si="8"/>
        <v>529</v>
      </c>
      <c r="C539" s="592" t="s">
        <v>519</v>
      </c>
      <c r="D539" s="593"/>
      <c r="E539" s="594" t="s">
        <v>11</v>
      </c>
      <c r="F539" s="600">
        <v>3852064</v>
      </c>
      <c r="G539" s="597"/>
      <c r="H539" s="597"/>
      <c r="I539" s="597"/>
      <c r="J539" s="597" t="s">
        <v>1515</v>
      </c>
      <c r="K539" s="597"/>
      <c r="L539" s="597"/>
      <c r="M539" s="597"/>
      <c r="N539" s="599"/>
    </row>
    <row r="540" spans="1:14" ht="29">
      <c r="B540" s="582">
        <f t="shared" si="8"/>
        <v>530</v>
      </c>
      <c r="C540" s="592" t="s">
        <v>521</v>
      </c>
      <c r="D540" s="593"/>
      <c r="E540" s="594" t="s">
        <v>11</v>
      </c>
      <c r="F540" s="600">
        <v>2040287</v>
      </c>
      <c r="G540" s="597"/>
      <c r="H540" s="597"/>
      <c r="I540" s="597"/>
      <c r="J540" s="597" t="s">
        <v>1515</v>
      </c>
      <c r="K540" s="597"/>
      <c r="L540" s="597"/>
      <c r="M540" s="597"/>
      <c r="N540" s="599"/>
    </row>
    <row r="541" spans="1:14">
      <c r="B541" s="582">
        <f t="shared" si="8"/>
        <v>531</v>
      </c>
      <c r="C541" s="592" t="s">
        <v>523</v>
      </c>
      <c r="D541" s="593"/>
      <c r="E541" s="594" t="s">
        <v>11</v>
      </c>
      <c r="F541" s="600">
        <v>794673</v>
      </c>
      <c r="G541" s="597"/>
      <c r="H541" s="597"/>
      <c r="I541" s="597"/>
      <c r="J541" s="597" t="s">
        <v>1515</v>
      </c>
      <c r="K541" s="597"/>
      <c r="L541" s="597"/>
      <c r="M541" s="597"/>
      <c r="N541" s="599"/>
    </row>
    <row r="542" spans="1:14">
      <c r="B542" s="582">
        <f t="shared" si="8"/>
        <v>532</v>
      </c>
      <c r="C542" s="592" t="s">
        <v>525</v>
      </c>
      <c r="D542" s="593"/>
      <c r="E542" s="594" t="s">
        <v>11</v>
      </c>
      <c r="F542" s="600">
        <v>5626463</v>
      </c>
      <c r="G542" s="597"/>
      <c r="H542" s="597"/>
      <c r="I542" s="597"/>
      <c r="J542" s="597" t="s">
        <v>1515</v>
      </c>
      <c r="K542" s="597"/>
      <c r="L542" s="597"/>
      <c r="M542" s="597"/>
      <c r="N542" s="599"/>
    </row>
    <row r="543" spans="1:14">
      <c r="B543" s="582">
        <f t="shared" si="8"/>
        <v>533</v>
      </c>
      <c r="C543" s="592" t="s">
        <v>527</v>
      </c>
      <c r="D543" s="593"/>
      <c r="E543" s="594" t="s">
        <v>11</v>
      </c>
      <c r="F543" s="600">
        <v>315000</v>
      </c>
      <c r="G543" s="597"/>
      <c r="H543" s="597"/>
      <c r="I543" s="597"/>
      <c r="J543" s="597" t="s">
        <v>1515</v>
      </c>
      <c r="K543" s="597"/>
      <c r="L543" s="597"/>
      <c r="M543" s="597"/>
      <c r="N543" s="599"/>
    </row>
    <row r="544" spans="1:14">
      <c r="B544" s="582">
        <f t="shared" si="8"/>
        <v>534</v>
      </c>
      <c r="C544" s="592" t="s">
        <v>529</v>
      </c>
      <c r="D544" s="593"/>
      <c r="E544" s="594" t="s">
        <v>36</v>
      </c>
      <c r="F544" s="600">
        <v>249377</v>
      </c>
      <c r="G544" s="597"/>
      <c r="H544" s="597"/>
      <c r="I544" s="597"/>
      <c r="J544" s="597" t="s">
        <v>1515</v>
      </c>
      <c r="K544" s="597"/>
      <c r="L544" s="597"/>
      <c r="M544" s="597"/>
      <c r="N544" s="599"/>
    </row>
    <row r="545" spans="2:14">
      <c r="B545" s="582">
        <f t="shared" si="8"/>
        <v>535</v>
      </c>
      <c r="C545" s="592" t="s">
        <v>531</v>
      </c>
      <c r="D545" s="593"/>
      <c r="E545" s="594" t="s">
        <v>11</v>
      </c>
      <c r="F545" s="600">
        <v>2512836</v>
      </c>
      <c r="G545" s="597"/>
      <c r="H545" s="597"/>
      <c r="I545" s="597"/>
      <c r="J545" s="597" t="s">
        <v>1515</v>
      </c>
      <c r="K545" s="597"/>
      <c r="L545" s="597"/>
      <c r="M545" s="597"/>
      <c r="N545" s="599"/>
    </row>
    <row r="546" spans="2:14">
      <c r="B546" s="582">
        <f t="shared" si="8"/>
        <v>536</v>
      </c>
      <c r="C546" s="592" t="s">
        <v>533</v>
      </c>
      <c r="D546" s="593"/>
      <c r="E546" s="594" t="s">
        <v>11</v>
      </c>
      <c r="F546" s="600">
        <v>3841398</v>
      </c>
      <c r="G546" s="597"/>
      <c r="H546" s="597"/>
      <c r="I546" s="597"/>
      <c r="J546" s="597" t="s">
        <v>1515</v>
      </c>
      <c r="K546" s="597"/>
      <c r="L546" s="597"/>
      <c r="M546" s="597"/>
      <c r="N546" s="599"/>
    </row>
    <row r="547" spans="2:14">
      <c r="B547" s="582">
        <f t="shared" si="8"/>
        <v>537</v>
      </c>
      <c r="C547" s="592" t="s">
        <v>535</v>
      </c>
      <c r="D547" s="593"/>
      <c r="E547" s="594" t="s">
        <v>36</v>
      </c>
      <c r="F547" s="600">
        <v>21817</v>
      </c>
      <c r="G547" s="597"/>
      <c r="H547" s="597"/>
      <c r="I547" s="597"/>
      <c r="J547" s="597" t="s">
        <v>1515</v>
      </c>
      <c r="K547" s="597"/>
      <c r="L547" s="597"/>
      <c r="M547" s="597"/>
      <c r="N547" s="599"/>
    </row>
    <row r="548" spans="2:14">
      <c r="B548" s="582">
        <f t="shared" si="8"/>
        <v>538</v>
      </c>
      <c r="C548" s="592" t="s">
        <v>535</v>
      </c>
      <c r="D548" s="593"/>
      <c r="E548" s="594" t="s">
        <v>36</v>
      </c>
      <c r="F548" s="600">
        <v>1003437</v>
      </c>
      <c r="G548" s="597"/>
      <c r="H548" s="597"/>
      <c r="I548" s="597"/>
      <c r="J548" s="597" t="s">
        <v>1515</v>
      </c>
      <c r="K548" s="597"/>
      <c r="L548" s="597"/>
      <c r="M548" s="597"/>
      <c r="N548" s="599"/>
    </row>
    <row r="549" spans="2:14">
      <c r="B549" s="582">
        <f t="shared" si="8"/>
        <v>539</v>
      </c>
      <c r="C549" s="592" t="s">
        <v>537</v>
      </c>
      <c r="D549" s="593"/>
      <c r="E549" s="594" t="s">
        <v>11</v>
      </c>
      <c r="F549" s="600">
        <v>96884</v>
      </c>
      <c r="G549" s="597"/>
      <c r="H549" s="597"/>
      <c r="I549" s="597"/>
      <c r="J549" s="597" t="s">
        <v>1515</v>
      </c>
      <c r="K549" s="597"/>
      <c r="L549" s="597"/>
      <c r="M549" s="597"/>
      <c r="N549" s="599"/>
    </row>
    <row r="550" spans="2:14">
      <c r="B550" s="582">
        <f t="shared" si="8"/>
        <v>540</v>
      </c>
      <c r="C550" s="592" t="s">
        <v>539</v>
      </c>
      <c r="D550" s="593"/>
      <c r="E550" s="594" t="s">
        <v>11</v>
      </c>
      <c r="F550" s="600">
        <v>1701681</v>
      </c>
      <c r="G550" s="597"/>
      <c r="H550" s="597"/>
      <c r="I550" s="597"/>
      <c r="J550" s="597" t="s">
        <v>1515</v>
      </c>
      <c r="K550" s="597"/>
      <c r="L550" s="597"/>
      <c r="M550" s="597"/>
      <c r="N550" s="599"/>
    </row>
    <row r="551" spans="2:14">
      <c r="B551" s="582">
        <f t="shared" si="8"/>
        <v>541</v>
      </c>
      <c r="C551" s="592" t="s">
        <v>541</v>
      </c>
      <c r="D551" s="593"/>
      <c r="E551" s="594" t="s">
        <v>11</v>
      </c>
      <c r="F551" s="600">
        <v>1051383</v>
      </c>
      <c r="G551" s="597"/>
      <c r="H551" s="597"/>
      <c r="I551" s="597"/>
      <c r="J551" s="597" t="s">
        <v>1515</v>
      </c>
      <c r="K551" s="597"/>
      <c r="L551" s="597"/>
      <c r="M551" s="597"/>
      <c r="N551" s="599"/>
    </row>
    <row r="552" spans="2:14">
      <c r="B552" s="582">
        <f t="shared" si="8"/>
        <v>542</v>
      </c>
      <c r="C552" s="592" t="s">
        <v>543</v>
      </c>
      <c r="D552" s="593"/>
      <c r="E552" s="594" t="s">
        <v>11</v>
      </c>
      <c r="F552" s="600">
        <v>2064165</v>
      </c>
      <c r="G552" s="597"/>
      <c r="H552" s="597"/>
      <c r="I552" s="597"/>
      <c r="J552" s="597" t="s">
        <v>1515</v>
      </c>
      <c r="K552" s="597"/>
      <c r="L552" s="597"/>
      <c r="M552" s="597"/>
      <c r="N552" s="599"/>
    </row>
    <row r="553" spans="2:14">
      <c r="B553" s="582">
        <f t="shared" si="8"/>
        <v>543</v>
      </c>
      <c r="C553" s="592" t="s">
        <v>545</v>
      </c>
      <c r="D553" s="593"/>
      <c r="E553" s="594" t="s">
        <v>11</v>
      </c>
      <c r="F553" s="600">
        <v>3007882</v>
      </c>
      <c r="G553" s="597"/>
      <c r="H553" s="597"/>
      <c r="I553" s="597"/>
      <c r="J553" s="597" t="s">
        <v>1515</v>
      </c>
      <c r="K553" s="597"/>
      <c r="L553" s="597"/>
      <c r="M553" s="597"/>
      <c r="N553" s="599"/>
    </row>
    <row r="554" spans="2:14">
      <c r="B554" s="582">
        <f t="shared" si="8"/>
        <v>544</v>
      </c>
      <c r="C554" s="592" t="s">
        <v>547</v>
      </c>
      <c r="D554" s="593"/>
      <c r="E554" s="594" t="s">
        <v>11</v>
      </c>
      <c r="F554" s="600">
        <v>239920</v>
      </c>
      <c r="G554" s="597"/>
      <c r="H554" s="597"/>
      <c r="I554" s="597"/>
      <c r="J554" s="597" t="s">
        <v>1515</v>
      </c>
      <c r="K554" s="597"/>
      <c r="L554" s="597"/>
      <c r="M554" s="597"/>
      <c r="N554" s="599"/>
    </row>
    <row r="555" spans="2:14">
      <c r="B555" s="582">
        <f t="shared" si="8"/>
        <v>545</v>
      </c>
      <c r="C555" s="592" t="s">
        <v>549</v>
      </c>
      <c r="D555" s="593"/>
      <c r="E555" s="594" t="s">
        <v>11</v>
      </c>
      <c r="F555" s="600">
        <v>2496402</v>
      </c>
      <c r="G555" s="597"/>
      <c r="H555" s="597"/>
      <c r="I555" s="597"/>
      <c r="J555" s="597" t="s">
        <v>1515</v>
      </c>
      <c r="K555" s="597"/>
      <c r="L555" s="597"/>
      <c r="M555" s="597"/>
      <c r="N555" s="599"/>
    </row>
    <row r="556" spans="2:14">
      <c r="B556" s="582">
        <f t="shared" si="8"/>
        <v>546</v>
      </c>
      <c r="D556" s="593"/>
      <c r="G556" s="597"/>
      <c r="H556" s="597"/>
      <c r="I556" s="597"/>
      <c r="J556" s="597"/>
      <c r="K556" s="597"/>
      <c r="L556" s="597"/>
      <c r="M556" s="597"/>
      <c r="N556" s="599"/>
    </row>
    <row r="557" spans="2:14">
      <c r="B557" s="582">
        <f t="shared" si="8"/>
        <v>547</v>
      </c>
      <c r="C557" s="583" t="s">
        <v>2039</v>
      </c>
      <c r="D557" s="593"/>
      <c r="G557" s="597"/>
      <c r="H557" s="597"/>
      <c r="I557" s="597"/>
      <c r="J557" s="597"/>
      <c r="K557" s="597"/>
      <c r="L557" s="597"/>
      <c r="M557" s="597"/>
      <c r="N557" s="599"/>
    </row>
    <row r="558" spans="2:14" ht="29">
      <c r="B558" s="582">
        <f t="shared" si="8"/>
        <v>548</v>
      </c>
      <c r="C558" s="592" t="s">
        <v>554</v>
      </c>
      <c r="D558" s="593"/>
      <c r="E558" s="594" t="s">
        <v>11</v>
      </c>
      <c r="F558" s="600">
        <v>4564134</v>
      </c>
      <c r="G558" s="597"/>
      <c r="H558" s="597"/>
      <c r="I558" s="597"/>
      <c r="J558" s="597" t="s">
        <v>1515</v>
      </c>
      <c r="K558" s="597"/>
      <c r="L558" s="597"/>
      <c r="M558" s="597"/>
      <c r="N558" s="599"/>
    </row>
    <row r="559" spans="2:14" ht="29">
      <c r="B559" s="582">
        <f t="shared" si="8"/>
        <v>549</v>
      </c>
      <c r="C559" s="592" t="s">
        <v>556</v>
      </c>
      <c r="D559" s="593"/>
      <c r="E559" s="594" t="s">
        <v>11</v>
      </c>
      <c r="F559" s="600">
        <v>664798</v>
      </c>
      <c r="G559" s="597"/>
      <c r="H559" s="597"/>
      <c r="I559" s="597"/>
      <c r="J559" s="597" t="s">
        <v>1515</v>
      </c>
      <c r="K559" s="597"/>
      <c r="L559" s="597"/>
      <c r="M559" s="597"/>
      <c r="N559" s="599"/>
    </row>
    <row r="560" spans="2:14" ht="29">
      <c r="B560" s="582">
        <f t="shared" si="8"/>
        <v>550</v>
      </c>
      <c r="C560" s="592" t="s">
        <v>557</v>
      </c>
      <c r="D560" s="593"/>
      <c r="E560" s="594" t="s">
        <v>11</v>
      </c>
      <c r="F560" s="600">
        <v>8524893</v>
      </c>
      <c r="G560" s="597"/>
      <c r="H560" s="597"/>
      <c r="I560" s="597"/>
      <c r="J560" s="597" t="s">
        <v>1515</v>
      </c>
      <c r="K560" s="597"/>
      <c r="L560" s="597"/>
      <c r="M560" s="597"/>
      <c r="N560" s="599"/>
    </row>
    <row r="561" spans="2:14">
      <c r="B561" s="582">
        <f t="shared" si="8"/>
        <v>551</v>
      </c>
      <c r="D561" s="593"/>
      <c r="G561" s="597"/>
      <c r="H561" s="597"/>
      <c r="I561" s="597"/>
      <c r="J561" s="597"/>
      <c r="K561" s="597"/>
      <c r="L561" s="597"/>
      <c r="M561" s="597"/>
      <c r="N561" s="599"/>
    </row>
    <row r="562" spans="2:14">
      <c r="B562" s="582">
        <f t="shared" si="8"/>
        <v>552</v>
      </c>
      <c r="C562" s="583" t="s">
        <v>2040</v>
      </c>
      <c r="D562" s="593"/>
      <c r="G562" s="597"/>
      <c r="H562" s="597"/>
      <c r="I562" s="597"/>
      <c r="J562" s="597"/>
      <c r="K562" s="597"/>
      <c r="L562" s="597"/>
      <c r="M562" s="597"/>
      <c r="N562" s="599"/>
    </row>
    <row r="563" spans="2:14">
      <c r="B563" s="582">
        <f t="shared" si="8"/>
        <v>553</v>
      </c>
      <c r="C563" s="592" t="s">
        <v>562</v>
      </c>
      <c r="D563" s="593"/>
      <c r="E563" s="594" t="s">
        <v>11</v>
      </c>
      <c r="F563" s="600">
        <v>12328</v>
      </c>
      <c r="G563" s="597" t="s">
        <v>1515</v>
      </c>
      <c r="H563" s="597"/>
      <c r="I563" s="597"/>
      <c r="J563" s="597"/>
      <c r="K563" s="597"/>
      <c r="L563" s="597"/>
      <c r="M563" s="597"/>
      <c r="N563" s="599"/>
    </row>
    <row r="564" spans="2:14">
      <c r="B564" s="582">
        <f t="shared" si="8"/>
        <v>554</v>
      </c>
      <c r="C564" s="592" t="s">
        <v>562</v>
      </c>
      <c r="D564" s="593"/>
      <c r="E564" s="594" t="s">
        <v>11</v>
      </c>
      <c r="F564" s="600">
        <v>57413</v>
      </c>
      <c r="G564" s="597" t="s">
        <v>1515</v>
      </c>
      <c r="H564" s="597"/>
      <c r="I564" s="597"/>
      <c r="J564" s="597"/>
      <c r="K564" s="597"/>
      <c r="L564" s="597"/>
      <c r="M564" s="597"/>
      <c r="N564" s="599"/>
    </row>
    <row r="565" spans="2:14">
      <c r="B565" s="582">
        <f t="shared" si="8"/>
        <v>555</v>
      </c>
      <c r="C565" s="592" t="s">
        <v>564</v>
      </c>
      <c r="D565" s="593"/>
      <c r="E565" s="594" t="s">
        <v>11</v>
      </c>
      <c r="F565" s="600">
        <v>213000</v>
      </c>
      <c r="G565" s="597" t="s">
        <v>1515</v>
      </c>
      <c r="H565" s="597"/>
      <c r="I565" s="597"/>
      <c r="J565" s="597"/>
      <c r="K565" s="597"/>
      <c r="L565" s="597"/>
      <c r="M565" s="597"/>
      <c r="N565" s="599"/>
    </row>
    <row r="566" spans="2:14">
      <c r="B566" s="582">
        <f t="shared" si="8"/>
        <v>556</v>
      </c>
      <c r="C566" s="592" t="s">
        <v>566</v>
      </c>
      <c r="D566" s="593"/>
      <c r="E566" s="594" t="s">
        <v>11</v>
      </c>
      <c r="F566" s="600">
        <v>76258</v>
      </c>
      <c r="G566" s="597" t="s">
        <v>1515</v>
      </c>
      <c r="H566" s="597"/>
      <c r="I566" s="597"/>
      <c r="J566" s="597"/>
      <c r="K566" s="597"/>
      <c r="L566" s="597"/>
      <c r="M566" s="597"/>
      <c r="N566" s="599"/>
    </row>
    <row r="567" spans="2:14">
      <c r="B567" s="582">
        <f t="shared" si="8"/>
        <v>557</v>
      </c>
      <c r="C567" s="592" t="s">
        <v>566</v>
      </c>
      <c r="D567" s="593"/>
      <c r="E567" s="594" t="s">
        <v>11</v>
      </c>
      <c r="F567" s="600">
        <v>142235</v>
      </c>
      <c r="G567" s="597" t="s">
        <v>1515</v>
      </c>
      <c r="H567" s="597"/>
      <c r="I567" s="597"/>
      <c r="J567" s="597"/>
      <c r="K567" s="597"/>
      <c r="L567" s="597"/>
      <c r="M567" s="597"/>
      <c r="N567" s="599"/>
    </row>
    <row r="568" spans="2:14">
      <c r="B568" s="582">
        <f t="shared" si="8"/>
        <v>558</v>
      </c>
      <c r="C568" s="592" t="s">
        <v>568</v>
      </c>
      <c r="D568" s="593"/>
      <c r="E568" s="594" t="s">
        <v>36</v>
      </c>
      <c r="F568" s="600">
        <v>556464</v>
      </c>
      <c r="G568" s="597" t="s">
        <v>1515</v>
      </c>
      <c r="H568" s="597"/>
      <c r="I568" s="597"/>
      <c r="J568" s="597"/>
      <c r="K568" s="597"/>
      <c r="L568" s="597"/>
      <c r="M568" s="597"/>
      <c r="N568" s="599"/>
    </row>
    <row r="569" spans="2:14">
      <c r="B569" s="582">
        <f t="shared" si="8"/>
        <v>559</v>
      </c>
      <c r="C569" s="592" t="s">
        <v>570</v>
      </c>
      <c r="D569" s="593"/>
      <c r="E569" s="594" t="s">
        <v>11</v>
      </c>
      <c r="F569" s="600">
        <v>499220</v>
      </c>
      <c r="G569" s="597" t="s">
        <v>1515</v>
      </c>
      <c r="H569" s="597"/>
      <c r="I569" s="597"/>
      <c r="J569" s="597"/>
      <c r="K569" s="597"/>
      <c r="L569" s="597"/>
      <c r="M569" s="597"/>
      <c r="N569" s="599"/>
    </row>
    <row r="570" spans="2:14">
      <c r="B570" s="582">
        <f t="shared" si="8"/>
        <v>560</v>
      </c>
      <c r="C570" s="592" t="s">
        <v>572</v>
      </c>
      <c r="D570" s="593"/>
      <c r="E570" s="594" t="s">
        <v>11</v>
      </c>
      <c r="F570" s="600">
        <v>170278</v>
      </c>
      <c r="G570" s="597" t="s">
        <v>1515</v>
      </c>
      <c r="H570" s="597"/>
      <c r="I570" s="597"/>
      <c r="J570" s="597"/>
      <c r="K570" s="597"/>
      <c r="L570" s="597"/>
      <c r="M570" s="597"/>
      <c r="N570" s="599"/>
    </row>
    <row r="571" spans="2:14" ht="29">
      <c r="B571" s="582">
        <f t="shared" si="8"/>
        <v>561</v>
      </c>
      <c r="C571" s="592" t="s">
        <v>574</v>
      </c>
      <c r="D571" s="593"/>
      <c r="E571" s="594" t="s">
        <v>11</v>
      </c>
      <c r="F571" s="600">
        <v>35071</v>
      </c>
      <c r="G571" s="597" t="s">
        <v>1515</v>
      </c>
      <c r="H571" s="597"/>
      <c r="I571" s="597"/>
      <c r="J571" s="597"/>
      <c r="K571" s="597"/>
      <c r="L571" s="597"/>
      <c r="M571" s="597"/>
      <c r="N571" s="599"/>
    </row>
    <row r="572" spans="2:14">
      <c r="B572" s="582">
        <f t="shared" si="8"/>
        <v>562</v>
      </c>
      <c r="C572" s="592" t="s">
        <v>576</v>
      </c>
      <c r="D572" s="593"/>
      <c r="E572" s="594" t="s">
        <v>11</v>
      </c>
      <c r="F572" s="600">
        <v>163695</v>
      </c>
      <c r="G572" s="597" t="s">
        <v>1515</v>
      </c>
      <c r="H572" s="597"/>
      <c r="I572" s="597"/>
      <c r="J572" s="597"/>
      <c r="K572" s="597"/>
      <c r="L572" s="597"/>
      <c r="M572" s="597"/>
      <c r="N572" s="599"/>
    </row>
    <row r="573" spans="2:14">
      <c r="B573" s="582">
        <f t="shared" si="8"/>
        <v>563</v>
      </c>
      <c r="C573" s="592" t="s">
        <v>578</v>
      </c>
      <c r="D573" s="593"/>
      <c r="E573" s="594" t="s">
        <v>11</v>
      </c>
      <c r="F573" s="600">
        <v>19075</v>
      </c>
      <c r="G573" s="597" t="s">
        <v>1515</v>
      </c>
      <c r="H573" s="597"/>
      <c r="I573" s="597"/>
      <c r="J573" s="597"/>
      <c r="K573" s="597"/>
      <c r="L573" s="597"/>
      <c r="M573" s="597"/>
      <c r="N573" s="599"/>
    </row>
    <row r="574" spans="2:14">
      <c r="B574" s="582">
        <f t="shared" si="8"/>
        <v>564</v>
      </c>
      <c r="C574" s="592" t="s">
        <v>580</v>
      </c>
      <c r="D574" s="593"/>
      <c r="E574" s="594" t="s">
        <v>11</v>
      </c>
      <c r="F574" s="600">
        <v>127144</v>
      </c>
      <c r="G574" s="597" t="s">
        <v>1515</v>
      </c>
      <c r="H574" s="597"/>
      <c r="I574" s="597"/>
      <c r="J574" s="597"/>
      <c r="K574" s="597"/>
      <c r="L574" s="597"/>
      <c r="M574" s="597"/>
      <c r="N574" s="599"/>
    </row>
    <row r="575" spans="2:14">
      <c r="B575" s="582">
        <f t="shared" si="8"/>
        <v>565</v>
      </c>
      <c r="C575" s="592" t="s">
        <v>582</v>
      </c>
      <c r="D575" s="593"/>
      <c r="E575" s="594" t="s">
        <v>11</v>
      </c>
      <c r="F575" s="600">
        <v>404166</v>
      </c>
      <c r="G575" s="597" t="s">
        <v>1515</v>
      </c>
      <c r="H575" s="597"/>
      <c r="I575" s="597"/>
      <c r="J575" s="597"/>
      <c r="K575" s="597"/>
      <c r="L575" s="597"/>
      <c r="M575" s="597"/>
      <c r="N575" s="599"/>
    </row>
    <row r="576" spans="2:14">
      <c r="B576" s="582">
        <f t="shared" si="8"/>
        <v>566</v>
      </c>
      <c r="C576" s="592" t="s">
        <v>584</v>
      </c>
      <c r="D576" s="593"/>
      <c r="E576" s="594" t="s">
        <v>11</v>
      </c>
      <c r="F576" s="600">
        <v>192498</v>
      </c>
      <c r="G576" s="597" t="s">
        <v>1515</v>
      </c>
      <c r="H576" s="597"/>
      <c r="I576" s="597"/>
      <c r="J576" s="597"/>
      <c r="K576" s="597"/>
      <c r="L576" s="597"/>
      <c r="M576" s="597"/>
      <c r="N576" s="599"/>
    </row>
    <row r="577" spans="1:14">
      <c r="B577" s="582">
        <f t="shared" si="8"/>
        <v>567</v>
      </c>
      <c r="C577" s="592" t="s">
        <v>586</v>
      </c>
      <c r="D577" s="593"/>
      <c r="E577" s="594" t="s">
        <v>11</v>
      </c>
      <c r="F577" s="600">
        <v>71118</v>
      </c>
      <c r="G577" s="597" t="s">
        <v>1515</v>
      </c>
      <c r="H577" s="597"/>
      <c r="I577" s="597"/>
      <c r="J577" s="597"/>
      <c r="K577" s="597"/>
      <c r="L577" s="597"/>
      <c r="M577" s="597"/>
      <c r="N577" s="599"/>
    </row>
    <row r="578" spans="1:14">
      <c r="B578" s="582">
        <f t="shared" si="8"/>
        <v>568</v>
      </c>
      <c r="C578" s="592" t="s">
        <v>588</v>
      </c>
      <c r="D578" s="593"/>
      <c r="E578" s="594" t="s">
        <v>11</v>
      </c>
      <c r="F578" s="600">
        <v>179328</v>
      </c>
      <c r="G578" s="597" t="s">
        <v>1515</v>
      </c>
      <c r="H578" s="597"/>
      <c r="I578" s="597"/>
      <c r="J578" s="597"/>
      <c r="K578" s="597"/>
      <c r="L578" s="597"/>
      <c r="M578" s="597"/>
      <c r="N578" s="599"/>
    </row>
    <row r="579" spans="1:14">
      <c r="B579" s="582">
        <f t="shared" si="8"/>
        <v>569</v>
      </c>
      <c r="D579" s="593"/>
      <c r="G579" s="597"/>
      <c r="H579" s="597"/>
      <c r="I579" s="597"/>
      <c r="J579" s="597"/>
      <c r="K579" s="597"/>
      <c r="L579" s="597"/>
      <c r="M579" s="597"/>
      <c r="N579" s="599"/>
    </row>
    <row r="580" spans="1:14" ht="29">
      <c r="B580" s="582">
        <f t="shared" si="8"/>
        <v>570</v>
      </c>
      <c r="C580" s="583" t="s">
        <v>2041</v>
      </c>
      <c r="D580" s="593"/>
      <c r="G580" s="597"/>
      <c r="H580" s="597"/>
      <c r="I580" s="597"/>
      <c r="J580" s="597"/>
      <c r="K580" s="597"/>
      <c r="L580" s="597"/>
      <c r="M580" s="597"/>
      <c r="N580" s="599"/>
    </row>
    <row r="581" spans="1:14" ht="29">
      <c r="B581" s="582">
        <f t="shared" si="8"/>
        <v>571</v>
      </c>
      <c r="C581" s="592" t="s">
        <v>597</v>
      </c>
      <c r="D581" s="593"/>
      <c r="E581" s="594" t="s">
        <v>11</v>
      </c>
      <c r="F581" s="600">
        <v>922164</v>
      </c>
      <c r="G581" s="597" t="s">
        <v>1515</v>
      </c>
      <c r="H581" s="597"/>
      <c r="I581" s="597"/>
      <c r="J581" s="597"/>
      <c r="K581" s="597"/>
      <c r="L581" s="597"/>
      <c r="M581" s="597"/>
      <c r="N581" s="599"/>
    </row>
    <row r="582" spans="1:14" ht="29">
      <c r="B582" s="582">
        <f t="shared" si="8"/>
        <v>572</v>
      </c>
      <c r="C582" s="592" t="s">
        <v>599</v>
      </c>
      <c r="D582" s="593"/>
      <c r="E582" s="594" t="s">
        <v>11</v>
      </c>
      <c r="F582" s="600">
        <v>690735</v>
      </c>
      <c r="G582" s="597" t="s">
        <v>1515</v>
      </c>
      <c r="H582" s="597"/>
      <c r="I582" s="597"/>
      <c r="J582" s="597"/>
      <c r="K582" s="597"/>
      <c r="L582" s="597"/>
      <c r="M582" s="597"/>
      <c r="N582" s="599"/>
    </row>
    <row r="583" spans="1:14">
      <c r="B583" s="582">
        <f t="shared" ref="B583:B646" si="9">B582+1</f>
        <v>573</v>
      </c>
      <c r="D583" s="593"/>
      <c r="G583" s="597"/>
      <c r="H583" s="597"/>
      <c r="I583" s="597"/>
      <c r="J583" s="597"/>
      <c r="K583" s="597"/>
      <c r="L583" s="597"/>
      <c r="M583" s="597"/>
      <c r="N583" s="599"/>
    </row>
    <row r="584" spans="1:14">
      <c r="B584" s="582">
        <f t="shared" si="9"/>
        <v>574</v>
      </c>
      <c r="C584" s="583" t="s">
        <v>2042</v>
      </c>
      <c r="D584" s="593"/>
      <c r="G584" s="597"/>
      <c r="H584" s="597"/>
      <c r="I584" s="597"/>
      <c r="J584" s="597"/>
      <c r="K584" s="597"/>
      <c r="L584" s="597"/>
      <c r="M584" s="597"/>
      <c r="N584" s="599"/>
    </row>
    <row r="585" spans="1:14">
      <c r="B585" s="582">
        <f t="shared" si="9"/>
        <v>575</v>
      </c>
      <c r="C585" s="619" t="s">
        <v>460</v>
      </c>
      <c r="D585" s="593" t="s">
        <v>1407</v>
      </c>
      <c r="E585" s="594" t="s">
        <v>11</v>
      </c>
      <c r="F585" s="600">
        <v>6259</v>
      </c>
      <c r="G585" s="597"/>
      <c r="H585" s="597"/>
      <c r="I585" s="597"/>
      <c r="J585" s="597" t="s">
        <v>1515</v>
      </c>
      <c r="K585" s="597"/>
      <c r="L585" s="597"/>
      <c r="M585" s="597"/>
      <c r="N585" s="599"/>
    </row>
    <row r="586" spans="1:14">
      <c r="A586" s="562" t="s">
        <v>461</v>
      </c>
      <c r="B586" s="582">
        <f t="shared" si="9"/>
        <v>576</v>
      </c>
      <c r="C586" s="619" t="s">
        <v>462</v>
      </c>
      <c r="D586" s="593" t="s">
        <v>2043</v>
      </c>
      <c r="E586" s="594" t="s">
        <v>36</v>
      </c>
      <c r="F586" s="600">
        <v>35005</v>
      </c>
      <c r="G586" s="597"/>
      <c r="H586" s="597"/>
      <c r="I586" s="597"/>
      <c r="J586" s="597" t="s">
        <v>1515</v>
      </c>
      <c r="K586" s="597"/>
      <c r="L586" s="597"/>
      <c r="M586" s="597"/>
      <c r="N586" s="599"/>
    </row>
    <row r="587" spans="1:14">
      <c r="B587" s="582">
        <f t="shared" si="9"/>
        <v>577</v>
      </c>
      <c r="C587" s="619" t="s">
        <v>464</v>
      </c>
      <c r="D587" s="593" t="s">
        <v>2044</v>
      </c>
      <c r="E587" s="594" t="s">
        <v>11</v>
      </c>
      <c r="F587" s="600">
        <v>280629</v>
      </c>
      <c r="G587" s="597"/>
      <c r="H587" s="597"/>
      <c r="I587" s="597"/>
      <c r="J587" s="597" t="s">
        <v>1515</v>
      </c>
      <c r="K587" s="597"/>
      <c r="L587" s="597"/>
      <c r="M587" s="597"/>
      <c r="N587" s="599"/>
    </row>
    <row r="588" spans="1:14" ht="29">
      <c r="B588" s="582">
        <f t="shared" si="9"/>
        <v>578</v>
      </c>
      <c r="C588" s="592" t="s">
        <v>604</v>
      </c>
      <c r="D588" s="593"/>
      <c r="E588" s="594" t="s">
        <v>11</v>
      </c>
      <c r="F588" s="600">
        <v>11571</v>
      </c>
      <c r="G588" s="597"/>
      <c r="H588" s="597"/>
      <c r="I588" s="597"/>
      <c r="J588" s="597" t="s">
        <v>1515</v>
      </c>
      <c r="K588" s="597"/>
      <c r="L588" s="597"/>
      <c r="M588" s="597"/>
      <c r="N588" s="599"/>
    </row>
    <row r="589" spans="1:14">
      <c r="B589" s="582">
        <f t="shared" si="9"/>
        <v>579</v>
      </c>
      <c r="C589" s="592" t="s">
        <v>606</v>
      </c>
      <c r="D589" s="593"/>
      <c r="E589" s="594" t="s">
        <v>11</v>
      </c>
      <c r="F589" s="600">
        <v>45730</v>
      </c>
      <c r="G589" s="597"/>
      <c r="H589" s="597"/>
      <c r="I589" s="597"/>
      <c r="J589" s="597" t="s">
        <v>1515</v>
      </c>
      <c r="K589" s="597"/>
      <c r="L589" s="597"/>
      <c r="M589" s="597"/>
      <c r="N589" s="599"/>
    </row>
    <row r="590" spans="1:14">
      <c r="B590" s="582">
        <f t="shared" si="9"/>
        <v>580</v>
      </c>
      <c r="C590" s="592" t="s">
        <v>608</v>
      </c>
      <c r="D590" s="593"/>
      <c r="E590" s="594" t="s">
        <v>11</v>
      </c>
      <c r="F590" s="600">
        <v>230859</v>
      </c>
      <c r="G590" s="597"/>
      <c r="H590" s="597"/>
      <c r="I590" s="597"/>
      <c r="J590" s="597" t="s">
        <v>1515</v>
      </c>
      <c r="K590" s="597"/>
      <c r="L590" s="597"/>
      <c r="M590" s="597"/>
      <c r="N590" s="599"/>
    </row>
    <row r="591" spans="1:14">
      <c r="B591" s="582">
        <f t="shared" si="9"/>
        <v>581</v>
      </c>
      <c r="C591" s="592" t="s">
        <v>610</v>
      </c>
      <c r="D591" s="593"/>
      <c r="E591" s="594" t="s">
        <v>11</v>
      </c>
      <c r="F591" s="600">
        <v>164631</v>
      </c>
      <c r="G591" s="597"/>
      <c r="H591" s="597"/>
      <c r="I591" s="597"/>
      <c r="J591" s="597" t="s">
        <v>1515</v>
      </c>
      <c r="K591" s="597"/>
      <c r="L591" s="597"/>
      <c r="M591" s="597"/>
      <c r="N591" s="599"/>
    </row>
    <row r="592" spans="1:14">
      <c r="B592" s="582">
        <f t="shared" si="9"/>
        <v>582</v>
      </c>
      <c r="C592" s="592" t="s">
        <v>612</v>
      </c>
      <c r="D592" s="593"/>
      <c r="E592" s="594" t="s">
        <v>11</v>
      </c>
      <c r="F592" s="600">
        <v>218089</v>
      </c>
      <c r="G592" s="597"/>
      <c r="H592" s="597"/>
      <c r="I592" s="597"/>
      <c r="J592" s="597" t="s">
        <v>1515</v>
      </c>
      <c r="K592" s="597"/>
      <c r="L592" s="597"/>
      <c r="M592" s="597"/>
      <c r="N592" s="599"/>
    </row>
    <row r="593" spans="1:14">
      <c r="B593" s="582">
        <f t="shared" si="9"/>
        <v>583</v>
      </c>
      <c r="C593" s="592" t="s">
        <v>614</v>
      </c>
      <c r="D593" s="593"/>
      <c r="E593" s="594" t="s">
        <v>11</v>
      </c>
      <c r="F593" s="600">
        <v>102658</v>
      </c>
      <c r="G593" s="597"/>
      <c r="H593" s="597"/>
      <c r="I593" s="597"/>
      <c r="J593" s="597" t="s">
        <v>1515</v>
      </c>
      <c r="K593" s="597"/>
      <c r="L593" s="597"/>
      <c r="M593" s="597"/>
      <c r="N593" s="599"/>
    </row>
    <row r="594" spans="1:14">
      <c r="B594" s="582">
        <f t="shared" si="9"/>
        <v>584</v>
      </c>
      <c r="C594" s="592" t="s">
        <v>616</v>
      </c>
      <c r="D594" s="593"/>
      <c r="E594" s="594" t="s">
        <v>11</v>
      </c>
      <c r="F594" s="600">
        <v>24740</v>
      </c>
      <c r="G594" s="597"/>
      <c r="H594" s="597"/>
      <c r="I594" s="597"/>
      <c r="J594" s="597" t="s">
        <v>1515</v>
      </c>
      <c r="K594" s="597"/>
      <c r="L594" s="597"/>
      <c r="M594" s="597"/>
      <c r="N594" s="599"/>
    </row>
    <row r="595" spans="1:14">
      <c r="B595" s="582">
        <f t="shared" si="9"/>
        <v>585</v>
      </c>
      <c r="C595" s="592" t="s">
        <v>618</v>
      </c>
      <c r="D595" s="593"/>
      <c r="E595" s="594" t="s">
        <v>11</v>
      </c>
      <c r="F595" s="600">
        <v>7185</v>
      </c>
      <c r="G595" s="597"/>
      <c r="H595" s="597"/>
      <c r="I595" s="597"/>
      <c r="J595" s="597" t="s">
        <v>1515</v>
      </c>
      <c r="K595" s="597"/>
      <c r="L595" s="597"/>
      <c r="M595" s="597"/>
      <c r="N595" s="599"/>
    </row>
    <row r="596" spans="1:14">
      <c r="B596" s="582">
        <f t="shared" si="9"/>
        <v>586</v>
      </c>
      <c r="C596" s="592" t="s">
        <v>620</v>
      </c>
      <c r="D596" s="593"/>
      <c r="E596" s="594" t="s">
        <v>11</v>
      </c>
      <c r="F596" s="600">
        <v>76270</v>
      </c>
      <c r="G596" s="597"/>
      <c r="H596" s="597"/>
      <c r="I596" s="597"/>
      <c r="J596" s="597" t="s">
        <v>1515</v>
      </c>
      <c r="K596" s="597"/>
      <c r="L596" s="597"/>
      <c r="M596" s="597"/>
      <c r="N596" s="599"/>
    </row>
    <row r="597" spans="1:14">
      <c r="B597" s="582">
        <f t="shared" si="9"/>
        <v>587</v>
      </c>
      <c r="C597" s="592" t="s">
        <v>622</v>
      </c>
      <c r="D597" s="593"/>
      <c r="E597" s="594" t="s">
        <v>11</v>
      </c>
      <c r="F597" s="600">
        <v>394136</v>
      </c>
      <c r="G597" s="597"/>
      <c r="H597" s="597"/>
      <c r="I597" s="597"/>
      <c r="J597" s="597" t="s">
        <v>1515</v>
      </c>
      <c r="K597" s="597"/>
      <c r="L597" s="597"/>
      <c r="M597" s="597"/>
      <c r="N597" s="599"/>
    </row>
    <row r="598" spans="1:14">
      <c r="B598" s="582">
        <f t="shared" si="9"/>
        <v>588</v>
      </c>
      <c r="C598" s="592" t="s">
        <v>624</v>
      </c>
      <c r="D598" s="593"/>
      <c r="E598" s="594" t="s">
        <v>11</v>
      </c>
      <c r="F598" s="600">
        <v>167147</v>
      </c>
      <c r="G598" s="597"/>
      <c r="H598" s="597"/>
      <c r="I598" s="597"/>
      <c r="J598" s="597" t="s">
        <v>1515</v>
      </c>
      <c r="K598" s="597"/>
      <c r="L598" s="597"/>
      <c r="M598" s="597"/>
      <c r="N598" s="599"/>
    </row>
    <row r="599" spans="1:14">
      <c r="A599" s="562" t="s">
        <v>255</v>
      </c>
      <c r="B599" s="582">
        <f t="shared" si="9"/>
        <v>589</v>
      </c>
      <c r="C599" s="592" t="s">
        <v>2045</v>
      </c>
      <c r="D599" s="593" t="s">
        <v>2046</v>
      </c>
      <c r="E599" s="594" t="s">
        <v>11</v>
      </c>
      <c r="F599" s="600">
        <v>12472</v>
      </c>
      <c r="G599" s="597"/>
      <c r="H599" s="597"/>
      <c r="I599" s="597"/>
      <c r="J599" s="597" t="s">
        <v>1515</v>
      </c>
      <c r="K599" s="597"/>
      <c r="L599" s="597"/>
      <c r="M599" s="597"/>
      <c r="N599" s="599"/>
    </row>
    <row r="600" spans="1:14">
      <c r="B600" s="582">
        <f t="shared" si="9"/>
        <v>590</v>
      </c>
      <c r="C600" s="592" t="s">
        <v>626</v>
      </c>
      <c r="D600" s="593"/>
      <c r="E600" s="594" t="s">
        <v>11</v>
      </c>
      <c r="F600" s="600">
        <v>153368</v>
      </c>
      <c r="G600" s="597"/>
      <c r="H600" s="597"/>
      <c r="I600" s="597"/>
      <c r="J600" s="597" t="s">
        <v>1515</v>
      </c>
      <c r="K600" s="597"/>
      <c r="L600" s="597"/>
      <c r="M600" s="597"/>
      <c r="N600" s="599"/>
    </row>
    <row r="601" spans="1:14">
      <c r="B601" s="582">
        <f t="shared" si="9"/>
        <v>591</v>
      </c>
      <c r="C601" s="592" t="s">
        <v>628</v>
      </c>
      <c r="D601" s="593"/>
      <c r="E601" s="594" t="s">
        <v>36</v>
      </c>
      <c r="F601" s="600">
        <v>100401</v>
      </c>
      <c r="G601" s="597"/>
      <c r="H601" s="597"/>
      <c r="I601" s="597"/>
      <c r="J601" s="597" t="s">
        <v>1515</v>
      </c>
      <c r="K601" s="597"/>
      <c r="L601" s="597"/>
      <c r="M601" s="597"/>
      <c r="N601" s="599"/>
    </row>
    <row r="602" spans="1:14">
      <c r="B602" s="582">
        <f t="shared" si="9"/>
        <v>592</v>
      </c>
      <c r="C602" s="592" t="s">
        <v>630</v>
      </c>
      <c r="D602" s="593"/>
      <c r="E602" s="594" t="s">
        <v>11</v>
      </c>
      <c r="F602" s="600">
        <v>189361</v>
      </c>
      <c r="G602" s="597"/>
      <c r="H602" s="597"/>
      <c r="I602" s="597"/>
      <c r="J602" s="597" t="s">
        <v>1515</v>
      </c>
      <c r="K602" s="597"/>
      <c r="L602" s="597"/>
      <c r="M602" s="597"/>
      <c r="N602" s="599"/>
    </row>
    <row r="603" spans="1:14">
      <c r="B603" s="582">
        <f t="shared" si="9"/>
        <v>593</v>
      </c>
      <c r="C603" s="592" t="s">
        <v>632</v>
      </c>
      <c r="D603" s="593"/>
      <c r="E603" s="594" t="s">
        <v>11</v>
      </c>
      <c r="F603" s="600">
        <v>7698</v>
      </c>
      <c r="G603" s="597"/>
      <c r="H603" s="597"/>
      <c r="I603" s="597"/>
      <c r="J603" s="597" t="s">
        <v>1515</v>
      </c>
      <c r="K603" s="597"/>
      <c r="L603" s="597"/>
      <c r="M603" s="597"/>
      <c r="N603" s="599"/>
    </row>
    <row r="604" spans="1:14">
      <c r="B604" s="582">
        <f t="shared" si="9"/>
        <v>594</v>
      </c>
      <c r="C604" s="592" t="s">
        <v>634</v>
      </c>
      <c r="D604" s="593"/>
      <c r="E604" s="594" t="s">
        <v>11</v>
      </c>
      <c r="F604" s="600">
        <v>62298</v>
      </c>
      <c r="G604" s="597"/>
      <c r="H604" s="597"/>
      <c r="I604" s="597"/>
      <c r="J604" s="597" t="s">
        <v>1515</v>
      </c>
      <c r="K604" s="597"/>
      <c r="L604" s="597"/>
      <c r="M604" s="597"/>
      <c r="N604" s="599"/>
    </row>
    <row r="605" spans="1:14">
      <c r="B605" s="582">
        <f t="shared" si="9"/>
        <v>595</v>
      </c>
      <c r="C605" s="592" t="s">
        <v>636</v>
      </c>
      <c r="D605" s="593"/>
      <c r="E605" s="594" t="s">
        <v>11</v>
      </c>
      <c r="F605" s="600">
        <v>171598</v>
      </c>
      <c r="G605" s="597"/>
      <c r="H605" s="597"/>
      <c r="I605" s="597"/>
      <c r="J605" s="597" t="s">
        <v>1515</v>
      </c>
      <c r="K605" s="597"/>
      <c r="L605" s="597"/>
      <c r="M605" s="597"/>
      <c r="N605" s="599"/>
    </row>
    <row r="606" spans="1:14">
      <c r="B606" s="582">
        <f t="shared" si="9"/>
        <v>596</v>
      </c>
      <c r="C606" s="592" t="s">
        <v>638</v>
      </c>
      <c r="D606" s="593"/>
      <c r="E606" s="594" t="s">
        <v>11</v>
      </c>
      <c r="F606" s="600">
        <v>131000</v>
      </c>
      <c r="G606" s="597"/>
      <c r="H606" s="597"/>
      <c r="I606" s="597"/>
      <c r="J606" s="597" t="s">
        <v>1515</v>
      </c>
      <c r="K606" s="597"/>
      <c r="L606" s="597"/>
      <c r="M606" s="597"/>
      <c r="N606" s="599"/>
    </row>
    <row r="607" spans="1:14">
      <c r="B607" s="582">
        <f t="shared" si="9"/>
        <v>597</v>
      </c>
      <c r="C607" s="592" t="s">
        <v>640</v>
      </c>
      <c r="D607" s="593"/>
      <c r="E607" s="594" t="s">
        <v>11</v>
      </c>
      <c r="F607" s="600">
        <v>466409</v>
      </c>
      <c r="G607" s="597"/>
      <c r="H607" s="597"/>
      <c r="I607" s="597"/>
      <c r="J607" s="597" t="s">
        <v>1515</v>
      </c>
      <c r="K607" s="597"/>
      <c r="L607" s="597"/>
      <c r="M607" s="597"/>
      <c r="N607" s="599"/>
    </row>
    <row r="608" spans="1:14">
      <c r="B608" s="582">
        <f t="shared" si="9"/>
        <v>598</v>
      </c>
      <c r="C608" s="592" t="s">
        <v>642</v>
      </c>
      <c r="D608" s="593"/>
      <c r="E608" s="594" t="s">
        <v>11</v>
      </c>
      <c r="F608" s="600">
        <v>10541</v>
      </c>
      <c r="G608" s="597"/>
      <c r="H608" s="597"/>
      <c r="I608" s="597"/>
      <c r="J608" s="597" t="s">
        <v>1515</v>
      </c>
      <c r="K608" s="597"/>
      <c r="L608" s="597"/>
      <c r="M608" s="597"/>
      <c r="N608" s="599"/>
    </row>
    <row r="609" spans="2:14">
      <c r="B609" s="582">
        <f t="shared" si="9"/>
        <v>599</v>
      </c>
      <c r="C609" s="592" t="s">
        <v>643</v>
      </c>
      <c r="D609" s="593"/>
      <c r="E609" s="594" t="s">
        <v>36</v>
      </c>
      <c r="F609" s="600">
        <v>191107</v>
      </c>
      <c r="G609" s="597"/>
      <c r="H609" s="597"/>
      <c r="I609" s="597"/>
      <c r="J609" s="597" t="s">
        <v>1515</v>
      </c>
      <c r="K609" s="597"/>
      <c r="L609" s="597"/>
      <c r="M609" s="597"/>
      <c r="N609" s="599"/>
    </row>
    <row r="610" spans="2:14">
      <c r="B610" s="582">
        <f t="shared" si="9"/>
        <v>600</v>
      </c>
      <c r="C610" s="592" t="s">
        <v>645</v>
      </c>
      <c r="D610" s="593"/>
      <c r="E610" s="594" t="s">
        <v>36</v>
      </c>
      <c r="F610" s="600">
        <v>10289</v>
      </c>
      <c r="G610" s="597"/>
      <c r="H610" s="597"/>
      <c r="I610" s="597"/>
      <c r="J610" s="597" t="s">
        <v>1515</v>
      </c>
      <c r="K610" s="597"/>
      <c r="L610" s="597"/>
      <c r="M610" s="597"/>
      <c r="N610" s="599"/>
    </row>
    <row r="611" spans="2:14">
      <c r="B611" s="582">
        <f t="shared" si="9"/>
        <v>601</v>
      </c>
      <c r="C611" s="592" t="s">
        <v>647</v>
      </c>
      <c r="D611" s="593"/>
      <c r="E611" s="594" t="s">
        <v>11</v>
      </c>
      <c r="F611" s="600">
        <v>425677</v>
      </c>
      <c r="G611" s="597"/>
      <c r="H611" s="597"/>
      <c r="I611" s="597"/>
      <c r="J611" s="597" t="s">
        <v>1515</v>
      </c>
      <c r="K611" s="597"/>
      <c r="L611" s="597"/>
      <c r="M611" s="597"/>
      <c r="N611" s="599"/>
    </row>
    <row r="612" spans="2:14">
      <c r="B612" s="582">
        <f t="shared" si="9"/>
        <v>602</v>
      </c>
      <c r="C612" s="592" t="s">
        <v>649</v>
      </c>
      <c r="D612" s="593"/>
      <c r="E612" s="594" t="s">
        <v>11</v>
      </c>
      <c r="F612" s="600">
        <v>177362</v>
      </c>
      <c r="G612" s="597"/>
      <c r="H612" s="597"/>
      <c r="I612" s="597"/>
      <c r="J612" s="597" t="s">
        <v>1515</v>
      </c>
      <c r="K612" s="597"/>
      <c r="L612" s="597"/>
      <c r="M612" s="597"/>
      <c r="N612" s="599"/>
    </row>
    <row r="613" spans="2:14">
      <c r="B613" s="582">
        <f t="shared" si="9"/>
        <v>603</v>
      </c>
      <c r="C613" s="592" t="s">
        <v>651</v>
      </c>
      <c r="D613" s="593"/>
      <c r="E613" s="594" t="s">
        <v>11</v>
      </c>
      <c r="F613" s="600">
        <v>70833</v>
      </c>
      <c r="G613" s="597"/>
      <c r="H613" s="597"/>
      <c r="I613" s="597"/>
      <c r="J613" s="597" t="s">
        <v>1515</v>
      </c>
      <c r="K613" s="597"/>
      <c r="L613" s="597"/>
      <c r="M613" s="597"/>
      <c r="N613" s="599"/>
    </row>
    <row r="614" spans="2:14">
      <c r="B614" s="582">
        <f t="shared" si="9"/>
        <v>604</v>
      </c>
      <c r="C614" s="592" t="s">
        <v>653</v>
      </c>
      <c r="D614" s="593"/>
      <c r="E614" s="594" t="s">
        <v>11</v>
      </c>
      <c r="F614" s="600">
        <v>197198</v>
      </c>
      <c r="G614" s="597"/>
      <c r="H614" s="597"/>
      <c r="I614" s="597"/>
      <c r="J614" s="597" t="s">
        <v>1515</v>
      </c>
      <c r="K614" s="597"/>
      <c r="L614" s="597"/>
      <c r="M614" s="597"/>
      <c r="N614" s="599"/>
    </row>
    <row r="615" spans="2:14">
      <c r="B615" s="582">
        <f t="shared" si="9"/>
        <v>605</v>
      </c>
      <c r="C615" s="592" t="s">
        <v>655</v>
      </c>
      <c r="D615" s="593"/>
      <c r="E615" s="594" t="s">
        <v>36</v>
      </c>
      <c r="F615" s="600">
        <v>306573</v>
      </c>
      <c r="G615" s="597"/>
      <c r="H615" s="597"/>
      <c r="I615" s="597"/>
      <c r="J615" s="597" t="s">
        <v>1515</v>
      </c>
      <c r="K615" s="597"/>
      <c r="L615" s="597"/>
      <c r="M615" s="597"/>
      <c r="N615" s="599"/>
    </row>
    <row r="616" spans="2:14">
      <c r="B616" s="582">
        <f t="shared" si="9"/>
        <v>606</v>
      </c>
      <c r="C616" s="592" t="s">
        <v>657</v>
      </c>
      <c r="D616" s="593" t="s">
        <v>2047</v>
      </c>
      <c r="E616" s="594" t="s">
        <v>36</v>
      </c>
      <c r="F616" s="600">
        <v>1399</v>
      </c>
      <c r="G616" s="597"/>
      <c r="H616" s="597"/>
      <c r="I616" s="597"/>
      <c r="J616" s="597" t="s">
        <v>1515</v>
      </c>
      <c r="K616" s="597"/>
      <c r="L616" s="597"/>
      <c r="M616" s="597"/>
      <c r="N616" s="599"/>
    </row>
    <row r="617" spans="2:14">
      <c r="B617" s="582">
        <f t="shared" si="9"/>
        <v>607</v>
      </c>
      <c r="C617" s="592" t="s">
        <v>659</v>
      </c>
      <c r="D617" s="593"/>
      <c r="E617" s="594" t="s">
        <v>11</v>
      </c>
      <c r="F617" s="600">
        <v>7473</v>
      </c>
      <c r="G617" s="597"/>
      <c r="H617" s="597"/>
      <c r="I617" s="597"/>
      <c r="J617" s="597" t="s">
        <v>1515</v>
      </c>
      <c r="K617" s="597"/>
      <c r="L617" s="597"/>
      <c r="M617" s="597"/>
      <c r="N617" s="599"/>
    </row>
    <row r="618" spans="2:14">
      <c r="B618" s="582">
        <f t="shared" si="9"/>
        <v>608</v>
      </c>
      <c r="C618" s="592" t="s">
        <v>661</v>
      </c>
      <c r="D618" s="593"/>
      <c r="E618" s="594" t="s">
        <v>11</v>
      </c>
      <c r="F618" s="600">
        <v>209781</v>
      </c>
      <c r="G618" s="597"/>
      <c r="H618" s="597"/>
      <c r="I618" s="597"/>
      <c r="J618" s="597" t="s">
        <v>1515</v>
      </c>
      <c r="K618" s="597"/>
      <c r="L618" s="597"/>
      <c r="M618" s="597"/>
      <c r="N618" s="599"/>
    </row>
    <row r="619" spans="2:14">
      <c r="B619" s="582">
        <f t="shared" si="9"/>
        <v>609</v>
      </c>
      <c r="C619" s="592" t="s">
        <v>663</v>
      </c>
      <c r="D619" s="593"/>
      <c r="E619" s="594" t="s">
        <v>11</v>
      </c>
      <c r="F619" s="600">
        <v>35366</v>
      </c>
      <c r="G619" s="597"/>
      <c r="H619" s="597"/>
      <c r="I619" s="597"/>
      <c r="J619" s="597" t="s">
        <v>1515</v>
      </c>
      <c r="K619" s="597"/>
      <c r="L619" s="597"/>
      <c r="M619" s="597"/>
      <c r="N619" s="599"/>
    </row>
    <row r="620" spans="2:14" ht="29">
      <c r="B620" s="582">
        <f t="shared" si="9"/>
        <v>610</v>
      </c>
      <c r="C620" s="592" t="s">
        <v>665</v>
      </c>
      <c r="D620" s="593"/>
      <c r="E620" s="594" t="s">
        <v>11</v>
      </c>
      <c r="F620" s="600">
        <v>1296</v>
      </c>
      <c r="G620" s="597"/>
      <c r="H620" s="597"/>
      <c r="I620" s="597"/>
      <c r="J620" s="597" t="s">
        <v>1515</v>
      </c>
      <c r="K620" s="597"/>
      <c r="L620" s="597"/>
      <c r="M620" s="597"/>
      <c r="N620" s="599"/>
    </row>
    <row r="621" spans="2:14">
      <c r="B621" s="582">
        <f t="shared" si="9"/>
        <v>611</v>
      </c>
      <c r="C621" s="592" t="s">
        <v>667</v>
      </c>
      <c r="D621" s="593"/>
      <c r="E621" s="594" t="s">
        <v>11</v>
      </c>
      <c r="F621" s="600">
        <v>54241</v>
      </c>
      <c r="G621" s="597"/>
      <c r="H621" s="597"/>
      <c r="I621" s="597"/>
      <c r="J621" s="597" t="s">
        <v>1515</v>
      </c>
      <c r="K621" s="597"/>
      <c r="L621" s="597"/>
      <c r="M621" s="597"/>
      <c r="N621" s="599"/>
    </row>
    <row r="622" spans="2:14">
      <c r="B622" s="582">
        <f t="shared" si="9"/>
        <v>612</v>
      </c>
      <c r="C622" s="592" t="s">
        <v>669</v>
      </c>
      <c r="D622" s="593"/>
      <c r="E622" s="594" t="s">
        <v>11</v>
      </c>
      <c r="F622" s="600">
        <v>133229</v>
      </c>
      <c r="G622" s="597"/>
      <c r="H622" s="597"/>
      <c r="I622" s="597"/>
      <c r="J622" s="597" t="s">
        <v>1515</v>
      </c>
      <c r="K622" s="597"/>
      <c r="L622" s="597"/>
      <c r="M622" s="597"/>
      <c r="N622" s="599"/>
    </row>
    <row r="623" spans="2:14">
      <c r="B623" s="582">
        <f t="shared" si="9"/>
        <v>613</v>
      </c>
      <c r="C623" s="592" t="s">
        <v>671</v>
      </c>
      <c r="D623" s="593"/>
      <c r="E623" s="594" t="s">
        <v>11</v>
      </c>
      <c r="F623" s="600">
        <v>183706</v>
      </c>
      <c r="G623" s="597"/>
      <c r="H623" s="597"/>
      <c r="I623" s="597"/>
      <c r="J623" s="597" t="s">
        <v>1515</v>
      </c>
      <c r="K623" s="597"/>
      <c r="L623" s="597"/>
      <c r="M623" s="597"/>
      <c r="N623" s="599"/>
    </row>
    <row r="624" spans="2:14">
      <c r="B624" s="582">
        <f t="shared" si="9"/>
        <v>614</v>
      </c>
      <c r="C624" s="592" t="s">
        <v>673</v>
      </c>
      <c r="D624" s="593"/>
      <c r="E624" s="594" t="s">
        <v>11</v>
      </c>
      <c r="F624" s="600">
        <v>337805</v>
      </c>
      <c r="G624" s="597"/>
      <c r="H624" s="597"/>
      <c r="I624" s="597"/>
      <c r="J624" s="597" t="s">
        <v>1515</v>
      </c>
      <c r="K624" s="597"/>
      <c r="L624" s="597"/>
      <c r="M624" s="597"/>
      <c r="N624" s="599"/>
    </row>
    <row r="625" spans="2:14">
      <c r="B625" s="582">
        <f t="shared" si="9"/>
        <v>615</v>
      </c>
      <c r="C625" s="592" t="s">
        <v>472</v>
      </c>
      <c r="D625" s="593" t="s">
        <v>2048</v>
      </c>
      <c r="E625" s="594" t="s">
        <v>11</v>
      </c>
      <c r="F625" s="600">
        <v>23704</v>
      </c>
      <c r="G625" s="597"/>
      <c r="H625" s="597"/>
      <c r="I625" s="597"/>
      <c r="J625" s="597" t="s">
        <v>1515</v>
      </c>
      <c r="K625" s="597"/>
      <c r="L625" s="597"/>
      <c r="M625" s="597"/>
      <c r="N625" s="599"/>
    </row>
    <row r="626" spans="2:14">
      <c r="B626" s="582">
        <f t="shared" si="9"/>
        <v>616</v>
      </c>
      <c r="C626" s="592" t="s">
        <v>675</v>
      </c>
      <c r="D626" s="593"/>
      <c r="E626" s="594" t="s">
        <v>36</v>
      </c>
      <c r="F626" s="600">
        <v>593944</v>
      </c>
      <c r="G626" s="597"/>
      <c r="H626" s="597"/>
      <c r="I626" s="597"/>
      <c r="J626" s="597" t="s">
        <v>1515</v>
      </c>
      <c r="K626" s="597"/>
      <c r="L626" s="597"/>
      <c r="M626" s="597"/>
      <c r="N626" s="599"/>
    </row>
    <row r="627" spans="2:14">
      <c r="B627" s="582">
        <f t="shared" si="9"/>
        <v>617</v>
      </c>
      <c r="C627" s="592" t="s">
        <v>677</v>
      </c>
      <c r="D627" s="593"/>
      <c r="E627" s="594" t="s">
        <v>11</v>
      </c>
      <c r="F627" s="600">
        <v>189249</v>
      </c>
      <c r="G627" s="597"/>
      <c r="H627" s="597"/>
      <c r="I627" s="597"/>
      <c r="J627" s="597" t="s">
        <v>1515</v>
      </c>
      <c r="K627" s="597"/>
      <c r="L627" s="597"/>
      <c r="M627" s="597"/>
      <c r="N627" s="599"/>
    </row>
    <row r="628" spans="2:14">
      <c r="B628" s="582">
        <f t="shared" si="9"/>
        <v>618</v>
      </c>
      <c r="C628" s="592" t="s">
        <v>679</v>
      </c>
      <c r="D628" s="593"/>
      <c r="E628" s="594" t="s">
        <v>11</v>
      </c>
      <c r="F628" s="600">
        <v>53227</v>
      </c>
      <c r="G628" s="597"/>
      <c r="H628" s="597"/>
      <c r="I628" s="597"/>
      <c r="J628" s="597" t="s">
        <v>1515</v>
      </c>
      <c r="K628" s="597"/>
      <c r="L628" s="597"/>
      <c r="M628" s="597"/>
      <c r="N628" s="599"/>
    </row>
    <row r="629" spans="2:14">
      <c r="B629" s="582">
        <f t="shared" si="9"/>
        <v>619</v>
      </c>
      <c r="C629" s="592" t="s">
        <v>681</v>
      </c>
      <c r="D629" s="593"/>
      <c r="E629" s="594" t="s">
        <v>11</v>
      </c>
      <c r="F629" s="600">
        <v>1225</v>
      </c>
      <c r="G629" s="597"/>
      <c r="H629" s="597"/>
      <c r="I629" s="597"/>
      <c r="J629" s="597" t="s">
        <v>1515</v>
      </c>
      <c r="K629" s="597"/>
      <c r="L629" s="597"/>
      <c r="M629" s="597"/>
      <c r="N629" s="599"/>
    </row>
    <row r="630" spans="2:14">
      <c r="B630" s="582">
        <f t="shared" si="9"/>
        <v>620</v>
      </c>
      <c r="C630" s="592" t="s">
        <v>683</v>
      </c>
      <c r="D630" s="593"/>
      <c r="E630" s="594" t="s">
        <v>36</v>
      </c>
      <c r="F630" s="600">
        <v>50588</v>
      </c>
      <c r="G630" s="597"/>
      <c r="H630" s="597"/>
      <c r="I630" s="597"/>
      <c r="J630" s="597" t="s">
        <v>1515</v>
      </c>
      <c r="K630" s="597"/>
      <c r="L630" s="597"/>
      <c r="M630" s="597"/>
      <c r="N630" s="599"/>
    </row>
    <row r="631" spans="2:14">
      <c r="B631" s="582">
        <f t="shared" si="9"/>
        <v>621</v>
      </c>
      <c r="C631" s="592" t="s">
        <v>476</v>
      </c>
      <c r="D631" s="593" t="s">
        <v>2049</v>
      </c>
      <c r="E631" s="594" t="s">
        <v>11</v>
      </c>
      <c r="F631" s="600">
        <v>91230</v>
      </c>
      <c r="G631" s="597"/>
      <c r="H631" s="597"/>
      <c r="I631" s="597"/>
      <c r="J631" s="597" t="s">
        <v>1515</v>
      </c>
      <c r="K631" s="597"/>
      <c r="L631" s="597"/>
      <c r="M631" s="597"/>
      <c r="N631" s="599"/>
    </row>
    <row r="632" spans="2:14">
      <c r="B632" s="582">
        <f t="shared" si="9"/>
        <v>622</v>
      </c>
      <c r="C632" s="592" t="s">
        <v>685</v>
      </c>
      <c r="D632" s="593"/>
      <c r="E632" s="594" t="s">
        <v>11</v>
      </c>
      <c r="F632" s="600">
        <v>98929</v>
      </c>
      <c r="G632" s="597"/>
      <c r="H632" s="597"/>
      <c r="I632" s="597"/>
      <c r="J632" s="597" t="s">
        <v>1515</v>
      </c>
      <c r="K632" s="597"/>
      <c r="L632" s="597"/>
      <c r="M632" s="597"/>
      <c r="N632" s="599"/>
    </row>
    <row r="633" spans="2:14">
      <c r="B633" s="582">
        <f t="shared" si="9"/>
        <v>623</v>
      </c>
      <c r="C633" s="592" t="s">
        <v>687</v>
      </c>
      <c r="D633" s="593"/>
      <c r="E633" s="594" t="s">
        <v>11</v>
      </c>
      <c r="F633" s="600">
        <v>156018</v>
      </c>
      <c r="G633" s="597"/>
      <c r="H633" s="597"/>
      <c r="I633" s="597"/>
      <c r="J633" s="597" t="s">
        <v>1515</v>
      </c>
      <c r="K633" s="597"/>
      <c r="L633" s="597"/>
      <c r="M633" s="597"/>
      <c r="N633" s="599"/>
    </row>
    <row r="634" spans="2:14">
      <c r="B634" s="582">
        <f t="shared" si="9"/>
        <v>624</v>
      </c>
      <c r="C634" s="592" t="s">
        <v>474</v>
      </c>
      <c r="D634" s="593" t="s">
        <v>2050</v>
      </c>
      <c r="E634" s="594" t="s">
        <v>11</v>
      </c>
      <c r="F634" s="600">
        <v>49112</v>
      </c>
      <c r="G634" s="597"/>
      <c r="H634" s="597"/>
      <c r="I634" s="597"/>
      <c r="J634" s="597" t="s">
        <v>1515</v>
      </c>
      <c r="K634" s="597"/>
      <c r="L634" s="597"/>
      <c r="M634" s="597"/>
      <c r="N634" s="599"/>
    </row>
    <row r="635" spans="2:14">
      <c r="B635" s="582">
        <f t="shared" si="9"/>
        <v>625</v>
      </c>
      <c r="C635" s="592" t="s">
        <v>689</v>
      </c>
      <c r="D635" s="593"/>
      <c r="E635" s="594" t="s">
        <v>11</v>
      </c>
      <c r="F635" s="600">
        <v>111336</v>
      </c>
      <c r="G635" s="597"/>
      <c r="H635" s="597"/>
      <c r="I635" s="597"/>
      <c r="J635" s="597" t="s">
        <v>1515</v>
      </c>
      <c r="K635" s="597"/>
      <c r="L635" s="597"/>
      <c r="M635" s="597"/>
      <c r="N635" s="599"/>
    </row>
    <row r="636" spans="2:14">
      <c r="B636" s="582">
        <f t="shared" si="9"/>
        <v>626</v>
      </c>
      <c r="C636" s="592" t="s">
        <v>691</v>
      </c>
      <c r="D636" s="593"/>
      <c r="E636" s="594" t="s">
        <v>11</v>
      </c>
      <c r="F636" s="600">
        <v>433673</v>
      </c>
      <c r="G636" s="597"/>
      <c r="H636" s="597"/>
      <c r="I636" s="597"/>
      <c r="J636" s="597" t="s">
        <v>1515</v>
      </c>
      <c r="K636" s="597"/>
      <c r="L636" s="597"/>
      <c r="M636" s="597"/>
      <c r="N636" s="599"/>
    </row>
    <row r="637" spans="2:14">
      <c r="B637" s="582">
        <f t="shared" si="9"/>
        <v>627</v>
      </c>
      <c r="C637" s="592" t="s">
        <v>693</v>
      </c>
      <c r="D637" s="593"/>
      <c r="E637" s="594" t="s">
        <v>11</v>
      </c>
      <c r="F637" s="600">
        <v>137620</v>
      </c>
      <c r="G637" s="597"/>
      <c r="H637" s="597"/>
      <c r="I637" s="597"/>
      <c r="J637" s="597" t="s">
        <v>1515</v>
      </c>
      <c r="K637" s="597"/>
      <c r="L637" s="597"/>
      <c r="M637" s="597"/>
      <c r="N637" s="599"/>
    </row>
    <row r="638" spans="2:14">
      <c r="B638" s="582">
        <f t="shared" si="9"/>
        <v>628</v>
      </c>
      <c r="C638" s="592" t="s">
        <v>695</v>
      </c>
      <c r="D638" s="593"/>
      <c r="E638" s="594" t="s">
        <v>11</v>
      </c>
      <c r="F638" s="600">
        <v>203034</v>
      </c>
      <c r="G638" s="597"/>
      <c r="H638" s="597"/>
      <c r="I638" s="597"/>
      <c r="J638" s="597" t="s">
        <v>1515</v>
      </c>
      <c r="K638" s="597"/>
      <c r="L638" s="597"/>
      <c r="M638" s="597"/>
      <c r="N638" s="599"/>
    </row>
    <row r="639" spans="2:14">
      <c r="B639" s="582">
        <f t="shared" si="9"/>
        <v>629</v>
      </c>
      <c r="C639" s="592" t="s">
        <v>697</v>
      </c>
      <c r="D639" s="593"/>
      <c r="E639" s="594" t="s">
        <v>11</v>
      </c>
      <c r="F639" s="600">
        <v>1700</v>
      </c>
      <c r="G639" s="597"/>
      <c r="H639" s="597"/>
      <c r="I639" s="597"/>
      <c r="J639" s="597" t="s">
        <v>1515</v>
      </c>
      <c r="K639" s="597"/>
      <c r="L639" s="597"/>
      <c r="M639" s="597"/>
      <c r="N639" s="599"/>
    </row>
    <row r="640" spans="2:14">
      <c r="B640" s="582">
        <f t="shared" si="9"/>
        <v>630</v>
      </c>
      <c r="C640" s="592" t="s">
        <v>699</v>
      </c>
      <c r="D640" s="593"/>
      <c r="E640" s="594" t="s">
        <v>11</v>
      </c>
      <c r="F640" s="600">
        <v>51407</v>
      </c>
      <c r="G640" s="597"/>
      <c r="H640" s="597"/>
      <c r="I640" s="597"/>
      <c r="J640" s="597" t="s">
        <v>1515</v>
      </c>
      <c r="K640" s="597"/>
      <c r="L640" s="597"/>
      <c r="M640" s="597"/>
      <c r="N640" s="599"/>
    </row>
    <row r="641" spans="1:14">
      <c r="B641" s="582">
        <f t="shared" si="9"/>
        <v>631</v>
      </c>
      <c r="C641" s="592" t="s">
        <v>701</v>
      </c>
      <c r="D641" s="593"/>
      <c r="E641" s="594" t="s">
        <v>11</v>
      </c>
      <c r="F641" s="600">
        <v>228099</v>
      </c>
      <c r="G641" s="597"/>
      <c r="H641" s="597"/>
      <c r="I641" s="597"/>
      <c r="J641" s="597" t="s">
        <v>1515</v>
      </c>
      <c r="K641" s="597"/>
      <c r="L641" s="597"/>
      <c r="M641" s="597"/>
      <c r="N641" s="599"/>
    </row>
    <row r="642" spans="1:14">
      <c r="B642" s="582">
        <f t="shared" si="9"/>
        <v>632</v>
      </c>
      <c r="C642" s="592" t="s">
        <v>703</v>
      </c>
      <c r="D642" s="593"/>
      <c r="E642" s="594" t="s">
        <v>11</v>
      </c>
      <c r="F642" s="600">
        <v>143269</v>
      </c>
      <c r="G642" s="597"/>
      <c r="H642" s="597"/>
      <c r="I642" s="597"/>
      <c r="J642" s="597" t="s">
        <v>1515</v>
      </c>
      <c r="K642" s="597"/>
      <c r="L642" s="597"/>
      <c r="M642" s="597"/>
      <c r="N642" s="599"/>
    </row>
    <row r="643" spans="1:14" ht="29">
      <c r="B643" s="582">
        <f t="shared" si="9"/>
        <v>633</v>
      </c>
      <c r="C643" s="592" t="s">
        <v>705</v>
      </c>
      <c r="D643" s="593"/>
      <c r="E643" s="594" t="s">
        <v>11</v>
      </c>
      <c r="F643" s="600">
        <v>326689</v>
      </c>
      <c r="G643" s="597"/>
      <c r="H643" s="597"/>
      <c r="I643" s="597"/>
      <c r="J643" s="597" t="s">
        <v>1515</v>
      </c>
      <c r="K643" s="597"/>
      <c r="L643" s="597"/>
      <c r="M643" s="597"/>
      <c r="N643" s="599"/>
    </row>
    <row r="644" spans="1:14">
      <c r="B644" s="582">
        <f t="shared" si="9"/>
        <v>634</v>
      </c>
      <c r="C644" s="592" t="s">
        <v>707</v>
      </c>
      <c r="D644" s="593"/>
      <c r="E644" s="594" t="s">
        <v>11</v>
      </c>
      <c r="F644" s="600">
        <v>46264</v>
      </c>
      <c r="G644" s="597"/>
      <c r="H644" s="597"/>
      <c r="I644" s="597"/>
      <c r="J644" s="597" t="s">
        <v>1515</v>
      </c>
      <c r="K644" s="597"/>
      <c r="L644" s="597"/>
      <c r="M644" s="597"/>
      <c r="N644" s="599"/>
    </row>
    <row r="645" spans="1:14" ht="29">
      <c r="B645" s="582">
        <f t="shared" si="9"/>
        <v>635</v>
      </c>
      <c r="C645" s="592" t="s">
        <v>709</v>
      </c>
      <c r="D645" s="593"/>
      <c r="E645" s="594" t="s">
        <v>11</v>
      </c>
      <c r="F645" s="600">
        <v>30489</v>
      </c>
      <c r="G645" s="597"/>
      <c r="H645" s="597"/>
      <c r="I645" s="597"/>
      <c r="J645" s="597" t="s">
        <v>1515</v>
      </c>
      <c r="K645" s="597"/>
      <c r="L645" s="597"/>
      <c r="M645" s="597"/>
      <c r="N645" s="599"/>
    </row>
    <row r="646" spans="1:14">
      <c r="B646" s="582">
        <f t="shared" si="9"/>
        <v>636</v>
      </c>
      <c r="C646" s="592" t="s">
        <v>478</v>
      </c>
      <c r="D646" s="593" t="s">
        <v>2051</v>
      </c>
      <c r="E646" s="594" t="s">
        <v>36</v>
      </c>
      <c r="F646" s="600">
        <v>130348</v>
      </c>
      <c r="G646" s="597"/>
      <c r="H646" s="597"/>
      <c r="I646" s="597"/>
      <c r="J646" s="597" t="s">
        <v>1515</v>
      </c>
      <c r="K646" s="620"/>
      <c r="L646" s="597"/>
      <c r="M646" s="621"/>
      <c r="N646" s="622"/>
    </row>
    <row r="647" spans="1:14">
      <c r="B647" s="582">
        <f t="shared" ref="B647:B710" si="10">B646+1</f>
        <v>637</v>
      </c>
      <c r="C647" s="592" t="s">
        <v>711</v>
      </c>
      <c r="D647" s="593"/>
      <c r="E647" s="594" t="s">
        <v>2052</v>
      </c>
      <c r="F647" s="600">
        <v>168846</v>
      </c>
      <c r="G647" s="597"/>
      <c r="H647" s="597"/>
      <c r="I647" s="597"/>
      <c r="J647" s="597" t="s">
        <v>1515</v>
      </c>
      <c r="K647" s="597"/>
      <c r="L647" s="597"/>
      <c r="M647" s="597"/>
      <c r="N647" s="599"/>
    </row>
    <row r="648" spans="1:14" ht="43.5">
      <c r="B648" s="582">
        <f t="shared" si="10"/>
        <v>638</v>
      </c>
      <c r="C648" s="592" t="s">
        <v>713</v>
      </c>
      <c r="D648" s="593"/>
      <c r="E648" s="594" t="s">
        <v>2052</v>
      </c>
      <c r="F648" s="600">
        <v>255807</v>
      </c>
      <c r="G648" s="597"/>
      <c r="H648" s="597"/>
      <c r="I648" s="597"/>
      <c r="J648" s="597" t="s">
        <v>1515</v>
      </c>
      <c r="K648" s="597"/>
      <c r="L648" s="597"/>
      <c r="M648" s="597"/>
      <c r="N648" s="599"/>
    </row>
    <row r="649" spans="1:14">
      <c r="B649" s="582">
        <f t="shared" si="10"/>
        <v>639</v>
      </c>
      <c r="C649" s="592" t="s">
        <v>715</v>
      </c>
      <c r="D649" s="593"/>
      <c r="E649" s="594" t="s">
        <v>2052</v>
      </c>
      <c r="F649" s="600">
        <v>73382</v>
      </c>
      <c r="G649" s="597"/>
      <c r="H649" s="597"/>
      <c r="I649" s="597"/>
      <c r="J649" s="597" t="s">
        <v>1515</v>
      </c>
      <c r="K649" s="597"/>
      <c r="L649" s="597"/>
      <c r="M649" s="597"/>
      <c r="N649" s="599"/>
    </row>
    <row r="650" spans="1:14">
      <c r="A650" s="562" t="s">
        <v>313</v>
      </c>
      <c r="B650" s="582">
        <f t="shared" si="10"/>
        <v>640</v>
      </c>
      <c r="C650" s="592" t="s">
        <v>2053</v>
      </c>
      <c r="D650" s="593" t="s">
        <v>2054</v>
      </c>
      <c r="E650" s="594" t="s">
        <v>11</v>
      </c>
      <c r="F650" s="600">
        <v>253710.27</v>
      </c>
      <c r="G650" s="597"/>
      <c r="H650" s="597"/>
      <c r="I650" s="597"/>
      <c r="J650" s="597" t="s">
        <v>1515</v>
      </c>
      <c r="K650" s="597"/>
      <c r="L650" s="597"/>
      <c r="M650" s="597"/>
      <c r="N650" s="599"/>
    </row>
    <row r="651" spans="1:14">
      <c r="B651" s="582">
        <f t="shared" si="10"/>
        <v>641</v>
      </c>
      <c r="C651" s="592" t="s">
        <v>717</v>
      </c>
      <c r="D651" s="593"/>
      <c r="E651" s="594" t="s">
        <v>11</v>
      </c>
      <c r="F651" s="600">
        <v>66757</v>
      </c>
      <c r="G651" s="597"/>
      <c r="H651" s="597"/>
      <c r="I651" s="597"/>
      <c r="J651" s="597" t="s">
        <v>1515</v>
      </c>
      <c r="K651" s="597"/>
      <c r="L651" s="597"/>
      <c r="M651" s="597"/>
      <c r="N651" s="599"/>
    </row>
    <row r="652" spans="1:14" ht="29">
      <c r="B652" s="582">
        <f t="shared" si="10"/>
        <v>642</v>
      </c>
      <c r="C652" s="592" t="s">
        <v>719</v>
      </c>
      <c r="D652" s="593"/>
      <c r="E652" s="594" t="s">
        <v>11</v>
      </c>
      <c r="F652" s="600">
        <v>202926</v>
      </c>
      <c r="G652" s="597"/>
      <c r="H652" s="597"/>
      <c r="I652" s="597"/>
      <c r="J652" s="597" t="s">
        <v>1515</v>
      </c>
      <c r="K652" s="597"/>
      <c r="L652" s="597"/>
      <c r="M652" s="597"/>
      <c r="N652" s="599"/>
    </row>
    <row r="653" spans="1:14">
      <c r="B653" s="582">
        <f t="shared" si="10"/>
        <v>643</v>
      </c>
      <c r="C653" s="592" t="s">
        <v>721</v>
      </c>
      <c r="D653" s="593"/>
      <c r="E653" s="594" t="s">
        <v>36</v>
      </c>
      <c r="F653" s="600">
        <v>284658</v>
      </c>
      <c r="G653" s="597"/>
      <c r="H653" s="597"/>
      <c r="I653" s="597"/>
      <c r="J653" s="597" t="s">
        <v>1515</v>
      </c>
      <c r="K653" s="597"/>
      <c r="L653" s="597"/>
      <c r="M653" s="597"/>
      <c r="N653" s="599"/>
    </row>
    <row r="654" spans="1:14">
      <c r="B654" s="582">
        <f t="shared" si="10"/>
        <v>644</v>
      </c>
      <c r="C654" s="592" t="s">
        <v>723</v>
      </c>
      <c r="D654" s="593"/>
      <c r="E654" s="594" t="s">
        <v>11</v>
      </c>
      <c r="F654" s="600">
        <v>41178</v>
      </c>
      <c r="G654" s="597"/>
      <c r="H654" s="597"/>
      <c r="I654" s="597"/>
      <c r="J654" s="597" t="s">
        <v>1515</v>
      </c>
      <c r="K654" s="597"/>
      <c r="L654" s="597"/>
      <c r="M654" s="597"/>
      <c r="N654" s="599"/>
    </row>
    <row r="655" spans="1:14">
      <c r="B655" s="582">
        <f t="shared" si="10"/>
        <v>645</v>
      </c>
      <c r="C655" s="592" t="s">
        <v>725</v>
      </c>
      <c r="D655" s="593"/>
      <c r="E655" s="594" t="s">
        <v>11</v>
      </c>
      <c r="F655" s="600">
        <v>180146</v>
      </c>
      <c r="G655" s="597"/>
      <c r="H655" s="597"/>
      <c r="I655" s="597"/>
      <c r="J655" s="597" t="s">
        <v>1515</v>
      </c>
      <c r="K655" s="597"/>
      <c r="L655" s="597"/>
      <c r="M655" s="597"/>
      <c r="N655" s="599"/>
    </row>
    <row r="656" spans="1:14">
      <c r="B656" s="582">
        <f t="shared" si="10"/>
        <v>646</v>
      </c>
      <c r="C656" s="592" t="s">
        <v>727</v>
      </c>
      <c r="D656" s="593"/>
      <c r="E656" s="594" t="s">
        <v>11</v>
      </c>
      <c r="F656" s="600">
        <v>54362</v>
      </c>
      <c r="G656" s="597"/>
      <c r="H656" s="597"/>
      <c r="I656" s="597"/>
      <c r="J656" s="597" t="s">
        <v>1515</v>
      </c>
      <c r="K656" s="597"/>
      <c r="L656" s="597"/>
      <c r="M656" s="597"/>
      <c r="N656" s="599"/>
    </row>
    <row r="657" spans="2:14">
      <c r="B657" s="582">
        <f t="shared" si="10"/>
        <v>647</v>
      </c>
      <c r="C657" s="592" t="s">
        <v>729</v>
      </c>
      <c r="D657" s="593"/>
      <c r="E657" s="594" t="s">
        <v>11</v>
      </c>
      <c r="F657" s="600">
        <v>100080</v>
      </c>
      <c r="G657" s="597"/>
      <c r="H657" s="597"/>
      <c r="I657" s="597"/>
      <c r="J657" s="597" t="s">
        <v>1515</v>
      </c>
      <c r="K657" s="597"/>
      <c r="L657" s="597"/>
      <c r="M657" s="597"/>
      <c r="N657" s="599"/>
    </row>
    <row r="658" spans="2:14">
      <c r="B658" s="582">
        <f t="shared" si="10"/>
        <v>648</v>
      </c>
      <c r="C658" s="592" t="s">
        <v>731</v>
      </c>
      <c r="D658" s="593"/>
      <c r="E658" s="594" t="s">
        <v>11</v>
      </c>
      <c r="F658" s="600">
        <v>286574</v>
      </c>
      <c r="G658" s="597"/>
      <c r="H658" s="597"/>
      <c r="I658" s="597"/>
      <c r="J658" s="597" t="s">
        <v>1515</v>
      </c>
      <c r="K658" s="597"/>
      <c r="L658" s="597"/>
      <c r="M658" s="597"/>
      <c r="N658" s="599"/>
    </row>
    <row r="659" spans="2:14">
      <c r="B659" s="582">
        <f t="shared" si="10"/>
        <v>649</v>
      </c>
      <c r="C659" s="592" t="s">
        <v>733</v>
      </c>
      <c r="D659" s="593"/>
      <c r="E659" s="594" t="s">
        <v>11</v>
      </c>
      <c r="F659" s="600">
        <v>248109</v>
      </c>
      <c r="G659" s="597"/>
      <c r="H659" s="597"/>
      <c r="I659" s="597"/>
      <c r="J659" s="597" t="s">
        <v>1515</v>
      </c>
      <c r="K659" s="597"/>
      <c r="L659" s="597"/>
      <c r="M659" s="597"/>
      <c r="N659" s="599"/>
    </row>
    <row r="660" spans="2:14">
      <c r="B660" s="582">
        <f t="shared" si="10"/>
        <v>650</v>
      </c>
      <c r="C660" s="592" t="s">
        <v>735</v>
      </c>
      <c r="D660" s="593"/>
      <c r="E660" s="594" t="s">
        <v>11</v>
      </c>
      <c r="F660" s="600">
        <v>197602</v>
      </c>
      <c r="G660" s="597"/>
      <c r="H660" s="597"/>
      <c r="I660" s="597"/>
      <c r="J660" s="597" t="s">
        <v>1515</v>
      </c>
      <c r="K660" s="597"/>
      <c r="L660" s="597"/>
      <c r="M660" s="597"/>
      <c r="N660" s="599"/>
    </row>
    <row r="661" spans="2:14" ht="29">
      <c r="B661" s="582">
        <f t="shared" si="10"/>
        <v>651</v>
      </c>
      <c r="C661" s="592" t="s">
        <v>737</v>
      </c>
      <c r="D661" s="593"/>
      <c r="E661" s="594" t="s">
        <v>11</v>
      </c>
      <c r="F661" s="600">
        <v>16044</v>
      </c>
      <c r="G661" s="597"/>
      <c r="H661" s="597"/>
      <c r="I661" s="597"/>
      <c r="J661" s="597" t="s">
        <v>1515</v>
      </c>
      <c r="K661" s="597"/>
      <c r="L661" s="597"/>
      <c r="M661" s="597"/>
      <c r="N661" s="599"/>
    </row>
    <row r="662" spans="2:14">
      <c r="B662" s="582">
        <f t="shared" si="10"/>
        <v>652</v>
      </c>
      <c r="C662" s="592" t="s">
        <v>739</v>
      </c>
      <c r="D662" s="593"/>
      <c r="E662" s="594" t="s">
        <v>11</v>
      </c>
      <c r="F662" s="600">
        <v>50349</v>
      </c>
      <c r="G662" s="597"/>
      <c r="H662" s="597"/>
      <c r="I662" s="597"/>
      <c r="J662" s="597" t="s">
        <v>1515</v>
      </c>
      <c r="K662" s="597"/>
      <c r="L662" s="597"/>
      <c r="M662" s="597"/>
      <c r="N662" s="599"/>
    </row>
    <row r="663" spans="2:14">
      <c r="B663" s="582">
        <f t="shared" si="10"/>
        <v>653</v>
      </c>
      <c r="C663" s="592" t="s">
        <v>741</v>
      </c>
      <c r="D663" s="593"/>
      <c r="E663" s="594" t="s">
        <v>11</v>
      </c>
      <c r="F663" s="600">
        <v>73810</v>
      </c>
      <c r="G663" s="597"/>
      <c r="H663" s="597"/>
      <c r="I663" s="597"/>
      <c r="J663" s="597" t="s">
        <v>1515</v>
      </c>
      <c r="K663" s="597"/>
      <c r="L663" s="597"/>
      <c r="M663" s="597"/>
      <c r="N663" s="599"/>
    </row>
    <row r="664" spans="2:14">
      <c r="B664" s="582">
        <f t="shared" si="10"/>
        <v>654</v>
      </c>
      <c r="C664" s="592" t="s">
        <v>480</v>
      </c>
      <c r="D664" s="593" t="s">
        <v>2044</v>
      </c>
      <c r="E664" s="594" t="s">
        <v>36</v>
      </c>
      <c r="F664" s="600">
        <v>98534</v>
      </c>
      <c r="G664" s="597"/>
      <c r="H664" s="597"/>
      <c r="I664" s="597"/>
      <c r="J664" s="597" t="s">
        <v>1515</v>
      </c>
      <c r="K664" s="597"/>
      <c r="L664" s="597"/>
      <c r="M664" s="597"/>
      <c r="N664" s="599"/>
    </row>
    <row r="665" spans="2:14">
      <c r="B665" s="582">
        <f t="shared" si="10"/>
        <v>655</v>
      </c>
      <c r="C665" s="592" t="s">
        <v>743</v>
      </c>
      <c r="D665" s="593"/>
      <c r="E665" s="594" t="s">
        <v>36</v>
      </c>
      <c r="F665" s="600">
        <v>593805</v>
      </c>
      <c r="G665" s="597"/>
      <c r="H665" s="597"/>
      <c r="I665" s="597"/>
      <c r="J665" s="597" t="s">
        <v>1515</v>
      </c>
      <c r="K665" s="597"/>
      <c r="L665" s="597"/>
      <c r="M665" s="597"/>
      <c r="N665" s="599"/>
    </row>
    <row r="666" spans="2:14">
      <c r="B666" s="582">
        <f t="shared" si="10"/>
        <v>656</v>
      </c>
      <c r="C666" s="592" t="s">
        <v>745</v>
      </c>
      <c r="D666" s="593"/>
      <c r="E666" s="594" t="s">
        <v>36</v>
      </c>
      <c r="F666" s="600">
        <v>46350</v>
      </c>
      <c r="G666" s="597"/>
      <c r="H666" s="597"/>
      <c r="I666" s="597"/>
      <c r="J666" s="597" t="s">
        <v>1515</v>
      </c>
      <c r="K666" s="597"/>
      <c r="L666" s="597"/>
      <c r="M666" s="597"/>
      <c r="N666" s="599"/>
    </row>
    <row r="667" spans="2:14">
      <c r="B667" s="582">
        <f t="shared" si="10"/>
        <v>657</v>
      </c>
      <c r="C667" s="592" t="s">
        <v>747</v>
      </c>
      <c r="D667" s="593"/>
      <c r="E667" s="594" t="s">
        <v>11</v>
      </c>
      <c r="F667" s="600">
        <v>203657</v>
      </c>
      <c r="G667" s="597"/>
      <c r="H667" s="597"/>
      <c r="I667" s="597"/>
      <c r="J667" s="597" t="s">
        <v>1515</v>
      </c>
      <c r="K667" s="597"/>
      <c r="L667" s="597"/>
      <c r="M667" s="597"/>
      <c r="N667" s="599"/>
    </row>
    <row r="668" spans="2:14">
      <c r="B668" s="582">
        <f t="shared" si="10"/>
        <v>658</v>
      </c>
      <c r="C668" s="592" t="s">
        <v>482</v>
      </c>
      <c r="D668" s="593" t="s">
        <v>2055</v>
      </c>
      <c r="E668" s="594" t="s">
        <v>11</v>
      </c>
      <c r="F668" s="600">
        <v>10832</v>
      </c>
      <c r="G668" s="597"/>
      <c r="H668" s="597"/>
      <c r="I668" s="597"/>
      <c r="J668" s="597" t="s">
        <v>1515</v>
      </c>
      <c r="K668" s="597"/>
      <c r="L668" s="597"/>
      <c r="M668" s="597"/>
      <c r="N668" s="599"/>
    </row>
    <row r="669" spans="2:14">
      <c r="B669" s="582">
        <f t="shared" si="10"/>
        <v>659</v>
      </c>
      <c r="C669" s="592" t="s">
        <v>749</v>
      </c>
      <c r="D669" s="593"/>
      <c r="E669" s="594" t="s">
        <v>11</v>
      </c>
      <c r="F669" s="600">
        <v>119734</v>
      </c>
      <c r="G669" s="597"/>
      <c r="H669" s="597"/>
      <c r="I669" s="597"/>
      <c r="J669" s="597" t="s">
        <v>1515</v>
      </c>
      <c r="K669" s="597"/>
      <c r="L669" s="597"/>
      <c r="M669" s="597"/>
      <c r="N669" s="599"/>
    </row>
    <row r="670" spans="2:14">
      <c r="B670" s="582">
        <f t="shared" si="10"/>
        <v>660</v>
      </c>
      <c r="C670" s="592" t="s">
        <v>751</v>
      </c>
      <c r="D670" s="593"/>
      <c r="E670" s="594" t="s">
        <v>11</v>
      </c>
      <c r="F670" s="600">
        <v>98042</v>
      </c>
      <c r="G670" s="597"/>
      <c r="H670" s="597"/>
      <c r="I670" s="597"/>
      <c r="J670" s="597" t="s">
        <v>1515</v>
      </c>
      <c r="K670" s="597"/>
      <c r="L670" s="597"/>
      <c r="M670" s="597"/>
      <c r="N670" s="599"/>
    </row>
    <row r="671" spans="2:14">
      <c r="B671" s="582">
        <f t="shared" si="10"/>
        <v>661</v>
      </c>
      <c r="C671" s="592" t="s">
        <v>753</v>
      </c>
      <c r="D671" s="593" t="s">
        <v>2056</v>
      </c>
      <c r="E671" s="594" t="s">
        <v>36</v>
      </c>
      <c r="F671" s="600">
        <v>22896</v>
      </c>
      <c r="G671" s="597"/>
      <c r="H671" s="597"/>
      <c r="I671" s="597"/>
      <c r="J671" s="597" t="s">
        <v>1515</v>
      </c>
      <c r="K671" s="597"/>
      <c r="L671" s="597"/>
      <c r="M671" s="597"/>
      <c r="N671" s="599"/>
    </row>
    <row r="672" spans="2:14">
      <c r="B672" s="582">
        <f t="shared" si="10"/>
        <v>662</v>
      </c>
      <c r="C672" s="592" t="s">
        <v>755</v>
      </c>
      <c r="D672" s="593"/>
      <c r="E672" s="594" t="s">
        <v>36</v>
      </c>
      <c r="F672" s="600">
        <v>135796</v>
      </c>
      <c r="G672" s="597"/>
      <c r="H672" s="597"/>
      <c r="I672" s="597"/>
      <c r="J672" s="597" t="s">
        <v>1515</v>
      </c>
      <c r="K672" s="597"/>
      <c r="L672" s="597"/>
      <c r="M672" s="597"/>
      <c r="N672" s="599"/>
    </row>
    <row r="673" spans="2:14">
      <c r="B673" s="582">
        <f t="shared" si="10"/>
        <v>663</v>
      </c>
      <c r="C673" s="592" t="s">
        <v>757</v>
      </c>
      <c r="D673" s="593"/>
      <c r="E673" s="594" t="s">
        <v>36</v>
      </c>
      <c r="F673" s="600">
        <v>44738</v>
      </c>
      <c r="G673" s="597"/>
      <c r="H673" s="597"/>
      <c r="I673" s="597"/>
      <c r="J673" s="597" t="s">
        <v>1515</v>
      </c>
      <c r="K673" s="597"/>
      <c r="L673" s="597"/>
      <c r="M673" s="597"/>
      <c r="N673" s="599"/>
    </row>
    <row r="674" spans="2:14">
      <c r="B674" s="582">
        <f t="shared" si="10"/>
        <v>664</v>
      </c>
      <c r="C674" s="592" t="s">
        <v>759</v>
      </c>
      <c r="D674" s="593"/>
      <c r="E674" s="594" t="s">
        <v>11</v>
      </c>
      <c r="F674" s="600">
        <v>155533</v>
      </c>
      <c r="G674" s="597"/>
      <c r="H674" s="597"/>
      <c r="I674" s="597"/>
      <c r="J674" s="597" t="s">
        <v>1515</v>
      </c>
      <c r="K674" s="597"/>
      <c r="L674" s="597"/>
      <c r="M674" s="597"/>
      <c r="N674" s="599"/>
    </row>
    <row r="675" spans="2:14">
      <c r="B675" s="582">
        <f t="shared" si="10"/>
        <v>665</v>
      </c>
      <c r="C675" s="592" t="s">
        <v>761</v>
      </c>
      <c r="D675" s="593"/>
      <c r="E675" s="594" t="s">
        <v>11</v>
      </c>
      <c r="F675" s="600">
        <v>141441</v>
      </c>
      <c r="G675" s="597"/>
      <c r="H675" s="597"/>
      <c r="I675" s="597"/>
      <c r="J675" s="597" t="s">
        <v>1515</v>
      </c>
      <c r="K675" s="597"/>
      <c r="L675" s="597"/>
      <c r="M675" s="597"/>
      <c r="N675" s="599"/>
    </row>
    <row r="676" spans="2:14">
      <c r="B676" s="582">
        <f t="shared" si="10"/>
        <v>666</v>
      </c>
      <c r="C676" s="592" t="s">
        <v>763</v>
      </c>
      <c r="D676" s="593"/>
      <c r="E676" s="594" t="s">
        <v>11</v>
      </c>
      <c r="F676" s="600">
        <v>502619</v>
      </c>
      <c r="G676" s="597"/>
      <c r="H676" s="597"/>
      <c r="I676" s="597"/>
      <c r="J676" s="597" t="s">
        <v>1515</v>
      </c>
      <c r="K676" s="597"/>
      <c r="L676" s="597"/>
      <c r="M676" s="597"/>
      <c r="N676" s="599"/>
    </row>
    <row r="677" spans="2:14">
      <c r="B677" s="582">
        <f t="shared" si="10"/>
        <v>667</v>
      </c>
      <c r="C677" s="592" t="s">
        <v>765</v>
      </c>
      <c r="D677" s="593"/>
      <c r="E677" s="594" t="s">
        <v>36</v>
      </c>
      <c r="F677" s="600">
        <v>60705</v>
      </c>
      <c r="G677" s="597"/>
      <c r="H677" s="597"/>
      <c r="I677" s="597"/>
      <c r="J677" s="597" t="s">
        <v>1515</v>
      </c>
      <c r="K677" s="597"/>
      <c r="L677" s="597"/>
      <c r="M677" s="597"/>
      <c r="N677" s="599"/>
    </row>
    <row r="678" spans="2:14">
      <c r="B678" s="582">
        <f t="shared" si="10"/>
        <v>668</v>
      </c>
      <c r="C678" s="592" t="s">
        <v>767</v>
      </c>
      <c r="D678" s="593"/>
      <c r="E678" s="594" t="s">
        <v>11</v>
      </c>
      <c r="F678" s="600">
        <v>31609</v>
      </c>
      <c r="G678" s="597"/>
      <c r="H678" s="597"/>
      <c r="I678" s="597"/>
      <c r="J678" s="597" t="s">
        <v>1515</v>
      </c>
      <c r="K678" s="597"/>
      <c r="L678" s="597"/>
      <c r="M678" s="597"/>
      <c r="N678" s="599"/>
    </row>
    <row r="679" spans="2:14">
      <c r="B679" s="582">
        <f t="shared" si="10"/>
        <v>669</v>
      </c>
      <c r="C679" s="592" t="s">
        <v>769</v>
      </c>
      <c r="D679" s="593"/>
      <c r="E679" s="594" t="s">
        <v>11</v>
      </c>
      <c r="F679" s="600">
        <v>168896</v>
      </c>
      <c r="G679" s="597"/>
      <c r="H679" s="597"/>
      <c r="I679" s="597"/>
      <c r="J679" s="597" t="s">
        <v>1515</v>
      </c>
      <c r="K679" s="597"/>
      <c r="L679" s="597"/>
      <c r="M679" s="597"/>
      <c r="N679" s="599"/>
    </row>
    <row r="680" spans="2:14">
      <c r="B680" s="582">
        <f t="shared" si="10"/>
        <v>670</v>
      </c>
      <c r="C680" s="592" t="s">
        <v>771</v>
      </c>
      <c r="D680" s="593"/>
      <c r="E680" s="594" t="s">
        <v>11</v>
      </c>
      <c r="F680" s="600">
        <v>136058</v>
      </c>
      <c r="G680" s="597"/>
      <c r="H680" s="597"/>
      <c r="I680" s="597"/>
      <c r="J680" s="597" t="s">
        <v>1515</v>
      </c>
      <c r="K680" s="597"/>
      <c r="L680" s="597"/>
      <c r="M680" s="597"/>
      <c r="N680" s="599"/>
    </row>
    <row r="681" spans="2:14">
      <c r="B681" s="582">
        <f t="shared" si="10"/>
        <v>671</v>
      </c>
      <c r="C681" s="592" t="s">
        <v>773</v>
      </c>
      <c r="D681" s="593"/>
      <c r="E681" s="594" t="s">
        <v>11</v>
      </c>
      <c r="F681" s="600">
        <v>255683</v>
      </c>
      <c r="G681" s="597"/>
      <c r="H681" s="597"/>
      <c r="I681" s="597"/>
      <c r="J681" s="597" t="s">
        <v>1515</v>
      </c>
      <c r="K681" s="597"/>
      <c r="L681" s="597"/>
      <c r="M681" s="597"/>
      <c r="N681" s="599"/>
    </row>
    <row r="682" spans="2:14">
      <c r="B682" s="582">
        <f t="shared" si="10"/>
        <v>672</v>
      </c>
      <c r="C682" s="592" t="s">
        <v>775</v>
      </c>
      <c r="D682" s="593"/>
      <c r="E682" s="594" t="s">
        <v>36</v>
      </c>
      <c r="F682" s="600">
        <v>317560</v>
      </c>
      <c r="G682" s="597"/>
      <c r="H682" s="597"/>
      <c r="I682" s="597"/>
      <c r="J682" s="597" t="s">
        <v>1515</v>
      </c>
      <c r="K682" s="597"/>
      <c r="L682" s="597"/>
      <c r="M682" s="597"/>
      <c r="N682" s="599"/>
    </row>
    <row r="683" spans="2:14">
      <c r="B683" s="582">
        <f t="shared" si="10"/>
        <v>673</v>
      </c>
      <c r="C683" s="592" t="s">
        <v>777</v>
      </c>
      <c r="D683" s="593"/>
      <c r="E683" s="594" t="s">
        <v>11</v>
      </c>
      <c r="F683" s="600">
        <v>515637</v>
      </c>
      <c r="G683" s="597"/>
      <c r="H683" s="597"/>
      <c r="I683" s="597"/>
      <c r="J683" s="597" t="s">
        <v>1515</v>
      </c>
      <c r="K683" s="597"/>
      <c r="L683" s="597"/>
      <c r="M683" s="597"/>
      <c r="N683" s="599"/>
    </row>
    <row r="684" spans="2:14">
      <c r="B684" s="582">
        <f t="shared" si="10"/>
        <v>674</v>
      </c>
      <c r="C684" s="592" t="s">
        <v>779</v>
      </c>
      <c r="D684" s="593"/>
      <c r="E684" s="594" t="s">
        <v>11</v>
      </c>
      <c r="F684" s="600">
        <v>431481</v>
      </c>
      <c r="G684" s="597"/>
      <c r="H684" s="597"/>
      <c r="I684" s="597"/>
      <c r="J684" s="597" t="s">
        <v>1515</v>
      </c>
      <c r="K684" s="597"/>
      <c r="L684" s="597"/>
      <c r="M684" s="597"/>
      <c r="N684" s="599"/>
    </row>
    <row r="685" spans="2:14">
      <c r="B685" s="582">
        <f t="shared" si="10"/>
        <v>675</v>
      </c>
      <c r="C685" s="592" t="s">
        <v>781</v>
      </c>
      <c r="D685" s="593"/>
      <c r="E685" s="594" t="s">
        <v>11</v>
      </c>
      <c r="F685" s="600">
        <v>32611</v>
      </c>
      <c r="G685" s="597"/>
      <c r="H685" s="597"/>
      <c r="I685" s="597"/>
      <c r="J685" s="597" t="s">
        <v>1515</v>
      </c>
      <c r="K685" s="597"/>
      <c r="L685" s="597"/>
      <c r="M685" s="597"/>
      <c r="N685" s="599"/>
    </row>
    <row r="686" spans="2:14">
      <c r="B686" s="582">
        <f t="shared" si="10"/>
        <v>676</v>
      </c>
      <c r="C686" s="592" t="s">
        <v>783</v>
      </c>
      <c r="D686" s="593"/>
      <c r="E686" s="594" t="s">
        <v>11</v>
      </c>
      <c r="F686" s="600">
        <v>53232</v>
      </c>
      <c r="G686" s="597"/>
      <c r="H686" s="597"/>
      <c r="I686" s="597"/>
      <c r="J686" s="597" t="s">
        <v>1515</v>
      </c>
      <c r="K686" s="597"/>
      <c r="L686" s="597"/>
      <c r="M686" s="597"/>
      <c r="N686" s="599"/>
    </row>
    <row r="687" spans="2:14" ht="29">
      <c r="B687" s="582">
        <f t="shared" si="10"/>
        <v>677</v>
      </c>
      <c r="C687" s="592" t="s">
        <v>784</v>
      </c>
      <c r="D687" s="593"/>
      <c r="E687" s="594" t="s">
        <v>11</v>
      </c>
      <c r="F687" s="600">
        <v>228663</v>
      </c>
      <c r="G687" s="597"/>
      <c r="H687" s="597"/>
      <c r="I687" s="597"/>
      <c r="J687" s="597" t="s">
        <v>1515</v>
      </c>
      <c r="K687" s="597"/>
      <c r="L687" s="597"/>
      <c r="M687" s="597"/>
      <c r="N687" s="599"/>
    </row>
    <row r="688" spans="2:14" ht="29">
      <c r="B688" s="582">
        <f t="shared" si="10"/>
        <v>678</v>
      </c>
      <c r="C688" s="592" t="s">
        <v>786</v>
      </c>
      <c r="D688" s="593"/>
      <c r="E688" s="594" t="s">
        <v>11</v>
      </c>
      <c r="F688" s="600">
        <v>36678</v>
      </c>
      <c r="G688" s="597"/>
      <c r="H688" s="597"/>
      <c r="I688" s="597"/>
      <c r="J688" s="597" t="s">
        <v>1515</v>
      </c>
      <c r="K688" s="597"/>
      <c r="L688" s="597"/>
      <c r="M688" s="597"/>
      <c r="N688" s="599"/>
    </row>
    <row r="689" spans="1:14">
      <c r="B689" s="582">
        <f t="shared" si="10"/>
        <v>679</v>
      </c>
      <c r="C689" s="592" t="s">
        <v>788</v>
      </c>
      <c r="D689" s="593"/>
      <c r="E689" s="594" t="s">
        <v>11</v>
      </c>
      <c r="F689" s="600">
        <v>125517</v>
      </c>
      <c r="G689" s="597"/>
      <c r="H689" s="597"/>
      <c r="I689" s="597"/>
      <c r="J689" s="597" t="s">
        <v>1515</v>
      </c>
      <c r="K689" s="597"/>
      <c r="L689" s="597"/>
      <c r="M689" s="597"/>
      <c r="N689" s="599"/>
    </row>
    <row r="690" spans="1:14">
      <c r="B690" s="582">
        <f t="shared" si="10"/>
        <v>680</v>
      </c>
      <c r="C690" s="592" t="s">
        <v>484</v>
      </c>
      <c r="D690" s="593" t="s">
        <v>2057</v>
      </c>
      <c r="E690" s="594" t="s">
        <v>11</v>
      </c>
      <c r="F690" s="600">
        <v>29969</v>
      </c>
      <c r="G690" s="597"/>
      <c r="H690" s="597"/>
      <c r="I690" s="597"/>
      <c r="J690" s="597" t="s">
        <v>1515</v>
      </c>
      <c r="K690" s="597"/>
      <c r="L690" s="597"/>
      <c r="M690" s="597"/>
      <c r="N690" s="599"/>
    </row>
    <row r="691" spans="1:14">
      <c r="B691" s="582">
        <f t="shared" si="10"/>
        <v>681</v>
      </c>
      <c r="C691" s="592" t="s">
        <v>486</v>
      </c>
      <c r="D691" s="593" t="s">
        <v>2044</v>
      </c>
      <c r="E691" s="594" t="s">
        <v>36</v>
      </c>
      <c r="F691" s="600">
        <v>340848</v>
      </c>
      <c r="G691" s="597"/>
      <c r="H691" s="597"/>
      <c r="I691" s="597"/>
      <c r="J691" s="597" t="s">
        <v>1515</v>
      </c>
      <c r="K691" s="597"/>
      <c r="L691" s="597"/>
      <c r="M691" s="597"/>
      <c r="N691" s="599"/>
    </row>
    <row r="692" spans="1:14">
      <c r="B692" s="582">
        <f t="shared" si="10"/>
        <v>682</v>
      </c>
      <c r="C692" s="592" t="s">
        <v>790</v>
      </c>
      <c r="D692" s="593"/>
      <c r="E692" s="594" t="s">
        <v>36</v>
      </c>
      <c r="F692" s="600">
        <v>534098</v>
      </c>
      <c r="G692" s="597"/>
      <c r="H692" s="597"/>
      <c r="I692" s="597"/>
      <c r="J692" s="597" t="s">
        <v>1515</v>
      </c>
      <c r="K692" s="597"/>
      <c r="L692" s="597"/>
      <c r="M692" s="597"/>
      <c r="N692" s="599"/>
    </row>
    <row r="693" spans="1:14">
      <c r="A693" s="562" t="s">
        <v>349</v>
      </c>
      <c r="B693" s="582">
        <f t="shared" si="10"/>
        <v>683</v>
      </c>
      <c r="C693" s="592" t="s">
        <v>2058</v>
      </c>
      <c r="D693" s="593" t="s">
        <v>2059</v>
      </c>
      <c r="E693" s="594" t="s">
        <v>11</v>
      </c>
      <c r="F693" s="600">
        <v>19476</v>
      </c>
      <c r="G693" s="597"/>
      <c r="H693" s="597"/>
      <c r="I693" s="597"/>
      <c r="J693" s="597" t="s">
        <v>1515</v>
      </c>
      <c r="K693" s="597"/>
      <c r="L693" s="597"/>
      <c r="M693" s="597"/>
      <c r="N693" s="599"/>
    </row>
    <row r="694" spans="1:14">
      <c r="B694" s="582">
        <f t="shared" si="10"/>
        <v>684</v>
      </c>
      <c r="C694" s="592" t="s">
        <v>792</v>
      </c>
      <c r="D694" s="593"/>
      <c r="E694" s="594" t="s">
        <v>11</v>
      </c>
      <c r="F694" s="600">
        <v>47088</v>
      </c>
      <c r="G694" s="597"/>
      <c r="H694" s="597"/>
      <c r="I694" s="597"/>
      <c r="J694" s="597" t="s">
        <v>1515</v>
      </c>
      <c r="K694" s="597"/>
      <c r="L694" s="597"/>
      <c r="M694" s="597"/>
      <c r="N694" s="599"/>
    </row>
    <row r="695" spans="1:14">
      <c r="B695" s="582">
        <f t="shared" si="10"/>
        <v>685</v>
      </c>
      <c r="C695" s="592" t="s">
        <v>794</v>
      </c>
      <c r="D695" s="593"/>
      <c r="E695" s="594" t="s">
        <v>11</v>
      </c>
      <c r="F695" s="600">
        <v>116254</v>
      </c>
      <c r="G695" s="597"/>
      <c r="H695" s="597"/>
      <c r="I695" s="597"/>
      <c r="J695" s="597" t="s">
        <v>1515</v>
      </c>
      <c r="K695" s="597"/>
      <c r="L695" s="597"/>
      <c r="M695" s="597"/>
      <c r="N695" s="599"/>
    </row>
    <row r="696" spans="1:14">
      <c r="B696" s="582">
        <f t="shared" si="10"/>
        <v>686</v>
      </c>
      <c r="C696" s="592" t="s">
        <v>796</v>
      </c>
      <c r="D696" s="593"/>
      <c r="E696" s="594" t="s">
        <v>11</v>
      </c>
      <c r="F696" s="600">
        <v>202330</v>
      </c>
      <c r="G696" s="597"/>
      <c r="H696" s="597"/>
      <c r="I696" s="597"/>
      <c r="J696" s="597" t="s">
        <v>1515</v>
      </c>
      <c r="K696" s="597"/>
      <c r="L696" s="597"/>
      <c r="M696" s="597"/>
      <c r="N696" s="599"/>
    </row>
    <row r="697" spans="1:14">
      <c r="B697" s="582">
        <f t="shared" si="10"/>
        <v>687</v>
      </c>
      <c r="C697" s="592" t="s">
        <v>798</v>
      </c>
      <c r="D697" s="593"/>
      <c r="E697" s="594" t="s">
        <v>11</v>
      </c>
      <c r="F697" s="600">
        <v>132289</v>
      </c>
      <c r="G697" s="597"/>
      <c r="H697" s="597"/>
      <c r="I697" s="597"/>
      <c r="J697" s="597" t="s">
        <v>1515</v>
      </c>
      <c r="K697" s="597"/>
      <c r="L697" s="597"/>
      <c r="M697" s="597"/>
      <c r="N697" s="599"/>
    </row>
    <row r="698" spans="1:14">
      <c r="B698" s="582">
        <f t="shared" si="10"/>
        <v>688</v>
      </c>
      <c r="C698" s="592" t="s">
        <v>800</v>
      </c>
      <c r="D698" s="593"/>
      <c r="E698" s="594" t="s">
        <v>11</v>
      </c>
      <c r="F698" s="600">
        <v>347511</v>
      </c>
      <c r="G698" s="597"/>
      <c r="H698" s="597"/>
      <c r="I698" s="597"/>
      <c r="J698" s="597" t="s">
        <v>1515</v>
      </c>
      <c r="K698" s="597"/>
      <c r="L698" s="597"/>
      <c r="M698" s="597"/>
      <c r="N698" s="599"/>
    </row>
    <row r="699" spans="1:14">
      <c r="B699" s="582">
        <f t="shared" si="10"/>
        <v>689</v>
      </c>
      <c r="C699" s="592" t="s">
        <v>2060</v>
      </c>
      <c r="D699" s="593"/>
      <c r="E699" s="594" t="s">
        <v>11</v>
      </c>
      <c r="F699" s="600">
        <v>205485</v>
      </c>
      <c r="G699" s="597"/>
      <c r="H699" s="597"/>
      <c r="I699" s="597"/>
      <c r="J699" s="597" t="s">
        <v>1515</v>
      </c>
      <c r="K699" s="597"/>
      <c r="L699" s="597"/>
      <c r="M699" s="597"/>
      <c r="N699" s="599"/>
    </row>
    <row r="700" spans="1:14">
      <c r="B700" s="582">
        <f t="shared" si="10"/>
        <v>690</v>
      </c>
      <c r="C700" s="592" t="s">
        <v>802</v>
      </c>
      <c r="D700" s="593"/>
      <c r="E700" s="594" t="s">
        <v>11</v>
      </c>
      <c r="F700" s="600">
        <v>86970</v>
      </c>
      <c r="G700" s="597"/>
      <c r="H700" s="597"/>
      <c r="I700" s="597"/>
      <c r="J700" s="597" t="s">
        <v>1515</v>
      </c>
      <c r="K700" s="597"/>
      <c r="L700" s="597"/>
      <c r="M700" s="597"/>
      <c r="N700" s="599"/>
    </row>
    <row r="701" spans="1:14">
      <c r="B701" s="582">
        <f t="shared" si="10"/>
        <v>691</v>
      </c>
      <c r="C701" s="592" t="s">
        <v>804</v>
      </c>
      <c r="D701" s="593"/>
      <c r="E701" s="594" t="s">
        <v>11</v>
      </c>
      <c r="F701" s="600">
        <v>169157</v>
      </c>
      <c r="G701" s="597"/>
      <c r="H701" s="597"/>
      <c r="I701" s="597"/>
      <c r="J701" s="597" t="s">
        <v>1515</v>
      </c>
      <c r="K701" s="597"/>
      <c r="L701" s="597"/>
      <c r="M701" s="597"/>
      <c r="N701" s="599"/>
    </row>
    <row r="702" spans="1:14" ht="29">
      <c r="B702" s="582">
        <f t="shared" si="10"/>
        <v>692</v>
      </c>
      <c r="C702" s="592" t="s">
        <v>806</v>
      </c>
      <c r="D702" s="593"/>
      <c r="E702" s="594" t="s">
        <v>11</v>
      </c>
      <c r="F702" s="600">
        <v>86281</v>
      </c>
      <c r="G702" s="597"/>
      <c r="H702" s="597"/>
      <c r="I702" s="597"/>
      <c r="J702" s="597" t="s">
        <v>1515</v>
      </c>
      <c r="K702" s="597"/>
      <c r="L702" s="597"/>
      <c r="M702" s="597"/>
      <c r="N702" s="599"/>
    </row>
    <row r="703" spans="1:14">
      <c r="B703" s="582">
        <f t="shared" si="10"/>
        <v>693</v>
      </c>
      <c r="C703" s="592" t="s">
        <v>808</v>
      </c>
      <c r="D703" s="593"/>
      <c r="E703" s="594" t="s">
        <v>11</v>
      </c>
      <c r="F703" s="600">
        <v>145547</v>
      </c>
      <c r="G703" s="597"/>
      <c r="H703" s="597"/>
      <c r="I703" s="597"/>
      <c r="J703" s="597" t="s">
        <v>1515</v>
      </c>
      <c r="K703" s="597"/>
      <c r="L703" s="597"/>
      <c r="M703" s="597"/>
      <c r="N703" s="599"/>
    </row>
    <row r="704" spans="1:14">
      <c r="B704" s="582">
        <f t="shared" si="10"/>
        <v>694</v>
      </c>
      <c r="C704" s="592" t="s">
        <v>810</v>
      </c>
      <c r="D704" s="593"/>
      <c r="E704" s="594" t="s">
        <v>11</v>
      </c>
      <c r="F704" s="600">
        <v>388794</v>
      </c>
      <c r="G704" s="597"/>
      <c r="H704" s="597"/>
      <c r="I704" s="597"/>
      <c r="J704" s="597" t="s">
        <v>1515</v>
      </c>
      <c r="K704" s="597"/>
      <c r="L704" s="597"/>
      <c r="M704" s="597"/>
      <c r="N704" s="599"/>
    </row>
    <row r="705" spans="2:14">
      <c r="B705" s="582">
        <f t="shared" si="10"/>
        <v>695</v>
      </c>
      <c r="C705" s="592" t="s">
        <v>812</v>
      </c>
      <c r="D705" s="593"/>
      <c r="E705" s="594" t="s">
        <v>11</v>
      </c>
      <c r="F705" s="600">
        <v>247341</v>
      </c>
      <c r="G705" s="597"/>
      <c r="H705" s="597"/>
      <c r="I705" s="597"/>
      <c r="J705" s="597" t="s">
        <v>1515</v>
      </c>
      <c r="K705" s="597"/>
      <c r="L705" s="597"/>
      <c r="M705" s="597"/>
      <c r="N705" s="599"/>
    </row>
    <row r="706" spans="2:14">
      <c r="B706" s="582">
        <f t="shared" si="10"/>
        <v>696</v>
      </c>
      <c r="C706" s="592" t="s">
        <v>814</v>
      </c>
      <c r="D706" s="593"/>
      <c r="E706" s="594" t="s">
        <v>11</v>
      </c>
      <c r="F706" s="600">
        <v>29362</v>
      </c>
      <c r="G706" s="597"/>
      <c r="H706" s="597"/>
      <c r="I706" s="597"/>
      <c r="J706" s="597" t="s">
        <v>1515</v>
      </c>
      <c r="K706" s="597"/>
      <c r="L706" s="597"/>
      <c r="M706" s="597"/>
      <c r="N706" s="599"/>
    </row>
    <row r="707" spans="2:14">
      <c r="B707" s="582">
        <f t="shared" si="10"/>
        <v>697</v>
      </c>
      <c r="C707" s="592" t="s">
        <v>816</v>
      </c>
      <c r="D707" s="593"/>
      <c r="E707" s="594" t="s">
        <v>11</v>
      </c>
      <c r="F707" s="600">
        <v>11064</v>
      </c>
      <c r="G707" s="597"/>
      <c r="H707" s="597"/>
      <c r="I707" s="597"/>
      <c r="J707" s="597" t="s">
        <v>1515</v>
      </c>
      <c r="K707" s="597"/>
      <c r="L707" s="597"/>
      <c r="M707" s="597"/>
      <c r="N707" s="599"/>
    </row>
    <row r="708" spans="2:14" ht="29">
      <c r="B708" s="582">
        <f t="shared" si="10"/>
        <v>698</v>
      </c>
      <c r="C708" s="592" t="s">
        <v>818</v>
      </c>
      <c r="D708" s="593"/>
      <c r="E708" s="594" t="s">
        <v>11</v>
      </c>
      <c r="F708" s="600">
        <v>5170</v>
      </c>
      <c r="G708" s="597"/>
      <c r="H708" s="597"/>
      <c r="I708" s="597"/>
      <c r="J708" s="597" t="s">
        <v>1515</v>
      </c>
      <c r="K708" s="597"/>
      <c r="L708" s="597"/>
      <c r="M708" s="597"/>
      <c r="N708" s="599"/>
    </row>
    <row r="709" spans="2:14">
      <c r="B709" s="582">
        <f t="shared" si="10"/>
        <v>699</v>
      </c>
      <c r="C709" s="592" t="s">
        <v>820</v>
      </c>
      <c r="D709" s="593"/>
      <c r="E709" s="594" t="s">
        <v>11</v>
      </c>
      <c r="F709" s="600">
        <v>1107</v>
      </c>
      <c r="G709" s="597"/>
      <c r="H709" s="597"/>
      <c r="I709" s="597"/>
      <c r="J709" s="597" t="s">
        <v>1515</v>
      </c>
      <c r="K709" s="597"/>
      <c r="L709" s="597"/>
      <c r="M709" s="597"/>
      <c r="N709" s="599"/>
    </row>
    <row r="710" spans="2:14">
      <c r="B710" s="582">
        <f t="shared" si="10"/>
        <v>700</v>
      </c>
      <c r="C710" s="592" t="s">
        <v>822</v>
      </c>
      <c r="D710" s="593"/>
      <c r="E710" s="594" t="s">
        <v>11</v>
      </c>
      <c r="F710" s="600">
        <v>71992</v>
      </c>
      <c r="G710" s="597"/>
      <c r="H710" s="597"/>
      <c r="I710" s="597"/>
      <c r="J710" s="597" t="s">
        <v>1515</v>
      </c>
      <c r="K710" s="597"/>
      <c r="L710" s="597"/>
      <c r="M710" s="597"/>
      <c r="N710" s="599"/>
    </row>
    <row r="711" spans="2:14">
      <c r="B711" s="582">
        <f t="shared" ref="B711:B774" si="11">B710+1</f>
        <v>701</v>
      </c>
      <c r="C711" s="592" t="s">
        <v>824</v>
      </c>
      <c r="D711" s="593"/>
      <c r="E711" s="594" t="s">
        <v>11</v>
      </c>
      <c r="F711" s="600">
        <v>56410</v>
      </c>
      <c r="G711" s="597"/>
      <c r="H711" s="597"/>
      <c r="I711" s="597"/>
      <c r="J711" s="597" t="s">
        <v>1515</v>
      </c>
      <c r="K711" s="597"/>
      <c r="L711" s="597"/>
      <c r="M711" s="597"/>
      <c r="N711" s="599"/>
    </row>
    <row r="712" spans="2:14">
      <c r="B712" s="582">
        <f t="shared" si="11"/>
        <v>702</v>
      </c>
      <c r="C712" s="592" t="s">
        <v>826</v>
      </c>
      <c r="D712" s="593"/>
      <c r="E712" s="594" t="s">
        <v>11</v>
      </c>
      <c r="F712" s="600">
        <v>356893</v>
      </c>
      <c r="G712" s="597"/>
      <c r="H712" s="597"/>
      <c r="I712" s="597"/>
      <c r="J712" s="597" t="s">
        <v>1515</v>
      </c>
      <c r="K712" s="597"/>
      <c r="L712" s="597"/>
      <c r="M712" s="597"/>
      <c r="N712" s="599"/>
    </row>
    <row r="713" spans="2:14">
      <c r="B713" s="582">
        <f t="shared" si="11"/>
        <v>703</v>
      </c>
      <c r="C713" s="592" t="s">
        <v>828</v>
      </c>
      <c r="D713" s="593"/>
      <c r="E713" s="594" t="s">
        <v>36</v>
      </c>
      <c r="F713" s="600">
        <v>126322</v>
      </c>
      <c r="G713" s="597"/>
      <c r="H713" s="597"/>
      <c r="I713" s="597"/>
      <c r="J713" s="597" t="s">
        <v>1515</v>
      </c>
      <c r="K713" s="597"/>
      <c r="L713" s="597"/>
      <c r="M713" s="597"/>
      <c r="N713" s="599"/>
    </row>
    <row r="714" spans="2:14">
      <c r="B714" s="582">
        <f t="shared" si="11"/>
        <v>704</v>
      </c>
      <c r="C714" s="592" t="s">
        <v>830</v>
      </c>
      <c r="D714" s="593" t="s">
        <v>2061</v>
      </c>
      <c r="E714" s="594" t="s">
        <v>11</v>
      </c>
      <c r="F714" s="600">
        <v>3758</v>
      </c>
      <c r="G714" s="597"/>
      <c r="H714" s="597"/>
      <c r="I714" s="597"/>
      <c r="J714" s="597" t="s">
        <v>1515</v>
      </c>
      <c r="K714" s="597"/>
      <c r="L714" s="597"/>
      <c r="M714" s="597"/>
      <c r="N714" s="599"/>
    </row>
    <row r="715" spans="2:14">
      <c r="B715" s="582">
        <f t="shared" si="11"/>
        <v>705</v>
      </c>
      <c r="C715" s="592" t="s">
        <v>832</v>
      </c>
      <c r="D715" s="593"/>
      <c r="E715" s="594" t="s">
        <v>11</v>
      </c>
      <c r="F715" s="600">
        <v>18343</v>
      </c>
      <c r="G715" s="597"/>
      <c r="H715" s="597"/>
      <c r="I715" s="597"/>
      <c r="J715" s="597" t="s">
        <v>1515</v>
      </c>
      <c r="K715" s="597"/>
      <c r="L715" s="597"/>
      <c r="M715" s="597"/>
      <c r="N715" s="599"/>
    </row>
    <row r="716" spans="2:14">
      <c r="B716" s="582">
        <f t="shared" si="11"/>
        <v>706</v>
      </c>
      <c r="C716" s="592" t="s">
        <v>834</v>
      </c>
      <c r="D716" s="593"/>
      <c r="E716" s="594" t="s">
        <v>11</v>
      </c>
      <c r="F716" s="600">
        <v>173825</v>
      </c>
      <c r="G716" s="597"/>
      <c r="H716" s="597"/>
      <c r="I716" s="597"/>
      <c r="J716" s="597" t="s">
        <v>1515</v>
      </c>
      <c r="K716" s="597"/>
      <c r="L716" s="597"/>
      <c r="M716" s="597"/>
      <c r="N716" s="599"/>
    </row>
    <row r="717" spans="2:14">
      <c r="B717" s="582">
        <f t="shared" si="11"/>
        <v>707</v>
      </c>
      <c r="C717" s="592" t="s">
        <v>836</v>
      </c>
      <c r="D717" s="593"/>
      <c r="E717" s="594" t="s">
        <v>11</v>
      </c>
      <c r="F717" s="600">
        <v>229379</v>
      </c>
      <c r="G717" s="597"/>
      <c r="H717" s="597"/>
      <c r="I717" s="597"/>
      <c r="J717" s="597" t="s">
        <v>1515</v>
      </c>
      <c r="K717" s="597"/>
      <c r="L717" s="597"/>
      <c r="M717" s="597"/>
      <c r="N717" s="599"/>
    </row>
    <row r="718" spans="2:14">
      <c r="B718" s="582">
        <f t="shared" si="11"/>
        <v>708</v>
      </c>
      <c r="C718" s="592" t="s">
        <v>838</v>
      </c>
      <c r="D718" s="593"/>
      <c r="E718" s="594" t="s">
        <v>36</v>
      </c>
      <c r="F718" s="600">
        <v>108824</v>
      </c>
      <c r="G718" s="597"/>
      <c r="H718" s="597"/>
      <c r="I718" s="597"/>
      <c r="J718" s="597" t="s">
        <v>1515</v>
      </c>
      <c r="K718" s="597"/>
      <c r="L718" s="597"/>
      <c r="M718" s="597"/>
      <c r="N718" s="599"/>
    </row>
    <row r="719" spans="2:14" ht="29">
      <c r="B719" s="582">
        <f t="shared" si="11"/>
        <v>709</v>
      </c>
      <c r="C719" s="592" t="s">
        <v>840</v>
      </c>
      <c r="D719" s="593"/>
      <c r="E719" s="594" t="s">
        <v>36</v>
      </c>
      <c r="F719" s="600">
        <v>111897</v>
      </c>
      <c r="G719" s="597"/>
      <c r="H719" s="597"/>
      <c r="I719" s="597"/>
      <c r="J719" s="597" t="s">
        <v>1515</v>
      </c>
      <c r="K719" s="597"/>
      <c r="L719" s="597"/>
      <c r="M719" s="597"/>
      <c r="N719" s="599"/>
    </row>
    <row r="720" spans="2:14" ht="29">
      <c r="B720" s="582">
        <f t="shared" si="11"/>
        <v>710</v>
      </c>
      <c r="C720" s="592" t="s">
        <v>842</v>
      </c>
      <c r="D720" s="593"/>
      <c r="E720" s="594" t="s">
        <v>36</v>
      </c>
      <c r="F720" s="600">
        <v>280406</v>
      </c>
      <c r="G720" s="597"/>
      <c r="H720" s="597"/>
      <c r="I720" s="597"/>
      <c r="J720" s="597" t="s">
        <v>1515</v>
      </c>
      <c r="K720" s="597"/>
      <c r="L720" s="597"/>
      <c r="M720" s="597"/>
      <c r="N720" s="599"/>
    </row>
    <row r="721" spans="1:14">
      <c r="B721" s="582">
        <f t="shared" si="11"/>
        <v>711</v>
      </c>
      <c r="C721" s="592" t="s">
        <v>844</v>
      </c>
      <c r="D721" s="593"/>
      <c r="E721" s="594" t="s">
        <v>11</v>
      </c>
      <c r="F721" s="600">
        <v>152681</v>
      </c>
      <c r="G721" s="597"/>
      <c r="H721" s="597"/>
      <c r="I721" s="597"/>
      <c r="J721" s="597" t="s">
        <v>1515</v>
      </c>
      <c r="K721" s="597"/>
      <c r="L721" s="597"/>
      <c r="M721" s="597"/>
      <c r="N721" s="599"/>
    </row>
    <row r="722" spans="1:14">
      <c r="B722" s="582">
        <f t="shared" si="11"/>
        <v>712</v>
      </c>
      <c r="C722" s="592" t="s">
        <v>846</v>
      </c>
      <c r="D722" s="593"/>
      <c r="E722" s="594" t="s">
        <v>11</v>
      </c>
      <c r="F722" s="600">
        <v>116342</v>
      </c>
      <c r="G722" s="597"/>
      <c r="H722" s="597"/>
      <c r="I722" s="597"/>
      <c r="J722" s="597" t="s">
        <v>1515</v>
      </c>
      <c r="K722" s="597"/>
      <c r="L722" s="597"/>
      <c r="M722" s="597"/>
      <c r="N722" s="599"/>
    </row>
    <row r="723" spans="1:14">
      <c r="B723" s="582">
        <f t="shared" si="11"/>
        <v>713</v>
      </c>
      <c r="C723" s="592" t="s">
        <v>848</v>
      </c>
      <c r="D723" s="593"/>
      <c r="E723" s="594" t="s">
        <v>11</v>
      </c>
      <c r="F723" s="600">
        <v>186136</v>
      </c>
      <c r="G723" s="597"/>
      <c r="H723" s="597"/>
      <c r="I723" s="597"/>
      <c r="J723" s="597" t="s">
        <v>1515</v>
      </c>
      <c r="K723" s="597"/>
      <c r="L723" s="597"/>
      <c r="M723" s="597"/>
      <c r="N723" s="599"/>
    </row>
    <row r="724" spans="1:14">
      <c r="B724" s="582">
        <f t="shared" si="11"/>
        <v>714</v>
      </c>
      <c r="C724" s="592" t="s">
        <v>850</v>
      </c>
      <c r="D724" s="593"/>
      <c r="E724" s="594" t="s">
        <v>11</v>
      </c>
      <c r="F724" s="600">
        <v>261631</v>
      </c>
      <c r="G724" s="597"/>
      <c r="H724" s="597"/>
      <c r="I724" s="597"/>
      <c r="J724" s="597" t="s">
        <v>1515</v>
      </c>
      <c r="K724" s="597"/>
      <c r="L724" s="597"/>
      <c r="M724" s="597"/>
      <c r="N724" s="599"/>
    </row>
    <row r="725" spans="1:14">
      <c r="B725" s="582">
        <f t="shared" si="11"/>
        <v>715</v>
      </c>
      <c r="C725" s="592" t="s">
        <v>852</v>
      </c>
      <c r="D725" s="593"/>
      <c r="E725" s="594" t="s">
        <v>36</v>
      </c>
      <c r="F725" s="600">
        <v>832</v>
      </c>
      <c r="G725" s="597"/>
      <c r="H725" s="597"/>
      <c r="I725" s="597"/>
      <c r="J725" s="597" t="s">
        <v>1515</v>
      </c>
      <c r="K725" s="597"/>
      <c r="L725" s="597"/>
      <c r="M725" s="597"/>
      <c r="N725" s="599"/>
    </row>
    <row r="726" spans="1:14">
      <c r="A726" s="562" t="s">
        <v>393</v>
      </c>
      <c r="B726" s="582">
        <f t="shared" si="11"/>
        <v>716</v>
      </c>
      <c r="C726" s="592" t="s">
        <v>2375</v>
      </c>
      <c r="D726" s="593" t="s">
        <v>2062</v>
      </c>
      <c r="E726" s="594" t="s">
        <v>11</v>
      </c>
      <c r="F726" s="600">
        <v>74403</v>
      </c>
      <c r="G726" s="597"/>
      <c r="H726" s="597"/>
      <c r="I726" s="597"/>
      <c r="J726" s="597" t="s">
        <v>1515</v>
      </c>
      <c r="K726" s="597"/>
      <c r="L726" s="597"/>
      <c r="M726" s="597"/>
      <c r="N726" s="599"/>
    </row>
    <row r="727" spans="1:14">
      <c r="B727" s="582">
        <f t="shared" si="11"/>
        <v>717</v>
      </c>
      <c r="C727" s="592" t="s">
        <v>854</v>
      </c>
      <c r="D727" s="593"/>
      <c r="E727" s="594" t="s">
        <v>11</v>
      </c>
      <c r="F727" s="600">
        <v>58982</v>
      </c>
      <c r="G727" s="597"/>
      <c r="H727" s="597"/>
      <c r="I727" s="597"/>
      <c r="J727" s="597" t="s">
        <v>1515</v>
      </c>
      <c r="K727" s="597"/>
      <c r="L727" s="597"/>
      <c r="M727" s="597"/>
      <c r="N727" s="599"/>
    </row>
    <row r="728" spans="1:14">
      <c r="B728" s="582">
        <f t="shared" si="11"/>
        <v>718</v>
      </c>
      <c r="C728" s="592" t="s">
        <v>856</v>
      </c>
      <c r="D728" s="593"/>
      <c r="E728" s="594" t="s">
        <v>36</v>
      </c>
      <c r="F728" s="600">
        <v>320081</v>
      </c>
      <c r="G728" s="597"/>
      <c r="H728" s="597"/>
      <c r="I728" s="597"/>
      <c r="J728" s="597" t="s">
        <v>1515</v>
      </c>
      <c r="K728" s="597"/>
      <c r="L728" s="597"/>
      <c r="M728" s="597"/>
      <c r="N728" s="599"/>
    </row>
    <row r="729" spans="1:14">
      <c r="B729" s="582">
        <f t="shared" si="11"/>
        <v>719</v>
      </c>
      <c r="C729" s="592" t="s">
        <v>858</v>
      </c>
      <c r="D729" s="593"/>
      <c r="E729" s="594" t="s">
        <v>11</v>
      </c>
      <c r="F729" s="600">
        <v>367518</v>
      </c>
      <c r="G729" s="597"/>
      <c r="H729" s="597"/>
      <c r="I729" s="597"/>
      <c r="J729" s="597" t="s">
        <v>1515</v>
      </c>
      <c r="K729" s="597"/>
      <c r="L729" s="597"/>
      <c r="M729" s="597"/>
      <c r="N729" s="599"/>
    </row>
    <row r="730" spans="1:14">
      <c r="B730" s="582">
        <f t="shared" si="11"/>
        <v>720</v>
      </c>
      <c r="C730" s="592" t="s">
        <v>860</v>
      </c>
      <c r="D730" s="593"/>
      <c r="E730" s="594" t="s">
        <v>11</v>
      </c>
      <c r="F730" s="600">
        <v>222507</v>
      </c>
      <c r="G730" s="597"/>
      <c r="H730" s="597"/>
      <c r="I730" s="597"/>
      <c r="J730" s="597" t="s">
        <v>1515</v>
      </c>
      <c r="K730" s="597"/>
      <c r="L730" s="597"/>
      <c r="M730" s="597"/>
      <c r="N730" s="599"/>
    </row>
    <row r="731" spans="1:14">
      <c r="B731" s="582">
        <f t="shared" si="11"/>
        <v>721</v>
      </c>
      <c r="C731" s="592" t="s">
        <v>862</v>
      </c>
      <c r="D731" s="593"/>
      <c r="E731" s="594" t="s">
        <v>11</v>
      </c>
      <c r="F731" s="600">
        <v>919</v>
      </c>
      <c r="G731" s="597"/>
      <c r="H731" s="597"/>
      <c r="I731" s="597"/>
      <c r="J731" s="597" t="s">
        <v>1515</v>
      </c>
      <c r="K731" s="597"/>
      <c r="L731" s="597"/>
      <c r="M731" s="597"/>
      <c r="N731" s="599"/>
    </row>
    <row r="732" spans="1:14">
      <c r="B732" s="582">
        <f t="shared" si="11"/>
        <v>722</v>
      </c>
      <c r="C732" s="592" t="s">
        <v>864</v>
      </c>
      <c r="D732" s="593"/>
      <c r="E732" s="594" t="s">
        <v>11</v>
      </c>
      <c r="F732" s="600">
        <v>451389</v>
      </c>
      <c r="G732" s="597"/>
      <c r="H732" s="597"/>
      <c r="I732" s="597"/>
      <c r="J732" s="597" t="s">
        <v>1515</v>
      </c>
      <c r="K732" s="597"/>
      <c r="L732" s="597"/>
      <c r="M732" s="597"/>
      <c r="N732" s="599"/>
    </row>
    <row r="733" spans="1:14">
      <c r="B733" s="582">
        <f t="shared" si="11"/>
        <v>723</v>
      </c>
      <c r="C733" s="592" t="s">
        <v>866</v>
      </c>
      <c r="D733" s="593"/>
      <c r="E733" s="594" t="s">
        <v>11</v>
      </c>
      <c r="F733" s="600">
        <v>241993</v>
      </c>
      <c r="G733" s="597"/>
      <c r="H733" s="597"/>
      <c r="I733" s="597"/>
      <c r="J733" s="597" t="s">
        <v>1515</v>
      </c>
      <c r="K733" s="597"/>
      <c r="L733" s="597"/>
      <c r="M733" s="597"/>
      <c r="N733" s="599"/>
    </row>
    <row r="734" spans="1:14">
      <c r="B734" s="582">
        <f t="shared" si="11"/>
        <v>724</v>
      </c>
      <c r="C734" s="592" t="s">
        <v>868</v>
      </c>
      <c r="D734" s="593"/>
      <c r="E734" s="594" t="s">
        <v>11</v>
      </c>
      <c r="F734" s="600">
        <v>199137</v>
      </c>
      <c r="G734" s="597"/>
      <c r="H734" s="597"/>
      <c r="I734" s="597"/>
      <c r="J734" s="597" t="s">
        <v>1515</v>
      </c>
      <c r="K734" s="597"/>
      <c r="L734" s="597"/>
      <c r="M734" s="597"/>
      <c r="N734" s="599"/>
    </row>
    <row r="735" spans="1:14">
      <c r="B735" s="582">
        <f t="shared" si="11"/>
        <v>725</v>
      </c>
      <c r="C735" s="592" t="s">
        <v>498</v>
      </c>
      <c r="D735" s="593" t="s">
        <v>2063</v>
      </c>
      <c r="E735" s="594" t="s">
        <v>11</v>
      </c>
      <c r="F735" s="600">
        <v>49735</v>
      </c>
      <c r="G735" s="597"/>
      <c r="H735" s="597"/>
      <c r="I735" s="597"/>
      <c r="J735" s="597" t="s">
        <v>1515</v>
      </c>
      <c r="K735" s="597"/>
      <c r="L735" s="597"/>
      <c r="M735" s="597"/>
      <c r="N735" s="599"/>
    </row>
    <row r="736" spans="1:14">
      <c r="B736" s="582">
        <f t="shared" si="11"/>
        <v>726</v>
      </c>
      <c r="C736" s="592" t="s">
        <v>870</v>
      </c>
      <c r="D736" s="593"/>
      <c r="E736" s="594" t="s">
        <v>11</v>
      </c>
      <c r="F736" s="600">
        <v>1247</v>
      </c>
      <c r="G736" s="597"/>
      <c r="H736" s="597"/>
      <c r="I736" s="597"/>
      <c r="J736" s="597" t="s">
        <v>1515</v>
      </c>
      <c r="K736" s="597"/>
      <c r="L736" s="597"/>
      <c r="M736" s="597"/>
      <c r="N736" s="599"/>
    </row>
    <row r="737" spans="1:14">
      <c r="A737" s="562" t="s">
        <v>407</v>
      </c>
      <c r="B737" s="582">
        <f t="shared" si="11"/>
        <v>727</v>
      </c>
      <c r="C737" s="592" t="s">
        <v>408</v>
      </c>
      <c r="D737" s="593" t="s">
        <v>2064</v>
      </c>
      <c r="E737" s="594" t="s">
        <v>11</v>
      </c>
      <c r="F737" s="600">
        <v>74428</v>
      </c>
      <c r="G737" s="597"/>
      <c r="H737" s="597"/>
      <c r="I737" s="597"/>
      <c r="J737" s="597" t="s">
        <v>1515</v>
      </c>
      <c r="K737" s="597"/>
      <c r="L737" s="597"/>
      <c r="M737" s="597"/>
      <c r="N737" s="599"/>
    </row>
    <row r="738" spans="1:14">
      <c r="B738" s="582">
        <f t="shared" si="11"/>
        <v>728</v>
      </c>
      <c r="C738" s="592" t="s">
        <v>872</v>
      </c>
      <c r="D738" s="593"/>
      <c r="E738" s="594" t="s">
        <v>11</v>
      </c>
      <c r="F738" s="600">
        <v>33676</v>
      </c>
      <c r="G738" s="597"/>
      <c r="H738" s="597"/>
      <c r="I738" s="597"/>
      <c r="J738" s="597" t="s">
        <v>1515</v>
      </c>
      <c r="K738" s="597"/>
      <c r="L738" s="597"/>
      <c r="M738" s="597"/>
      <c r="N738" s="599"/>
    </row>
    <row r="739" spans="1:14" ht="29">
      <c r="B739" s="582">
        <f t="shared" si="11"/>
        <v>729</v>
      </c>
      <c r="C739" s="592" t="s">
        <v>874</v>
      </c>
      <c r="D739" s="593"/>
      <c r="E739" s="594" t="s">
        <v>11</v>
      </c>
      <c r="F739" s="600">
        <v>196301</v>
      </c>
      <c r="G739" s="597"/>
      <c r="H739" s="597"/>
      <c r="I739" s="597"/>
      <c r="J739" s="597" t="s">
        <v>1515</v>
      </c>
      <c r="K739" s="597"/>
      <c r="L739" s="597"/>
      <c r="M739" s="597"/>
      <c r="N739" s="599"/>
    </row>
    <row r="740" spans="1:14">
      <c r="B740" s="582">
        <f t="shared" si="11"/>
        <v>730</v>
      </c>
      <c r="C740" s="592" t="s">
        <v>876</v>
      </c>
      <c r="D740" s="593"/>
      <c r="E740" s="594" t="s">
        <v>11</v>
      </c>
      <c r="F740" s="600">
        <v>183266</v>
      </c>
      <c r="G740" s="597"/>
      <c r="H740" s="597"/>
      <c r="I740" s="597"/>
      <c r="J740" s="597" t="s">
        <v>1515</v>
      </c>
      <c r="K740" s="597"/>
      <c r="L740" s="597"/>
      <c r="M740" s="597"/>
      <c r="N740" s="599"/>
    </row>
    <row r="741" spans="1:14" ht="29">
      <c r="B741" s="582">
        <f t="shared" si="11"/>
        <v>731</v>
      </c>
      <c r="C741" s="592" t="s">
        <v>878</v>
      </c>
      <c r="D741" s="593"/>
      <c r="E741" s="594" t="s">
        <v>11</v>
      </c>
      <c r="F741" s="600">
        <v>5909</v>
      </c>
      <c r="G741" s="597"/>
      <c r="H741" s="597"/>
      <c r="I741" s="597"/>
      <c r="J741" s="597" t="s">
        <v>1515</v>
      </c>
      <c r="K741" s="597"/>
      <c r="L741" s="597"/>
      <c r="M741" s="597"/>
      <c r="N741" s="599"/>
    </row>
    <row r="742" spans="1:14">
      <c r="B742" s="582">
        <f t="shared" si="11"/>
        <v>732</v>
      </c>
      <c r="C742" s="592" t="s">
        <v>880</v>
      </c>
      <c r="D742" s="593"/>
      <c r="E742" s="594" t="s">
        <v>11</v>
      </c>
      <c r="F742" s="600">
        <v>71381</v>
      </c>
      <c r="G742" s="597"/>
      <c r="H742" s="597"/>
      <c r="I742" s="597"/>
      <c r="J742" s="597" t="s">
        <v>1515</v>
      </c>
      <c r="K742" s="597"/>
      <c r="L742" s="597"/>
      <c r="M742" s="597"/>
      <c r="N742" s="599"/>
    </row>
    <row r="743" spans="1:14">
      <c r="B743" s="582">
        <f t="shared" si="11"/>
        <v>733</v>
      </c>
      <c r="C743" s="592" t="s">
        <v>882</v>
      </c>
      <c r="D743" s="593"/>
      <c r="E743" s="594" t="s">
        <v>11</v>
      </c>
      <c r="F743" s="600">
        <v>77249</v>
      </c>
      <c r="G743" s="597"/>
      <c r="H743" s="597"/>
      <c r="I743" s="597"/>
      <c r="J743" s="597" t="s">
        <v>1515</v>
      </c>
      <c r="K743" s="597"/>
      <c r="L743" s="597"/>
      <c r="M743" s="597"/>
      <c r="N743" s="599"/>
    </row>
    <row r="744" spans="1:14">
      <c r="B744" s="582">
        <f t="shared" si="11"/>
        <v>734</v>
      </c>
      <c r="C744" s="592" t="s">
        <v>884</v>
      </c>
      <c r="D744" s="593"/>
      <c r="E744" s="594" t="s">
        <v>11</v>
      </c>
      <c r="F744" s="600">
        <v>430246</v>
      </c>
      <c r="G744" s="597"/>
      <c r="H744" s="597"/>
      <c r="I744" s="597"/>
      <c r="J744" s="597" t="s">
        <v>1515</v>
      </c>
      <c r="K744" s="597"/>
      <c r="L744" s="597"/>
      <c r="M744" s="597"/>
      <c r="N744" s="599"/>
    </row>
    <row r="745" spans="1:14">
      <c r="B745" s="582">
        <f t="shared" si="11"/>
        <v>735</v>
      </c>
      <c r="C745" s="592" t="s">
        <v>886</v>
      </c>
      <c r="D745" s="593"/>
      <c r="E745" s="594" t="s">
        <v>11</v>
      </c>
      <c r="F745" s="600">
        <v>311632</v>
      </c>
      <c r="G745" s="597"/>
      <c r="H745" s="597"/>
      <c r="I745" s="597"/>
      <c r="J745" s="597" t="s">
        <v>1515</v>
      </c>
      <c r="K745" s="597"/>
      <c r="L745" s="597"/>
      <c r="M745" s="597"/>
      <c r="N745" s="599"/>
    </row>
    <row r="746" spans="1:14">
      <c r="A746" s="562" t="s">
        <v>417</v>
      </c>
      <c r="B746" s="582">
        <f t="shared" si="11"/>
        <v>736</v>
      </c>
      <c r="C746" s="592" t="s">
        <v>2065</v>
      </c>
      <c r="D746" s="593" t="s">
        <v>2066</v>
      </c>
      <c r="E746" s="594" t="s">
        <v>36</v>
      </c>
      <c r="F746" s="600">
        <v>25210</v>
      </c>
      <c r="G746" s="597"/>
      <c r="H746" s="597"/>
      <c r="I746" s="597"/>
      <c r="J746" s="597" t="s">
        <v>1515</v>
      </c>
      <c r="K746" s="597"/>
      <c r="L746" s="597"/>
      <c r="M746" s="597"/>
      <c r="N746" s="599"/>
    </row>
    <row r="747" spans="1:14">
      <c r="B747" s="582">
        <f t="shared" si="11"/>
        <v>737</v>
      </c>
      <c r="C747" s="592" t="s">
        <v>888</v>
      </c>
      <c r="D747" s="593"/>
      <c r="E747" s="594" t="s">
        <v>11</v>
      </c>
      <c r="F747" s="600">
        <v>23905</v>
      </c>
      <c r="G747" s="597"/>
      <c r="H747" s="597"/>
      <c r="I747" s="597"/>
      <c r="J747" s="597" t="s">
        <v>1515</v>
      </c>
      <c r="K747" s="597"/>
      <c r="L747" s="597"/>
      <c r="M747" s="597"/>
      <c r="N747" s="599"/>
    </row>
    <row r="748" spans="1:14">
      <c r="B748" s="582">
        <f t="shared" si="11"/>
        <v>738</v>
      </c>
      <c r="C748" s="592" t="s">
        <v>890</v>
      </c>
      <c r="D748" s="593"/>
      <c r="E748" s="594" t="s">
        <v>11</v>
      </c>
      <c r="F748" s="600">
        <v>66336</v>
      </c>
      <c r="G748" s="597"/>
      <c r="H748" s="597"/>
      <c r="I748" s="597"/>
      <c r="J748" s="597" t="s">
        <v>1515</v>
      </c>
      <c r="K748" s="597"/>
      <c r="L748" s="597"/>
      <c r="M748" s="597"/>
      <c r="N748" s="599"/>
    </row>
    <row r="749" spans="1:14">
      <c r="B749" s="582">
        <f t="shared" si="11"/>
        <v>739</v>
      </c>
      <c r="C749" s="592" t="s">
        <v>506</v>
      </c>
      <c r="D749" s="593" t="s">
        <v>1407</v>
      </c>
      <c r="E749" s="594" t="s">
        <v>11</v>
      </c>
      <c r="F749" s="600">
        <v>5553</v>
      </c>
      <c r="G749" s="597"/>
      <c r="H749" s="597"/>
      <c r="I749" s="597"/>
      <c r="J749" s="597" t="s">
        <v>1515</v>
      </c>
      <c r="K749" s="597"/>
      <c r="L749" s="597"/>
      <c r="M749" s="597"/>
      <c r="N749" s="599"/>
    </row>
    <row r="750" spans="1:14">
      <c r="B750" s="582">
        <f t="shared" si="11"/>
        <v>740</v>
      </c>
      <c r="C750" s="592" t="s">
        <v>892</v>
      </c>
      <c r="D750" s="593"/>
      <c r="E750" s="594" t="s">
        <v>11</v>
      </c>
      <c r="F750" s="600">
        <v>322502</v>
      </c>
      <c r="G750" s="597"/>
      <c r="H750" s="597"/>
      <c r="I750" s="597"/>
      <c r="J750" s="597" t="s">
        <v>1515</v>
      </c>
      <c r="K750" s="597"/>
      <c r="L750" s="597"/>
      <c r="M750" s="597"/>
      <c r="N750" s="599"/>
    </row>
    <row r="751" spans="1:14">
      <c r="B751" s="582">
        <f t="shared" si="11"/>
        <v>741</v>
      </c>
      <c r="C751" s="592" t="s">
        <v>894</v>
      </c>
      <c r="D751" s="593"/>
      <c r="E751" s="594" t="s">
        <v>11</v>
      </c>
      <c r="F751" s="600">
        <v>479806</v>
      </c>
      <c r="G751" s="597"/>
      <c r="H751" s="597"/>
      <c r="I751" s="597"/>
      <c r="J751" s="597" t="s">
        <v>1515</v>
      </c>
      <c r="K751" s="597"/>
      <c r="L751" s="597"/>
      <c r="M751" s="597"/>
      <c r="N751" s="599"/>
    </row>
    <row r="752" spans="1:14">
      <c r="B752" s="582">
        <f t="shared" si="11"/>
        <v>742</v>
      </c>
      <c r="C752" s="592" t="s">
        <v>896</v>
      </c>
      <c r="D752" s="593"/>
      <c r="E752" s="594" t="s">
        <v>11</v>
      </c>
      <c r="F752" s="600">
        <v>11963</v>
      </c>
      <c r="G752" s="597"/>
      <c r="H752" s="597"/>
      <c r="I752" s="597"/>
      <c r="J752" s="597" t="s">
        <v>1515</v>
      </c>
      <c r="K752" s="597"/>
      <c r="L752" s="597"/>
      <c r="M752" s="597"/>
      <c r="N752" s="599"/>
    </row>
    <row r="753" spans="1:14" ht="29">
      <c r="B753" s="582">
        <f t="shared" si="11"/>
        <v>743</v>
      </c>
      <c r="C753" s="592" t="s">
        <v>898</v>
      </c>
      <c r="D753" s="593"/>
      <c r="E753" s="594" t="s">
        <v>11</v>
      </c>
      <c r="F753" s="600">
        <v>420329</v>
      </c>
      <c r="G753" s="597"/>
      <c r="H753" s="597"/>
      <c r="I753" s="597"/>
      <c r="J753" s="597" t="s">
        <v>1515</v>
      </c>
      <c r="K753" s="597"/>
      <c r="L753" s="597"/>
      <c r="M753" s="597"/>
      <c r="N753" s="599"/>
    </row>
    <row r="754" spans="1:14">
      <c r="B754" s="582">
        <f t="shared" si="11"/>
        <v>744</v>
      </c>
      <c r="C754" s="592" t="s">
        <v>900</v>
      </c>
      <c r="D754" s="593"/>
      <c r="E754" s="594" t="s">
        <v>11</v>
      </c>
      <c r="F754" s="600">
        <v>12785</v>
      </c>
      <c r="G754" s="597"/>
      <c r="H754" s="597"/>
      <c r="I754" s="597"/>
      <c r="J754" s="597" t="s">
        <v>1515</v>
      </c>
      <c r="K754" s="597"/>
      <c r="L754" s="597"/>
      <c r="M754" s="597"/>
      <c r="N754" s="599"/>
    </row>
    <row r="755" spans="1:14">
      <c r="A755" s="562" t="s">
        <v>437</v>
      </c>
      <c r="B755" s="582">
        <f t="shared" si="11"/>
        <v>745</v>
      </c>
      <c r="C755" s="592" t="s">
        <v>2067</v>
      </c>
      <c r="D755" s="593" t="s">
        <v>2068</v>
      </c>
      <c r="E755" s="594" t="s">
        <v>36</v>
      </c>
      <c r="F755" s="600">
        <v>40860</v>
      </c>
      <c r="G755" s="597"/>
      <c r="H755" s="597"/>
      <c r="I755" s="597"/>
      <c r="J755" s="597" t="s">
        <v>1515</v>
      </c>
      <c r="K755" s="597"/>
      <c r="L755" s="597"/>
      <c r="M755" s="597"/>
      <c r="N755" s="599"/>
    </row>
    <row r="756" spans="1:14">
      <c r="B756" s="582">
        <f t="shared" si="11"/>
        <v>746</v>
      </c>
      <c r="C756" s="592" t="s">
        <v>902</v>
      </c>
      <c r="D756" s="593"/>
      <c r="E756" s="594" t="s">
        <v>11</v>
      </c>
      <c r="F756" s="600">
        <v>78401</v>
      </c>
      <c r="G756" s="597"/>
      <c r="H756" s="597"/>
      <c r="I756" s="597"/>
      <c r="J756" s="597" t="s">
        <v>1515</v>
      </c>
      <c r="K756" s="597"/>
      <c r="L756" s="597"/>
      <c r="M756" s="597"/>
      <c r="N756" s="599"/>
    </row>
    <row r="757" spans="1:14">
      <c r="B757" s="582">
        <f t="shared" si="11"/>
        <v>747</v>
      </c>
      <c r="C757" s="592" t="s">
        <v>903</v>
      </c>
      <c r="D757" s="593"/>
      <c r="E757" s="594" t="s">
        <v>11</v>
      </c>
      <c r="F757" s="600">
        <v>111412</v>
      </c>
      <c r="G757" s="597"/>
      <c r="H757" s="597"/>
      <c r="I757" s="597"/>
      <c r="J757" s="597" t="s">
        <v>1515</v>
      </c>
      <c r="K757" s="597"/>
      <c r="L757" s="597"/>
      <c r="M757" s="597"/>
      <c r="N757" s="599"/>
    </row>
    <row r="758" spans="1:14">
      <c r="B758" s="582">
        <f t="shared" si="11"/>
        <v>748</v>
      </c>
      <c r="C758" s="592" t="s">
        <v>508</v>
      </c>
      <c r="D758" s="593" t="s">
        <v>2059</v>
      </c>
      <c r="E758" s="594" t="s">
        <v>11</v>
      </c>
      <c r="F758" s="600">
        <v>156417</v>
      </c>
      <c r="G758" s="597"/>
      <c r="H758" s="597"/>
      <c r="I758" s="597"/>
      <c r="J758" s="597" t="s">
        <v>1515</v>
      </c>
      <c r="K758" s="597"/>
      <c r="L758" s="597"/>
      <c r="M758" s="597"/>
      <c r="N758" s="599"/>
    </row>
    <row r="759" spans="1:14">
      <c r="B759" s="582">
        <f t="shared" si="11"/>
        <v>749</v>
      </c>
      <c r="C759" s="592" t="s">
        <v>905</v>
      </c>
      <c r="D759" s="593"/>
      <c r="E759" s="594" t="s">
        <v>11</v>
      </c>
      <c r="F759" s="600">
        <v>19027</v>
      </c>
      <c r="G759" s="597"/>
      <c r="H759" s="597"/>
      <c r="I759" s="597"/>
      <c r="J759" s="597" t="s">
        <v>1515</v>
      </c>
      <c r="K759" s="597"/>
      <c r="L759" s="597"/>
      <c r="M759" s="597"/>
      <c r="N759" s="599"/>
    </row>
    <row r="760" spans="1:14">
      <c r="B760" s="582">
        <f t="shared" si="11"/>
        <v>750</v>
      </c>
      <c r="C760" s="592" t="s">
        <v>510</v>
      </c>
      <c r="D760" s="593" t="s">
        <v>2069</v>
      </c>
      <c r="E760" s="594" t="s">
        <v>11</v>
      </c>
      <c r="F760" s="600">
        <v>76396</v>
      </c>
      <c r="G760" s="597"/>
      <c r="H760" s="597"/>
      <c r="I760" s="597"/>
      <c r="J760" s="597" t="s">
        <v>1515</v>
      </c>
      <c r="K760" s="597"/>
      <c r="L760" s="597"/>
      <c r="M760" s="597"/>
      <c r="N760" s="599"/>
    </row>
    <row r="761" spans="1:14" ht="29">
      <c r="B761" s="582">
        <f t="shared" si="11"/>
        <v>751</v>
      </c>
      <c r="C761" s="592" t="s">
        <v>906</v>
      </c>
      <c r="D761" s="593"/>
      <c r="E761" s="594" t="s">
        <v>36</v>
      </c>
      <c r="F761" s="600">
        <v>150281</v>
      </c>
      <c r="G761" s="597"/>
      <c r="H761" s="597"/>
      <c r="I761" s="597"/>
      <c r="J761" s="597" t="s">
        <v>1515</v>
      </c>
      <c r="K761" s="597"/>
      <c r="L761" s="597"/>
      <c r="M761" s="597"/>
      <c r="N761" s="599"/>
    </row>
    <row r="762" spans="1:14">
      <c r="B762" s="582">
        <f t="shared" si="11"/>
        <v>752</v>
      </c>
      <c r="C762" s="583" t="s">
        <v>2070</v>
      </c>
      <c r="D762" s="593"/>
      <c r="G762" s="597"/>
      <c r="H762" s="597"/>
      <c r="I762" s="597"/>
      <c r="J762" s="597"/>
      <c r="K762" s="597"/>
      <c r="L762" s="597"/>
      <c r="M762" s="597"/>
      <c r="N762" s="599"/>
    </row>
    <row r="763" spans="1:14" ht="29">
      <c r="B763" s="582">
        <f t="shared" si="11"/>
        <v>753</v>
      </c>
      <c r="C763" s="592" t="s">
        <v>911</v>
      </c>
      <c r="D763" s="593"/>
      <c r="E763" s="594" t="s">
        <v>2052</v>
      </c>
      <c r="F763" s="600">
        <v>20992954</v>
      </c>
      <c r="G763" s="597" t="s">
        <v>1515</v>
      </c>
      <c r="H763" s="597"/>
      <c r="I763" s="597"/>
      <c r="J763" s="597"/>
      <c r="K763" s="597"/>
      <c r="L763" s="597"/>
      <c r="M763" s="597"/>
      <c r="N763" s="599"/>
    </row>
    <row r="764" spans="1:14" ht="29">
      <c r="B764" s="582">
        <f t="shared" si="11"/>
        <v>754</v>
      </c>
      <c r="C764" s="592" t="s">
        <v>912</v>
      </c>
      <c r="D764" s="593"/>
      <c r="E764" s="594" t="s">
        <v>2052</v>
      </c>
      <c r="F764" s="600">
        <v>2754262</v>
      </c>
      <c r="G764" s="597" t="s">
        <v>1515</v>
      </c>
      <c r="H764" s="597"/>
      <c r="I764" s="597"/>
      <c r="J764" s="597"/>
      <c r="K764" s="597"/>
      <c r="L764" s="597"/>
      <c r="M764" s="597"/>
      <c r="N764" s="599"/>
    </row>
    <row r="765" spans="1:14" ht="29">
      <c r="B765" s="582">
        <f t="shared" si="11"/>
        <v>755</v>
      </c>
      <c r="C765" s="583" t="s">
        <v>2071</v>
      </c>
      <c r="D765" s="593"/>
      <c r="G765" s="597"/>
      <c r="H765" s="597"/>
      <c r="I765" s="597"/>
      <c r="J765" s="597"/>
      <c r="K765" s="597"/>
      <c r="L765" s="597"/>
      <c r="M765" s="597"/>
      <c r="N765" s="599"/>
    </row>
    <row r="766" spans="1:14">
      <c r="B766" s="582">
        <f t="shared" si="11"/>
        <v>756</v>
      </c>
      <c r="C766" s="592" t="s">
        <v>951</v>
      </c>
      <c r="D766" s="593"/>
      <c r="E766" s="594" t="s">
        <v>11</v>
      </c>
      <c r="F766" s="600">
        <v>287835</v>
      </c>
      <c r="G766" s="597" t="s">
        <v>1515</v>
      </c>
      <c r="H766" s="597"/>
      <c r="I766" s="597"/>
      <c r="J766" s="597"/>
      <c r="K766" s="597"/>
      <c r="L766" s="597"/>
      <c r="M766" s="597"/>
      <c r="N766" s="599"/>
    </row>
    <row r="767" spans="1:14">
      <c r="B767" s="582">
        <f t="shared" si="11"/>
        <v>757</v>
      </c>
      <c r="C767" s="592" t="s">
        <v>952</v>
      </c>
      <c r="D767" s="593"/>
      <c r="E767" s="594" t="s">
        <v>11</v>
      </c>
      <c r="F767" s="600">
        <v>302609</v>
      </c>
      <c r="G767" s="597" t="s">
        <v>1515</v>
      </c>
      <c r="H767" s="597"/>
      <c r="I767" s="597"/>
      <c r="J767" s="597"/>
      <c r="K767" s="597"/>
      <c r="L767" s="597"/>
      <c r="M767" s="597"/>
      <c r="N767" s="599"/>
    </row>
    <row r="768" spans="1:14">
      <c r="B768" s="582">
        <f t="shared" si="11"/>
        <v>758</v>
      </c>
      <c r="C768" s="592" t="s">
        <v>953</v>
      </c>
      <c r="D768" s="593"/>
      <c r="E768" s="594" t="s">
        <v>11</v>
      </c>
      <c r="F768" s="600">
        <v>2978205</v>
      </c>
      <c r="G768" s="597" t="s">
        <v>1515</v>
      </c>
      <c r="H768" s="597"/>
      <c r="I768" s="597"/>
      <c r="J768" s="597"/>
      <c r="K768" s="597"/>
      <c r="L768" s="597"/>
      <c r="M768" s="597"/>
      <c r="N768" s="599"/>
    </row>
    <row r="769" spans="1:14">
      <c r="A769" s="562" t="s">
        <v>2072</v>
      </c>
      <c r="B769" s="582">
        <f t="shared" si="11"/>
        <v>759</v>
      </c>
      <c r="C769" s="592" t="s">
        <v>954</v>
      </c>
      <c r="D769" s="593" t="s">
        <v>2073</v>
      </c>
      <c r="E769" s="594" t="s">
        <v>36</v>
      </c>
      <c r="F769" s="600">
        <v>3115052</v>
      </c>
      <c r="G769" s="597" t="s">
        <v>1515</v>
      </c>
      <c r="H769" s="597"/>
      <c r="I769" s="597"/>
      <c r="J769" s="597"/>
      <c r="K769" s="597"/>
      <c r="L769" s="597"/>
      <c r="M769" s="597"/>
      <c r="N769" s="599"/>
    </row>
    <row r="770" spans="1:14">
      <c r="B770" s="582">
        <f t="shared" si="11"/>
        <v>760</v>
      </c>
      <c r="D770" s="593"/>
      <c r="F770" s="595"/>
      <c r="G770" s="597"/>
      <c r="H770" s="597"/>
      <c r="I770" s="597"/>
      <c r="J770" s="597"/>
      <c r="K770" s="597"/>
      <c r="L770" s="597"/>
      <c r="M770" s="597"/>
      <c r="N770" s="599"/>
    </row>
    <row r="771" spans="1:14">
      <c r="B771" s="582">
        <f t="shared" si="11"/>
        <v>761</v>
      </c>
      <c r="C771" s="583" t="s">
        <v>2074</v>
      </c>
      <c r="D771" s="593"/>
      <c r="F771" s="600">
        <v>82985149</v>
      </c>
      <c r="G771" s="597"/>
      <c r="H771" s="597"/>
      <c r="I771" s="597"/>
      <c r="J771" s="597"/>
      <c r="K771" s="597"/>
      <c r="L771" s="597"/>
      <c r="M771" s="597"/>
      <c r="N771" s="599"/>
    </row>
    <row r="772" spans="1:14">
      <c r="A772" s="562" t="s">
        <v>619</v>
      </c>
      <c r="B772" s="582">
        <f t="shared" si="11"/>
        <v>762</v>
      </c>
      <c r="C772" s="592" t="s">
        <v>2075</v>
      </c>
      <c r="D772" s="593" t="s">
        <v>2404</v>
      </c>
      <c r="E772" s="594" t="s">
        <v>11</v>
      </c>
      <c r="F772" s="595"/>
      <c r="G772" s="597" t="s">
        <v>1515</v>
      </c>
      <c r="H772" s="597"/>
      <c r="I772" s="620"/>
      <c r="J772" s="620"/>
      <c r="K772" s="597"/>
      <c r="L772" s="621"/>
      <c r="M772" s="610"/>
      <c r="N772" s="599"/>
    </row>
    <row r="773" spans="1:14">
      <c r="A773" s="562" t="s">
        <v>594</v>
      </c>
      <c r="B773" s="582">
        <f t="shared" si="11"/>
        <v>763</v>
      </c>
      <c r="C773" s="592" t="s">
        <v>2076</v>
      </c>
      <c r="D773" s="593" t="s">
        <v>2077</v>
      </c>
      <c r="E773" s="594" t="s">
        <v>36</v>
      </c>
      <c r="F773" s="595"/>
      <c r="G773" s="597" t="s">
        <v>1515</v>
      </c>
      <c r="H773" s="597"/>
      <c r="I773" s="620"/>
      <c r="J773" s="620"/>
      <c r="K773" s="597"/>
      <c r="L773" s="621"/>
      <c r="M773" s="610"/>
      <c r="N773" s="599"/>
    </row>
    <row r="774" spans="1:14">
      <c r="B774" s="582">
        <f t="shared" si="11"/>
        <v>764</v>
      </c>
      <c r="D774" s="593" t="s">
        <v>2405</v>
      </c>
      <c r="E774" s="594" t="s">
        <v>36</v>
      </c>
      <c r="F774" s="595"/>
      <c r="G774" s="597" t="s">
        <v>1515</v>
      </c>
      <c r="H774" s="597"/>
      <c r="I774" s="620"/>
      <c r="J774" s="620"/>
      <c r="K774" s="597"/>
      <c r="L774" s="621"/>
      <c r="M774" s="610"/>
      <c r="N774" s="599"/>
    </row>
    <row r="775" spans="1:14">
      <c r="B775" s="582">
        <f t="shared" ref="B775:B788" si="12">B774+1</f>
        <v>765</v>
      </c>
      <c r="D775" s="593" t="s">
        <v>2406</v>
      </c>
      <c r="E775" s="594" t="s">
        <v>11</v>
      </c>
      <c r="F775" s="595"/>
      <c r="G775" s="597" t="s">
        <v>1515</v>
      </c>
      <c r="H775" s="597"/>
      <c r="I775" s="620"/>
      <c r="J775" s="620"/>
      <c r="K775" s="597"/>
      <c r="L775" s="621"/>
      <c r="M775" s="610"/>
      <c r="N775" s="599"/>
    </row>
    <row r="776" spans="1:14">
      <c r="B776" s="582">
        <f t="shared" si="12"/>
        <v>766</v>
      </c>
      <c r="D776" s="593" t="s">
        <v>2078</v>
      </c>
      <c r="E776" s="594" t="s">
        <v>11</v>
      </c>
      <c r="F776" s="595"/>
      <c r="G776" s="597" t="s">
        <v>1515</v>
      </c>
      <c r="H776" s="597"/>
      <c r="I776" s="620"/>
      <c r="J776" s="620"/>
      <c r="K776" s="597"/>
      <c r="L776" s="621"/>
      <c r="M776" s="610"/>
      <c r="N776" s="599"/>
    </row>
    <row r="777" spans="1:14">
      <c r="B777" s="582">
        <f t="shared" si="12"/>
        <v>767</v>
      </c>
      <c r="D777" s="593" t="s">
        <v>2079</v>
      </c>
      <c r="E777" s="594" t="s">
        <v>11</v>
      </c>
      <c r="F777" s="595"/>
      <c r="G777" s="597" t="s">
        <v>1515</v>
      </c>
      <c r="H777" s="597"/>
      <c r="I777" s="620"/>
      <c r="J777" s="620"/>
      <c r="K777" s="597"/>
      <c r="L777" s="621"/>
      <c r="M777" s="610"/>
      <c r="N777" s="599"/>
    </row>
    <row r="778" spans="1:14">
      <c r="B778" s="582">
        <f t="shared" si="12"/>
        <v>768</v>
      </c>
      <c r="D778" s="593" t="s">
        <v>2407</v>
      </c>
      <c r="E778" s="594" t="s">
        <v>11</v>
      </c>
      <c r="F778" s="595"/>
      <c r="G778" s="597" t="s">
        <v>1515</v>
      </c>
      <c r="H778" s="597"/>
      <c r="I778" s="620"/>
      <c r="J778" s="620"/>
      <c r="K778" s="597"/>
      <c r="L778" s="621"/>
      <c r="M778" s="610"/>
      <c r="N778" s="599"/>
    </row>
    <row r="779" spans="1:14" ht="29">
      <c r="A779" s="562" t="s">
        <v>313</v>
      </c>
      <c r="B779" s="582">
        <f t="shared" si="12"/>
        <v>769</v>
      </c>
      <c r="C779" s="592" t="s">
        <v>2053</v>
      </c>
      <c r="D779" s="593" t="s">
        <v>2408</v>
      </c>
      <c r="E779" s="594" t="s">
        <v>11</v>
      </c>
      <c r="F779" s="595"/>
      <c r="G779" s="597" t="s">
        <v>1515</v>
      </c>
      <c r="H779" s="597"/>
      <c r="I779" s="620"/>
      <c r="J779" s="620"/>
      <c r="K779" s="597"/>
      <c r="L779" s="621"/>
      <c r="M779" s="610"/>
      <c r="N779" s="599"/>
    </row>
    <row r="780" spans="1:14" ht="29">
      <c r="B780" s="582">
        <f t="shared" si="12"/>
        <v>770</v>
      </c>
      <c r="D780" s="593" t="s">
        <v>2461</v>
      </c>
      <c r="E780" s="594" t="s">
        <v>11</v>
      </c>
      <c r="F780" s="595"/>
      <c r="G780" s="597" t="s">
        <v>1515</v>
      </c>
      <c r="H780" s="597"/>
      <c r="I780" s="620"/>
      <c r="J780" s="620"/>
      <c r="K780" s="597"/>
      <c r="L780" s="621"/>
      <c r="M780" s="610"/>
      <c r="N780" s="599"/>
    </row>
    <row r="781" spans="1:14">
      <c r="B781" s="582">
        <f t="shared" si="12"/>
        <v>771</v>
      </c>
      <c r="D781" s="593" t="s">
        <v>2409</v>
      </c>
      <c r="E781" s="594" t="s">
        <v>11</v>
      </c>
      <c r="F781" s="595"/>
      <c r="G781" s="597" t="s">
        <v>1515</v>
      </c>
      <c r="H781" s="597"/>
      <c r="I781" s="620"/>
      <c r="J781" s="620"/>
      <c r="K781" s="597"/>
      <c r="L781" s="621"/>
      <c r="M781" s="610"/>
      <c r="N781" s="599"/>
    </row>
    <row r="782" spans="1:14" ht="29">
      <c r="A782" s="562" t="s">
        <v>724</v>
      </c>
      <c r="B782" s="582">
        <f t="shared" si="12"/>
        <v>772</v>
      </c>
      <c r="C782" s="592" t="s">
        <v>2080</v>
      </c>
      <c r="D782" s="593" t="s">
        <v>2410</v>
      </c>
      <c r="E782" s="594" t="s">
        <v>11</v>
      </c>
      <c r="F782" s="595"/>
      <c r="G782" s="597" t="s">
        <v>1515</v>
      </c>
      <c r="H782" s="597"/>
      <c r="I782" s="620"/>
      <c r="J782" s="620"/>
      <c r="K782" s="597"/>
      <c r="L782" s="621"/>
      <c r="M782" s="610"/>
      <c r="N782" s="599"/>
    </row>
    <row r="783" spans="1:14" ht="29">
      <c r="B783" s="582">
        <f t="shared" si="12"/>
        <v>773</v>
      </c>
      <c r="D783" s="593" t="s">
        <v>2411</v>
      </c>
      <c r="E783" s="594" t="s">
        <v>11</v>
      </c>
      <c r="F783" s="595"/>
      <c r="G783" s="597" t="s">
        <v>1515</v>
      </c>
      <c r="H783" s="597"/>
      <c r="I783" s="620"/>
      <c r="J783" s="620"/>
      <c r="K783" s="597"/>
      <c r="L783" s="621"/>
      <c r="M783" s="610"/>
      <c r="N783" s="599"/>
    </row>
    <row r="784" spans="1:14">
      <c r="B784" s="582">
        <f t="shared" si="12"/>
        <v>774</v>
      </c>
      <c r="D784" s="593" t="s">
        <v>2079</v>
      </c>
      <c r="E784" s="594" t="s">
        <v>11</v>
      </c>
      <c r="F784" s="595"/>
      <c r="G784" s="597" t="s">
        <v>1515</v>
      </c>
      <c r="H784" s="597"/>
      <c r="I784" s="620"/>
      <c r="J784" s="620"/>
      <c r="K784" s="597"/>
      <c r="L784" s="621"/>
      <c r="M784" s="610"/>
      <c r="N784" s="599"/>
    </row>
    <row r="785" spans="1:14">
      <c r="A785" s="562" t="s">
        <v>728</v>
      </c>
      <c r="B785" s="582">
        <f t="shared" si="12"/>
        <v>775</v>
      </c>
      <c r="C785" s="592" t="s">
        <v>2081</v>
      </c>
      <c r="D785" s="593" t="s">
        <v>2082</v>
      </c>
      <c r="E785" s="594" t="s">
        <v>11</v>
      </c>
      <c r="F785" s="595"/>
      <c r="G785" s="597" t="s">
        <v>1515</v>
      </c>
      <c r="H785" s="597"/>
      <c r="I785" s="620"/>
      <c r="J785" s="620"/>
      <c r="K785" s="597"/>
      <c r="L785" s="621"/>
      <c r="M785" s="610"/>
      <c r="N785" s="599"/>
    </row>
    <row r="786" spans="1:14" ht="29">
      <c r="A786" s="562" t="s">
        <v>809</v>
      </c>
      <c r="B786" s="582">
        <f t="shared" si="12"/>
        <v>776</v>
      </c>
      <c r="C786" s="592" t="s">
        <v>2083</v>
      </c>
      <c r="D786" s="593" t="s">
        <v>2462</v>
      </c>
      <c r="E786" s="594" t="s">
        <v>11</v>
      </c>
      <c r="F786" s="595"/>
      <c r="G786" s="597" t="s">
        <v>1515</v>
      </c>
      <c r="H786" s="597"/>
      <c r="I786" s="620"/>
      <c r="J786" s="620"/>
      <c r="K786" s="597"/>
      <c r="L786" s="621"/>
      <c r="M786" s="610"/>
      <c r="N786" s="599"/>
    </row>
    <row r="787" spans="1:14">
      <c r="B787" s="582">
        <f t="shared" si="12"/>
        <v>777</v>
      </c>
      <c r="D787" s="593" t="s">
        <v>2463</v>
      </c>
      <c r="E787" s="594" t="s">
        <v>11</v>
      </c>
      <c r="F787" s="595"/>
      <c r="G787" s="597" t="s">
        <v>1515</v>
      </c>
      <c r="H787" s="597"/>
      <c r="I787" s="620"/>
      <c r="J787" s="620"/>
      <c r="K787" s="597"/>
      <c r="L787" s="621"/>
      <c r="M787" s="610"/>
      <c r="N787" s="599"/>
    </row>
    <row r="788" spans="1:14">
      <c r="B788" s="582">
        <f t="shared" si="12"/>
        <v>778</v>
      </c>
      <c r="D788" s="593" t="s">
        <v>2409</v>
      </c>
      <c r="E788" s="594" t="s">
        <v>11</v>
      </c>
      <c r="F788" s="595"/>
      <c r="G788" s="597" t="s">
        <v>1515</v>
      </c>
      <c r="H788" s="597"/>
      <c r="I788" s="620"/>
      <c r="J788" s="620"/>
      <c r="K788" s="597"/>
      <c r="L788" s="621"/>
      <c r="M788" s="610"/>
      <c r="N788" s="599"/>
    </row>
    <row r="789" spans="1:14">
      <c r="B789" s="568"/>
      <c r="F789" s="623"/>
      <c r="I789" s="562"/>
      <c r="J789" s="562"/>
      <c r="L789" s="594"/>
      <c r="M789" s="623"/>
      <c r="N789" s="624"/>
    </row>
    <row r="790" spans="1:14">
      <c r="B790" s="568"/>
      <c r="C790" s="581" t="s">
        <v>2084</v>
      </c>
      <c r="D790" s="619"/>
      <c r="N790" s="624"/>
    </row>
    <row r="791" spans="1:14">
      <c r="B791" s="568"/>
      <c r="C791" s="581" t="s">
        <v>2085</v>
      </c>
      <c r="N791" s="624"/>
    </row>
    <row r="792" spans="1:14">
      <c r="B792" s="568"/>
      <c r="C792" s="581"/>
      <c r="N792" s="624"/>
    </row>
    <row r="793" spans="1:14">
      <c r="B793" s="568"/>
      <c r="C793" s="562" t="s">
        <v>2086</v>
      </c>
      <c r="G793" s="625"/>
      <c r="H793" s="625"/>
      <c r="I793" s="625"/>
      <c r="J793" s="625"/>
      <c r="K793" s="625"/>
      <c r="L793" s="625"/>
      <c r="M793" s="625"/>
      <c r="N793" s="624"/>
    </row>
    <row r="794" spans="1:14">
      <c r="B794" s="568"/>
      <c r="C794" s="562" t="s">
        <v>2087</v>
      </c>
      <c r="N794" s="624"/>
    </row>
    <row r="795" spans="1:14">
      <c r="B795" s="568"/>
      <c r="C795" s="562" t="s">
        <v>2088</v>
      </c>
      <c r="N795" s="624"/>
    </row>
    <row r="796" spans="1:14">
      <c r="B796" s="568"/>
      <c r="C796" s="562" t="s">
        <v>2089</v>
      </c>
      <c r="N796" s="624"/>
    </row>
    <row r="797" spans="1:14">
      <c r="B797" s="568"/>
      <c r="C797" s="562" t="s">
        <v>2090</v>
      </c>
      <c r="N797" s="624"/>
    </row>
    <row r="798" spans="1:14">
      <c r="B798" s="568"/>
      <c r="C798" s="562" t="s">
        <v>2091</v>
      </c>
      <c r="N798" s="624"/>
    </row>
    <row r="799" spans="1:14">
      <c r="A799" s="567"/>
      <c r="B799" s="568"/>
      <c r="C799" s="562" t="s">
        <v>2412</v>
      </c>
      <c r="N799" s="624"/>
    </row>
    <row r="800" spans="1:14" ht="15" thickBot="1">
      <c r="B800" s="626"/>
      <c r="C800" s="866" t="s">
        <v>2307</v>
      </c>
      <c r="D800" s="866"/>
      <c r="E800" s="866"/>
      <c r="F800" s="866"/>
      <c r="G800" s="866"/>
      <c r="H800" s="866"/>
      <c r="I800" s="866"/>
      <c r="J800" s="866"/>
      <c r="K800" s="866"/>
      <c r="L800" s="866"/>
      <c r="M800" s="866"/>
      <c r="N800" s="867"/>
    </row>
  </sheetData>
  <mergeCells count="2">
    <mergeCell ref="G4:M4"/>
    <mergeCell ref="C800:N800"/>
  </mergeCells>
  <pageMargins left="0.7" right="0.7" top="0.75" bottom="0.75" header="0.3" footer="0.3"/>
  <pageSetup scale="45" fitToHeight="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0"/>
  <sheetViews>
    <sheetView workbookViewId="0">
      <selection activeCell="D10" sqref="D10"/>
    </sheetView>
  </sheetViews>
  <sheetFormatPr defaultColWidth="9.1796875" defaultRowHeight="13"/>
  <cols>
    <col min="1" max="1" width="9.1796875" style="632"/>
    <col min="2" max="2" width="9.54296875" style="642" hidden="1" customWidth="1"/>
    <col min="3" max="3" width="25" style="642" bestFit="1" customWidth="1"/>
    <col min="4" max="4" width="75.26953125" style="632" customWidth="1"/>
    <col min="5" max="5" width="68" style="632" customWidth="1"/>
    <col min="6" max="16384" width="9.1796875" style="632"/>
  </cols>
  <sheetData>
    <row r="1" spans="1:5" ht="15.5">
      <c r="A1" s="627" t="str">
        <f>'Cover Sheets'!A10:D10</f>
        <v>WAPA-UGP 2018 Rate True-up Calculation</v>
      </c>
      <c r="B1" s="628"/>
      <c r="C1" s="629"/>
      <c r="D1" s="630"/>
      <c r="E1" s="631"/>
    </row>
    <row r="2" spans="1:5" ht="15.5">
      <c r="A2" s="824" t="s">
        <v>2590</v>
      </c>
      <c r="B2" s="825"/>
      <c r="C2" s="825"/>
      <c r="E2" s="644"/>
    </row>
    <row r="3" spans="1:5" ht="15.5">
      <c r="A3" s="824" t="str">
        <f>'WS1-RateBase'!A4</f>
        <v>12 Months Ending 09/30/2018 ACTUAL</v>
      </c>
      <c r="B3" s="825"/>
      <c r="C3" s="825"/>
      <c r="E3" s="644"/>
    </row>
    <row r="4" spans="1:5" s="634" customFormat="1">
      <c r="A4" s="633" t="s">
        <v>0</v>
      </c>
      <c r="B4" s="634" t="s">
        <v>2092</v>
      </c>
      <c r="C4" s="634" t="s">
        <v>1500</v>
      </c>
      <c r="D4" s="635" t="s">
        <v>2093</v>
      </c>
      <c r="E4" s="636" t="s">
        <v>1511</v>
      </c>
    </row>
    <row r="5" spans="1:5" s="639" customFormat="1">
      <c r="A5" s="637">
        <v>1</v>
      </c>
      <c r="B5" s="638"/>
      <c r="C5" s="638" t="s">
        <v>1512</v>
      </c>
      <c r="E5" s="640"/>
    </row>
    <row r="6" spans="1:5">
      <c r="A6" s="641">
        <f>A5+1</f>
        <v>2</v>
      </c>
      <c r="D6" s="643"/>
      <c r="E6" s="644"/>
    </row>
    <row r="7" spans="1:5">
      <c r="A7" s="637">
        <f>A6+1</f>
        <v>3</v>
      </c>
      <c r="B7" s="642" t="s">
        <v>238</v>
      </c>
      <c r="C7" s="642" t="s">
        <v>1517</v>
      </c>
      <c r="D7" s="632" t="s">
        <v>2094</v>
      </c>
      <c r="E7" s="644" t="s">
        <v>2095</v>
      </c>
    </row>
    <row r="8" spans="1:5">
      <c r="A8" s="641">
        <f>A7+1</f>
        <v>4</v>
      </c>
      <c r="D8" s="632" t="s">
        <v>2096</v>
      </c>
      <c r="E8" s="644"/>
    </row>
    <row r="9" spans="1:5">
      <c r="A9" s="637">
        <f>A8+1</f>
        <v>5</v>
      </c>
      <c r="D9" s="632" t="s">
        <v>2097</v>
      </c>
      <c r="E9" s="644"/>
    </row>
    <row r="10" spans="1:5">
      <c r="A10" s="641">
        <f>A9+1</f>
        <v>6</v>
      </c>
      <c r="B10" s="642" t="s">
        <v>243</v>
      </c>
      <c r="C10" s="642" t="s">
        <v>1529</v>
      </c>
      <c r="D10" s="632" t="s">
        <v>2098</v>
      </c>
      <c r="E10" s="644"/>
    </row>
    <row r="11" spans="1:5">
      <c r="A11" s="637">
        <f t="shared" ref="A11:A74" si="0">A10+1</f>
        <v>7</v>
      </c>
      <c r="B11" s="642" t="s">
        <v>247</v>
      </c>
      <c r="C11" s="642" t="s">
        <v>1534</v>
      </c>
      <c r="D11" s="632" t="s">
        <v>2099</v>
      </c>
      <c r="E11" s="644"/>
    </row>
    <row r="12" spans="1:5">
      <c r="A12" s="641">
        <f t="shared" si="0"/>
        <v>8</v>
      </c>
      <c r="B12" s="642" t="s">
        <v>1540</v>
      </c>
      <c r="C12" s="642" t="s">
        <v>1541</v>
      </c>
      <c r="D12" s="632" t="s">
        <v>2100</v>
      </c>
      <c r="E12" s="644" t="s">
        <v>2101</v>
      </c>
    </row>
    <row r="13" spans="1:5">
      <c r="A13" s="637">
        <f t="shared" si="0"/>
        <v>9</v>
      </c>
      <c r="D13" s="632" t="s">
        <v>2102</v>
      </c>
      <c r="E13" s="644" t="s">
        <v>2103</v>
      </c>
    </row>
    <row r="14" spans="1:5">
      <c r="A14" s="641">
        <f t="shared" si="0"/>
        <v>10</v>
      </c>
      <c r="B14" s="642" t="s">
        <v>619</v>
      </c>
      <c r="C14" s="642" t="s">
        <v>2075</v>
      </c>
      <c r="D14" s="632" t="s">
        <v>2104</v>
      </c>
      <c r="E14" s="644"/>
    </row>
    <row r="15" spans="1:5">
      <c r="A15" s="637">
        <f t="shared" si="0"/>
        <v>11</v>
      </c>
      <c r="B15" s="642" t="s">
        <v>251</v>
      </c>
      <c r="C15" s="642" t="s">
        <v>1549</v>
      </c>
      <c r="D15" s="632" t="s">
        <v>2105</v>
      </c>
      <c r="E15" s="644"/>
    </row>
    <row r="16" spans="1:5">
      <c r="A16" s="641">
        <f t="shared" si="0"/>
        <v>12</v>
      </c>
      <c r="D16" s="632" t="s">
        <v>2106</v>
      </c>
      <c r="E16" s="644" t="s">
        <v>2107</v>
      </c>
    </row>
    <row r="17" spans="1:6">
      <c r="A17" s="637">
        <f t="shared" si="0"/>
        <v>13</v>
      </c>
      <c r="B17" s="642" t="s">
        <v>253</v>
      </c>
      <c r="C17" s="642" t="s">
        <v>1551</v>
      </c>
      <c r="D17" s="632" t="s">
        <v>2108</v>
      </c>
      <c r="E17" s="644" t="s">
        <v>2109</v>
      </c>
    </row>
    <row r="18" spans="1:6">
      <c r="A18" s="641">
        <f t="shared" si="0"/>
        <v>14</v>
      </c>
      <c r="D18" s="632" t="s">
        <v>2110</v>
      </c>
      <c r="E18" s="644" t="s">
        <v>2111</v>
      </c>
    </row>
    <row r="19" spans="1:6">
      <c r="A19" s="637">
        <f t="shared" si="0"/>
        <v>15</v>
      </c>
      <c r="B19" s="642" t="s">
        <v>257</v>
      </c>
      <c r="C19" s="642" t="s">
        <v>1558</v>
      </c>
      <c r="D19" s="632" t="s">
        <v>2112</v>
      </c>
      <c r="E19" s="644" t="s">
        <v>2113</v>
      </c>
    </row>
    <row r="20" spans="1:6">
      <c r="A20" s="641">
        <f t="shared" si="0"/>
        <v>16</v>
      </c>
      <c r="B20" s="642" t="s">
        <v>1565</v>
      </c>
      <c r="C20" s="642" t="s">
        <v>1566</v>
      </c>
      <c r="D20" s="632" t="s">
        <v>2114</v>
      </c>
      <c r="E20" s="644"/>
    </row>
    <row r="21" spans="1:6">
      <c r="A21" s="637">
        <f t="shared" si="0"/>
        <v>17</v>
      </c>
      <c r="D21" s="632" t="s">
        <v>2115</v>
      </c>
      <c r="E21" s="644"/>
      <c r="F21" s="612"/>
    </row>
    <row r="22" spans="1:6">
      <c r="A22" s="641">
        <f t="shared" si="0"/>
        <v>18</v>
      </c>
      <c r="D22" s="632" t="s">
        <v>2116</v>
      </c>
      <c r="E22" s="644" t="s">
        <v>2117</v>
      </c>
    </row>
    <row r="23" spans="1:6">
      <c r="A23" s="637">
        <f t="shared" si="0"/>
        <v>19</v>
      </c>
      <c r="B23" s="642" t="s">
        <v>2118</v>
      </c>
      <c r="C23" s="642" t="s">
        <v>2119</v>
      </c>
      <c r="D23" s="632" t="s">
        <v>2120</v>
      </c>
      <c r="E23" s="644"/>
    </row>
    <row r="24" spans="1:6">
      <c r="A24" s="641">
        <f t="shared" si="0"/>
        <v>20</v>
      </c>
      <c r="B24" s="642" t="s">
        <v>918</v>
      </c>
      <c r="C24" s="642" t="s">
        <v>2121</v>
      </c>
      <c r="D24" s="632" t="s">
        <v>2120</v>
      </c>
      <c r="E24" s="644"/>
    </row>
    <row r="25" spans="1:6">
      <c r="A25" s="637">
        <f t="shared" si="0"/>
        <v>21</v>
      </c>
      <c r="B25" s="642" t="s">
        <v>1585</v>
      </c>
      <c r="C25" s="642" t="s">
        <v>1586</v>
      </c>
      <c r="D25" s="632" t="s">
        <v>2122</v>
      </c>
      <c r="E25" s="644" t="s">
        <v>2123</v>
      </c>
    </row>
    <row r="26" spans="1:6">
      <c r="A26" s="641">
        <f t="shared" si="0"/>
        <v>22</v>
      </c>
      <c r="D26" s="632" t="s">
        <v>2124</v>
      </c>
      <c r="E26" s="644" t="s">
        <v>2125</v>
      </c>
    </row>
    <row r="27" spans="1:6">
      <c r="A27" s="637">
        <f t="shared" si="0"/>
        <v>23</v>
      </c>
      <c r="B27" s="642" t="s">
        <v>267</v>
      </c>
      <c r="C27" s="642" t="s">
        <v>1590</v>
      </c>
      <c r="D27" s="632" t="s">
        <v>2126</v>
      </c>
      <c r="E27" s="644" t="s">
        <v>2127</v>
      </c>
    </row>
    <row r="28" spans="1:6">
      <c r="A28" s="641">
        <f t="shared" si="0"/>
        <v>24</v>
      </c>
      <c r="D28" s="632" t="s">
        <v>2128</v>
      </c>
      <c r="E28" s="644" t="s">
        <v>2129</v>
      </c>
    </row>
    <row r="29" spans="1:6">
      <c r="A29" s="637">
        <f t="shared" si="0"/>
        <v>25</v>
      </c>
      <c r="D29" s="632" t="s">
        <v>2130</v>
      </c>
      <c r="E29" s="644"/>
    </row>
    <row r="30" spans="1:6">
      <c r="A30" s="641">
        <f t="shared" si="0"/>
        <v>26</v>
      </c>
      <c r="D30" s="632" t="s">
        <v>2131</v>
      </c>
      <c r="E30" s="644" t="s">
        <v>2129</v>
      </c>
    </row>
    <row r="31" spans="1:6">
      <c r="A31" s="637">
        <f t="shared" si="0"/>
        <v>27</v>
      </c>
      <c r="B31" s="642" t="s">
        <v>269</v>
      </c>
      <c r="C31" s="642" t="s">
        <v>1595</v>
      </c>
      <c r="D31" s="632" t="s">
        <v>2132</v>
      </c>
      <c r="E31" s="644" t="s">
        <v>2133</v>
      </c>
    </row>
    <row r="32" spans="1:6">
      <c r="A32" s="641">
        <f t="shared" si="0"/>
        <v>28</v>
      </c>
      <c r="B32" s="642" t="s">
        <v>277</v>
      </c>
      <c r="C32" s="642" t="s">
        <v>1615</v>
      </c>
      <c r="D32" s="632" t="s">
        <v>2134</v>
      </c>
      <c r="E32" s="644" t="s">
        <v>2135</v>
      </c>
    </row>
    <row r="33" spans="1:5">
      <c r="A33" s="637">
        <f t="shared" si="0"/>
        <v>29</v>
      </c>
      <c r="B33" s="642" t="s">
        <v>279</v>
      </c>
      <c r="C33" s="642" t="s">
        <v>2136</v>
      </c>
      <c r="D33" s="632" t="s">
        <v>2120</v>
      </c>
      <c r="E33" s="644"/>
    </row>
    <row r="34" spans="1:5">
      <c r="A34" s="641">
        <f t="shared" si="0"/>
        <v>30</v>
      </c>
      <c r="B34" s="642" t="s">
        <v>281</v>
      </c>
      <c r="C34" s="642" t="s">
        <v>1620</v>
      </c>
      <c r="D34" s="632" t="s">
        <v>2137</v>
      </c>
      <c r="E34" s="644" t="s">
        <v>2123</v>
      </c>
    </row>
    <row r="35" spans="1:5">
      <c r="A35" s="637">
        <f t="shared" si="0"/>
        <v>31</v>
      </c>
      <c r="B35" s="642" t="s">
        <v>469</v>
      </c>
      <c r="C35" s="642" t="s">
        <v>2023</v>
      </c>
      <c r="D35" s="632" t="s">
        <v>2138</v>
      </c>
      <c r="E35" s="644"/>
    </row>
    <row r="36" spans="1:5">
      <c r="A36" s="641">
        <f t="shared" si="0"/>
        <v>32</v>
      </c>
      <c r="B36" s="642" t="s">
        <v>283</v>
      </c>
      <c r="C36" s="642" t="s">
        <v>1627</v>
      </c>
      <c r="D36" s="632" t="s">
        <v>2139</v>
      </c>
      <c r="E36" s="644" t="s">
        <v>2140</v>
      </c>
    </row>
    <row r="37" spans="1:5">
      <c r="A37" s="637">
        <f t="shared" si="0"/>
        <v>33</v>
      </c>
      <c r="B37" s="642" t="s">
        <v>285</v>
      </c>
      <c r="C37" s="642" t="s">
        <v>2141</v>
      </c>
      <c r="D37" s="632" t="s">
        <v>2120</v>
      </c>
      <c r="E37" s="644"/>
    </row>
    <row r="38" spans="1:5">
      <c r="A38" s="641">
        <f t="shared" si="0"/>
        <v>34</v>
      </c>
      <c r="B38" s="642" t="s">
        <v>287</v>
      </c>
      <c r="C38" s="642" t="s">
        <v>1637</v>
      </c>
      <c r="D38" s="632" t="s">
        <v>2142</v>
      </c>
      <c r="E38" s="644" t="s">
        <v>2143</v>
      </c>
    </row>
    <row r="39" spans="1:5">
      <c r="A39" s="637">
        <f t="shared" si="0"/>
        <v>35</v>
      </c>
      <c r="D39" s="632" t="s">
        <v>2144</v>
      </c>
      <c r="E39" s="644" t="s">
        <v>2145</v>
      </c>
    </row>
    <row r="40" spans="1:5">
      <c r="A40" s="641">
        <f t="shared" si="0"/>
        <v>36</v>
      </c>
      <c r="B40" s="642" t="s">
        <v>289</v>
      </c>
      <c r="C40" s="642" t="s">
        <v>1647</v>
      </c>
      <c r="D40" s="632" t="s">
        <v>2146</v>
      </c>
      <c r="E40" s="644"/>
    </row>
    <row r="41" spans="1:5">
      <c r="A41" s="637">
        <f t="shared" si="0"/>
        <v>37</v>
      </c>
      <c r="D41" s="632" t="s">
        <v>2147</v>
      </c>
      <c r="E41" s="644" t="s">
        <v>2148</v>
      </c>
    </row>
    <row r="42" spans="1:5">
      <c r="A42" s="641">
        <f t="shared" si="0"/>
        <v>38</v>
      </c>
      <c r="B42" s="642" t="s">
        <v>291</v>
      </c>
      <c r="C42" s="642" t="s">
        <v>1650</v>
      </c>
      <c r="D42" s="632" t="s">
        <v>2149</v>
      </c>
      <c r="E42" s="644"/>
    </row>
    <row r="43" spans="1:5">
      <c r="A43" s="637">
        <f t="shared" si="0"/>
        <v>39</v>
      </c>
      <c r="D43" s="632" t="s">
        <v>2150</v>
      </c>
      <c r="E43" s="644"/>
    </row>
    <row r="44" spans="1:5">
      <c r="A44" s="641">
        <f t="shared" si="0"/>
        <v>40</v>
      </c>
      <c r="D44" s="632" t="s">
        <v>2151</v>
      </c>
      <c r="E44" s="644" t="s">
        <v>2152</v>
      </c>
    </row>
    <row r="45" spans="1:5">
      <c r="A45" s="637">
        <f t="shared" si="0"/>
        <v>41</v>
      </c>
      <c r="D45" s="632" t="s">
        <v>2153</v>
      </c>
      <c r="E45" s="644"/>
    </row>
    <row r="46" spans="1:5">
      <c r="A46" s="641">
        <f t="shared" si="0"/>
        <v>42</v>
      </c>
      <c r="B46" s="642" t="s">
        <v>293</v>
      </c>
      <c r="C46" s="642" t="s">
        <v>1655</v>
      </c>
      <c r="D46" s="632" t="s">
        <v>2154</v>
      </c>
      <c r="E46" s="644"/>
    </row>
    <row r="47" spans="1:5">
      <c r="A47" s="637">
        <f t="shared" si="0"/>
        <v>43</v>
      </c>
      <c r="B47" s="642" t="s">
        <v>297</v>
      </c>
      <c r="C47" s="642" t="s">
        <v>1658</v>
      </c>
      <c r="D47" s="632" t="s">
        <v>2155</v>
      </c>
      <c r="E47" s="644"/>
    </row>
    <row r="48" spans="1:5">
      <c r="A48" s="641">
        <f t="shared" si="0"/>
        <v>44</v>
      </c>
      <c r="B48" s="642" t="s">
        <v>299</v>
      </c>
      <c r="C48" s="642" t="s">
        <v>1660</v>
      </c>
      <c r="D48" s="643" t="s">
        <v>2464</v>
      </c>
      <c r="E48" s="644"/>
    </row>
    <row r="49" spans="1:5">
      <c r="A49" s="637">
        <f t="shared" si="0"/>
        <v>45</v>
      </c>
      <c r="B49" s="642" t="s">
        <v>301</v>
      </c>
      <c r="C49" s="642" t="s">
        <v>1662</v>
      </c>
      <c r="D49" s="632" t="s">
        <v>2156</v>
      </c>
      <c r="E49" s="644" t="s">
        <v>2157</v>
      </c>
    </row>
    <row r="50" spans="1:5">
      <c r="A50" s="641">
        <f t="shared" si="0"/>
        <v>46</v>
      </c>
      <c r="B50" s="642" t="s">
        <v>305</v>
      </c>
      <c r="C50" s="642" t="s">
        <v>1668</v>
      </c>
      <c r="D50" s="632" t="s">
        <v>2158</v>
      </c>
      <c r="E50" s="644"/>
    </row>
    <row r="51" spans="1:5">
      <c r="A51" s="637">
        <f t="shared" si="0"/>
        <v>47</v>
      </c>
      <c r="D51" s="632" t="s">
        <v>2159</v>
      </c>
      <c r="E51" s="644" t="s">
        <v>2160</v>
      </c>
    </row>
    <row r="52" spans="1:5">
      <c r="A52" s="641">
        <f t="shared" si="0"/>
        <v>48</v>
      </c>
      <c r="B52" s="642" t="s">
        <v>920</v>
      </c>
      <c r="C52" s="642" t="s">
        <v>2161</v>
      </c>
      <c r="D52" s="632" t="s">
        <v>2120</v>
      </c>
      <c r="E52" s="644"/>
    </row>
    <row r="53" spans="1:5">
      <c r="A53" s="637">
        <f t="shared" si="0"/>
        <v>49</v>
      </c>
      <c r="B53" s="642" t="s">
        <v>922</v>
      </c>
      <c r="C53" s="642" t="s">
        <v>2162</v>
      </c>
      <c r="D53" s="632" t="s">
        <v>2120</v>
      </c>
      <c r="E53" s="644"/>
    </row>
    <row r="54" spans="1:5">
      <c r="A54" s="641">
        <f t="shared" si="0"/>
        <v>50</v>
      </c>
      <c r="B54" s="642" t="s">
        <v>309</v>
      </c>
      <c r="C54" s="642" t="s">
        <v>1684</v>
      </c>
      <c r="D54" s="632" t="s">
        <v>2163</v>
      </c>
      <c r="E54" s="644" t="s">
        <v>2164</v>
      </c>
    </row>
    <row r="55" spans="1:5">
      <c r="A55" s="637">
        <f t="shared" si="0"/>
        <v>51</v>
      </c>
      <c r="B55" s="642" t="s">
        <v>311</v>
      </c>
      <c r="C55" s="642" t="s">
        <v>1692</v>
      </c>
      <c r="D55" s="632" t="s">
        <v>2165</v>
      </c>
      <c r="E55" s="644"/>
    </row>
    <row r="56" spans="1:5">
      <c r="A56" s="641">
        <f t="shared" si="0"/>
        <v>52</v>
      </c>
      <c r="D56" s="632" t="s">
        <v>2166</v>
      </c>
      <c r="E56" s="644"/>
    </row>
    <row r="57" spans="1:5">
      <c r="A57" s="637">
        <f t="shared" si="0"/>
        <v>53</v>
      </c>
      <c r="D57" s="632" t="s">
        <v>2167</v>
      </c>
      <c r="E57" s="644"/>
    </row>
    <row r="58" spans="1:5">
      <c r="A58" s="641">
        <f t="shared" si="0"/>
        <v>54</v>
      </c>
      <c r="D58" s="632" t="s">
        <v>2168</v>
      </c>
      <c r="E58" s="644" t="s">
        <v>2169</v>
      </c>
    </row>
    <row r="59" spans="1:5">
      <c r="A59" s="637">
        <f t="shared" si="0"/>
        <v>55</v>
      </c>
      <c r="D59" s="632" t="s">
        <v>2170</v>
      </c>
      <c r="E59" s="644"/>
    </row>
    <row r="60" spans="1:5">
      <c r="A60" s="641">
        <f t="shared" si="0"/>
        <v>56</v>
      </c>
      <c r="D60" s="632" t="s">
        <v>2171</v>
      </c>
      <c r="E60" s="644" t="s">
        <v>2172</v>
      </c>
    </row>
    <row r="61" spans="1:5">
      <c r="A61" s="637">
        <f t="shared" si="0"/>
        <v>57</v>
      </c>
      <c r="B61" s="642" t="s">
        <v>313</v>
      </c>
      <c r="C61" s="642" t="s">
        <v>2053</v>
      </c>
      <c r="D61" s="632" t="s">
        <v>2173</v>
      </c>
      <c r="E61" s="644"/>
    </row>
    <row r="62" spans="1:5">
      <c r="A62" s="641">
        <f t="shared" si="0"/>
        <v>58</v>
      </c>
      <c r="B62" s="642" t="s">
        <v>317</v>
      </c>
      <c r="C62" s="642" t="s">
        <v>1698</v>
      </c>
      <c r="D62" s="632" t="s">
        <v>2174</v>
      </c>
      <c r="E62" s="644" t="s">
        <v>2175</v>
      </c>
    </row>
    <row r="63" spans="1:5">
      <c r="A63" s="637">
        <f t="shared" si="0"/>
        <v>59</v>
      </c>
      <c r="B63" s="642" t="s">
        <v>928</v>
      </c>
      <c r="C63" s="642" t="s">
        <v>2176</v>
      </c>
      <c r="D63" s="632" t="s">
        <v>2120</v>
      </c>
      <c r="E63" s="644"/>
    </row>
    <row r="64" spans="1:5">
      <c r="A64" s="641">
        <f t="shared" si="0"/>
        <v>60</v>
      </c>
      <c r="B64" s="642" t="s">
        <v>724</v>
      </c>
      <c r="C64" s="642" t="s">
        <v>2080</v>
      </c>
      <c r="D64" s="632" t="s">
        <v>2177</v>
      </c>
      <c r="E64" s="644" t="s">
        <v>2178</v>
      </c>
    </row>
    <row r="65" spans="1:5">
      <c r="A65" s="637">
        <f t="shared" si="0"/>
        <v>61</v>
      </c>
      <c r="B65" s="642" t="s">
        <v>728</v>
      </c>
      <c r="C65" s="642" t="s">
        <v>2081</v>
      </c>
      <c r="D65" s="632" t="s">
        <v>2179</v>
      </c>
      <c r="E65" s="644" t="s">
        <v>2178</v>
      </c>
    </row>
    <row r="66" spans="1:5">
      <c r="A66" s="641">
        <f t="shared" si="0"/>
        <v>62</v>
      </c>
      <c r="B66" s="642" t="s">
        <v>2180</v>
      </c>
      <c r="C66" s="642" t="s">
        <v>2181</v>
      </c>
      <c r="D66" s="632" t="s">
        <v>2120</v>
      </c>
      <c r="E66" s="644"/>
    </row>
    <row r="67" spans="1:5">
      <c r="A67" s="637">
        <f t="shared" si="0"/>
        <v>63</v>
      </c>
      <c r="B67" s="642" t="s">
        <v>932</v>
      </c>
      <c r="C67" s="642" t="s">
        <v>2182</v>
      </c>
      <c r="D67" s="632" t="s">
        <v>2120</v>
      </c>
      <c r="E67" s="644"/>
    </row>
    <row r="68" spans="1:5">
      <c r="A68" s="641">
        <f t="shared" si="0"/>
        <v>64</v>
      </c>
      <c r="B68" s="642" t="s">
        <v>325</v>
      </c>
      <c r="C68" s="642" t="s">
        <v>1735</v>
      </c>
      <c r="D68" s="632" t="s">
        <v>2183</v>
      </c>
      <c r="E68" s="644" t="s">
        <v>2184</v>
      </c>
    </row>
    <row r="69" spans="1:5">
      <c r="A69" s="637">
        <f t="shared" si="0"/>
        <v>65</v>
      </c>
      <c r="D69" s="632" t="s">
        <v>2185</v>
      </c>
      <c r="E69" s="644"/>
    </row>
    <row r="70" spans="1:5">
      <c r="A70" s="641">
        <f t="shared" si="0"/>
        <v>66</v>
      </c>
      <c r="D70" s="632" t="s">
        <v>2186</v>
      </c>
      <c r="E70" s="644"/>
    </row>
    <row r="71" spans="1:5">
      <c r="A71" s="637">
        <f t="shared" si="0"/>
        <v>67</v>
      </c>
      <c r="B71" s="642" t="s">
        <v>329</v>
      </c>
      <c r="C71" s="642" t="s">
        <v>1752</v>
      </c>
      <c r="D71" s="632" t="s">
        <v>2187</v>
      </c>
      <c r="E71" s="644" t="s">
        <v>2123</v>
      </c>
    </row>
    <row r="72" spans="1:5">
      <c r="A72" s="641">
        <f t="shared" si="0"/>
        <v>68</v>
      </c>
      <c r="D72" s="632" t="s">
        <v>2188</v>
      </c>
      <c r="E72" s="644"/>
    </row>
    <row r="73" spans="1:5">
      <c r="A73" s="637">
        <f t="shared" si="0"/>
        <v>69</v>
      </c>
      <c r="B73" s="642" t="s">
        <v>331</v>
      </c>
      <c r="C73" s="642" t="s">
        <v>1755</v>
      </c>
      <c r="D73" s="632" t="s">
        <v>2100</v>
      </c>
      <c r="E73" s="644" t="s">
        <v>2101</v>
      </c>
    </row>
    <row r="74" spans="1:5">
      <c r="A74" s="641">
        <f t="shared" si="0"/>
        <v>70</v>
      </c>
      <c r="B74" s="642" t="s">
        <v>333</v>
      </c>
      <c r="C74" s="642" t="s">
        <v>1763</v>
      </c>
      <c r="D74" s="632" t="s">
        <v>2189</v>
      </c>
      <c r="E74" s="644" t="s">
        <v>2190</v>
      </c>
    </row>
    <row r="75" spans="1:5">
      <c r="A75" s="637">
        <f t="shared" ref="A75:A139" si="1">A74+1</f>
        <v>71</v>
      </c>
      <c r="B75" s="642" t="s">
        <v>335</v>
      </c>
      <c r="C75" s="642" t="s">
        <v>1771</v>
      </c>
      <c r="D75" s="632" t="s">
        <v>2191</v>
      </c>
      <c r="E75" s="644" t="s">
        <v>2192</v>
      </c>
    </row>
    <row r="76" spans="1:5">
      <c r="A76" s="641">
        <f t="shared" si="1"/>
        <v>72</v>
      </c>
      <c r="B76" s="642" t="s">
        <v>337</v>
      </c>
      <c r="C76" s="642" t="s">
        <v>1773</v>
      </c>
      <c r="D76" s="632" t="s">
        <v>2193</v>
      </c>
      <c r="E76" s="644"/>
    </row>
    <row r="77" spans="1:5">
      <c r="A77" s="637">
        <f t="shared" si="1"/>
        <v>73</v>
      </c>
      <c r="D77" s="632" t="s">
        <v>1688</v>
      </c>
      <c r="E77" s="644"/>
    </row>
    <row r="78" spans="1:5">
      <c r="A78" s="641">
        <f t="shared" si="1"/>
        <v>74</v>
      </c>
      <c r="D78" s="632" t="s">
        <v>2194</v>
      </c>
      <c r="E78" s="644" t="s">
        <v>2101</v>
      </c>
    </row>
    <row r="79" spans="1:5">
      <c r="A79" s="637">
        <f t="shared" si="1"/>
        <v>75</v>
      </c>
      <c r="B79" s="642" t="s">
        <v>934</v>
      </c>
      <c r="C79" s="642" t="s">
        <v>2195</v>
      </c>
      <c r="D79" s="632" t="s">
        <v>2120</v>
      </c>
      <c r="E79" s="644"/>
    </row>
    <row r="80" spans="1:5">
      <c r="A80" s="641">
        <f t="shared" si="1"/>
        <v>76</v>
      </c>
      <c r="B80" s="642" t="s">
        <v>2196</v>
      </c>
      <c r="C80" s="642" t="s">
        <v>2197</v>
      </c>
      <c r="D80" s="632" t="s">
        <v>2120</v>
      </c>
      <c r="E80" s="644"/>
    </row>
    <row r="81" spans="1:5">
      <c r="A81" s="637">
        <f t="shared" si="1"/>
        <v>77</v>
      </c>
      <c r="B81" s="642" t="s">
        <v>339</v>
      </c>
      <c r="C81" s="642" t="s">
        <v>1778</v>
      </c>
      <c r="D81" s="632" t="s">
        <v>2198</v>
      </c>
      <c r="E81" s="644"/>
    </row>
    <row r="82" spans="1:5">
      <c r="A82" s="641">
        <f t="shared" si="1"/>
        <v>78</v>
      </c>
      <c r="D82" s="632" t="s">
        <v>2199</v>
      </c>
      <c r="E82" s="644"/>
    </row>
    <row r="83" spans="1:5">
      <c r="A83" s="637">
        <f t="shared" si="1"/>
        <v>79</v>
      </c>
      <c r="D83" s="632" t="s">
        <v>2200</v>
      </c>
      <c r="E83" s="644" t="s">
        <v>2201</v>
      </c>
    </row>
    <row r="84" spans="1:5">
      <c r="A84" s="641">
        <f t="shared" si="1"/>
        <v>80</v>
      </c>
      <c r="D84" s="632" t="s">
        <v>2202</v>
      </c>
      <c r="E84" s="644"/>
    </row>
    <row r="85" spans="1:5">
      <c r="A85" s="637">
        <f t="shared" si="1"/>
        <v>81</v>
      </c>
      <c r="B85" s="642" t="s">
        <v>341</v>
      </c>
      <c r="C85" s="642" t="s">
        <v>1789</v>
      </c>
      <c r="D85" s="632" t="s">
        <v>2203</v>
      </c>
      <c r="E85" s="644"/>
    </row>
    <row r="86" spans="1:5">
      <c r="A86" s="641">
        <f t="shared" si="1"/>
        <v>82</v>
      </c>
      <c r="D86" s="632" t="s">
        <v>2204</v>
      </c>
      <c r="E86" s="644" t="s">
        <v>2205</v>
      </c>
    </row>
    <row r="87" spans="1:5">
      <c r="A87" s="637">
        <f t="shared" si="1"/>
        <v>83</v>
      </c>
      <c r="B87" s="642" t="s">
        <v>343</v>
      </c>
      <c r="C87" s="642" t="s">
        <v>1793</v>
      </c>
      <c r="D87" s="632" t="s">
        <v>2206</v>
      </c>
      <c r="E87" s="644" t="s">
        <v>2207</v>
      </c>
    </row>
    <row r="88" spans="1:5">
      <c r="A88" s="641">
        <f t="shared" si="1"/>
        <v>84</v>
      </c>
      <c r="D88" s="632" t="s">
        <v>2208</v>
      </c>
      <c r="E88" s="644"/>
    </row>
    <row r="89" spans="1:5" ht="14.5">
      <c r="A89" s="637">
        <f t="shared" si="1"/>
        <v>85</v>
      </c>
      <c r="D89" s="593" t="s">
        <v>1795</v>
      </c>
      <c r="E89" s="644"/>
    </row>
    <row r="90" spans="1:5">
      <c r="A90" s="641">
        <f t="shared" si="1"/>
        <v>86</v>
      </c>
      <c r="B90" s="642" t="s">
        <v>345</v>
      </c>
      <c r="C90" s="642" t="s">
        <v>1797</v>
      </c>
      <c r="D90" s="632" t="s">
        <v>2209</v>
      </c>
      <c r="E90" s="644"/>
    </row>
    <row r="91" spans="1:5">
      <c r="A91" s="637">
        <f t="shared" si="1"/>
        <v>87</v>
      </c>
      <c r="D91" s="632" t="s">
        <v>2210</v>
      </c>
      <c r="E91" s="644" t="s">
        <v>2107</v>
      </c>
    </row>
    <row r="92" spans="1:5">
      <c r="A92" s="641">
        <f t="shared" si="1"/>
        <v>88</v>
      </c>
      <c r="B92" s="642" t="s">
        <v>351</v>
      </c>
      <c r="C92" s="642" t="s">
        <v>1809</v>
      </c>
      <c r="D92" s="632" t="s">
        <v>2211</v>
      </c>
      <c r="E92" s="644"/>
    </row>
    <row r="93" spans="1:5">
      <c r="A93" s="637">
        <f t="shared" si="1"/>
        <v>89</v>
      </c>
      <c r="D93" s="632" t="s">
        <v>2212</v>
      </c>
      <c r="E93" s="644" t="s">
        <v>2213</v>
      </c>
    </row>
    <row r="94" spans="1:5">
      <c r="A94" s="641">
        <f t="shared" si="1"/>
        <v>90</v>
      </c>
      <c r="B94" s="642" t="s">
        <v>353</v>
      </c>
      <c r="C94" s="642" t="s">
        <v>1811</v>
      </c>
      <c r="D94" s="632" t="s">
        <v>2214</v>
      </c>
      <c r="E94" s="644"/>
    </row>
    <row r="95" spans="1:5">
      <c r="A95" s="641"/>
      <c r="D95" s="632" t="s">
        <v>2587</v>
      </c>
      <c r="E95" s="644"/>
    </row>
    <row r="96" spans="1:5">
      <c r="A96" s="637">
        <f>A94+1</f>
        <v>91</v>
      </c>
      <c r="D96" s="632" t="s">
        <v>2215</v>
      </c>
      <c r="E96" s="644" t="s">
        <v>2216</v>
      </c>
    </row>
    <row r="97" spans="1:5">
      <c r="A97" s="641">
        <f t="shared" si="1"/>
        <v>92</v>
      </c>
      <c r="B97" s="642" t="s">
        <v>355</v>
      </c>
      <c r="C97" s="642" t="s">
        <v>1817</v>
      </c>
      <c r="D97" s="632" t="s">
        <v>2217</v>
      </c>
      <c r="E97" s="644"/>
    </row>
    <row r="98" spans="1:5">
      <c r="A98" s="637">
        <f t="shared" si="1"/>
        <v>93</v>
      </c>
      <c r="B98" s="642" t="s">
        <v>363</v>
      </c>
      <c r="C98" s="642" t="s">
        <v>1831</v>
      </c>
      <c r="D98" s="632" t="s">
        <v>2218</v>
      </c>
      <c r="E98" s="644" t="s">
        <v>2219</v>
      </c>
    </row>
    <row r="99" spans="1:5">
      <c r="A99" s="641">
        <f t="shared" si="1"/>
        <v>94</v>
      </c>
      <c r="B99" s="642" t="s">
        <v>365</v>
      </c>
      <c r="C99" s="642" t="s">
        <v>1837</v>
      </c>
      <c r="D99" s="632" t="s">
        <v>2220</v>
      </c>
      <c r="E99" s="644"/>
    </row>
    <row r="100" spans="1:5">
      <c r="A100" s="637">
        <f t="shared" si="1"/>
        <v>95</v>
      </c>
      <c r="D100" s="632" t="s">
        <v>2221</v>
      </c>
      <c r="E100" s="644"/>
    </row>
    <row r="101" spans="1:5">
      <c r="A101" s="641">
        <f t="shared" si="1"/>
        <v>96</v>
      </c>
      <c r="D101" s="632" t="s">
        <v>2222</v>
      </c>
      <c r="E101" s="644"/>
    </row>
    <row r="102" spans="1:5">
      <c r="A102" s="637">
        <f t="shared" si="1"/>
        <v>97</v>
      </c>
      <c r="B102" s="642" t="s">
        <v>367</v>
      </c>
      <c r="C102" s="642" t="s">
        <v>1841</v>
      </c>
      <c r="D102" s="632" t="s">
        <v>2223</v>
      </c>
      <c r="E102" s="644" t="s">
        <v>2101</v>
      </c>
    </row>
    <row r="103" spans="1:5">
      <c r="A103" s="641">
        <f t="shared" si="1"/>
        <v>98</v>
      </c>
      <c r="B103" s="642" t="s">
        <v>2224</v>
      </c>
      <c r="C103" s="642" t="s">
        <v>2225</v>
      </c>
      <c r="D103" s="632" t="s">
        <v>2120</v>
      </c>
      <c r="E103" s="644"/>
    </row>
    <row r="104" spans="1:5">
      <c r="A104" s="637">
        <f t="shared" si="1"/>
        <v>99</v>
      </c>
      <c r="B104" s="642" t="s">
        <v>369</v>
      </c>
      <c r="C104" s="642" t="s">
        <v>1845</v>
      </c>
      <c r="D104" s="632" t="s">
        <v>2226</v>
      </c>
      <c r="E104" s="644"/>
    </row>
    <row r="105" spans="1:5">
      <c r="A105" s="641">
        <f t="shared" si="1"/>
        <v>100</v>
      </c>
      <c r="B105" s="642" t="s">
        <v>373</v>
      </c>
      <c r="C105" s="642" t="s">
        <v>1853</v>
      </c>
      <c r="D105" s="632" t="s">
        <v>2227</v>
      </c>
      <c r="E105" s="644" t="s">
        <v>2228</v>
      </c>
    </row>
    <row r="106" spans="1:5">
      <c r="A106" s="637">
        <f t="shared" si="1"/>
        <v>101</v>
      </c>
      <c r="B106" s="642" t="s">
        <v>371</v>
      </c>
      <c r="C106" s="642" t="s">
        <v>1846</v>
      </c>
      <c r="D106" s="632" t="s">
        <v>2229</v>
      </c>
      <c r="E106" s="644"/>
    </row>
    <row r="107" spans="1:5">
      <c r="A107" s="641">
        <f t="shared" si="1"/>
        <v>102</v>
      </c>
      <c r="B107" s="642" t="s">
        <v>809</v>
      </c>
      <c r="C107" s="642" t="s">
        <v>2083</v>
      </c>
      <c r="D107" s="632" t="s">
        <v>2230</v>
      </c>
      <c r="E107" s="644" t="s">
        <v>2192</v>
      </c>
    </row>
    <row r="108" spans="1:5">
      <c r="A108" s="637">
        <f t="shared" si="1"/>
        <v>103</v>
      </c>
      <c r="D108" s="632" t="s">
        <v>2126</v>
      </c>
      <c r="E108" s="644" t="s">
        <v>2192</v>
      </c>
    </row>
    <row r="109" spans="1:5">
      <c r="A109" s="641">
        <f t="shared" si="1"/>
        <v>104</v>
      </c>
      <c r="B109" s="642" t="s">
        <v>375</v>
      </c>
      <c r="C109" s="642" t="s">
        <v>1857</v>
      </c>
      <c r="D109" s="632" t="s">
        <v>2231</v>
      </c>
      <c r="E109" s="644" t="s">
        <v>2232</v>
      </c>
    </row>
    <row r="110" spans="1:5">
      <c r="A110" s="637">
        <f t="shared" si="1"/>
        <v>105</v>
      </c>
      <c r="B110" s="642" t="s">
        <v>491</v>
      </c>
      <c r="C110" s="642" t="s">
        <v>2027</v>
      </c>
      <c r="D110" s="632" t="s">
        <v>2233</v>
      </c>
      <c r="E110" s="644"/>
    </row>
    <row r="111" spans="1:5">
      <c r="A111" s="641">
        <f t="shared" si="1"/>
        <v>106</v>
      </c>
      <c r="B111" s="642" t="s">
        <v>377</v>
      </c>
      <c r="C111" s="642" t="s">
        <v>1865</v>
      </c>
      <c r="D111" s="632" t="s">
        <v>2234</v>
      </c>
      <c r="E111" s="644"/>
    </row>
    <row r="112" spans="1:5">
      <c r="A112" s="637">
        <f t="shared" si="1"/>
        <v>107</v>
      </c>
      <c r="D112" s="632" t="s">
        <v>1690</v>
      </c>
      <c r="E112" s="644" t="s">
        <v>2175</v>
      </c>
    </row>
    <row r="113" spans="1:5">
      <c r="A113" s="641">
        <f t="shared" si="1"/>
        <v>108</v>
      </c>
      <c r="B113" s="642" t="s">
        <v>379</v>
      </c>
      <c r="C113" s="642" t="s">
        <v>1868</v>
      </c>
      <c r="D113" s="632" t="s">
        <v>2235</v>
      </c>
      <c r="E113" s="644"/>
    </row>
    <row r="114" spans="1:5">
      <c r="A114" s="637">
        <f t="shared" si="1"/>
        <v>109</v>
      </c>
      <c r="D114" s="632" t="s">
        <v>2236</v>
      </c>
      <c r="E114" s="644" t="s">
        <v>2237</v>
      </c>
    </row>
    <row r="115" spans="1:5">
      <c r="A115" s="641">
        <f t="shared" si="1"/>
        <v>110</v>
      </c>
      <c r="B115" s="642" t="s">
        <v>493</v>
      </c>
      <c r="C115" s="642" t="s">
        <v>2028</v>
      </c>
      <c r="D115" s="632" t="s">
        <v>2238</v>
      </c>
      <c r="E115" s="644"/>
    </row>
    <row r="116" spans="1:5">
      <c r="A116" s="637">
        <f t="shared" si="1"/>
        <v>111</v>
      </c>
      <c r="B116" s="642" t="s">
        <v>383</v>
      </c>
      <c r="C116" s="642" t="s">
        <v>1875</v>
      </c>
      <c r="D116" s="632" t="s">
        <v>2239</v>
      </c>
      <c r="E116" s="644"/>
    </row>
    <row r="117" spans="1:5">
      <c r="A117" s="641">
        <f t="shared" si="1"/>
        <v>112</v>
      </c>
      <c r="B117" s="642" t="s">
        <v>385</v>
      </c>
      <c r="C117" s="642" t="s">
        <v>2240</v>
      </c>
      <c r="D117" s="632" t="s">
        <v>2120</v>
      </c>
      <c r="E117" s="644"/>
    </row>
    <row r="118" spans="1:5">
      <c r="A118" s="637">
        <f t="shared" si="1"/>
        <v>113</v>
      </c>
      <c r="B118" s="642" t="s">
        <v>389</v>
      </c>
      <c r="C118" s="642" t="s">
        <v>1882</v>
      </c>
      <c r="D118" s="632" t="s">
        <v>2241</v>
      </c>
      <c r="E118" s="644"/>
    </row>
    <row r="119" spans="1:5">
      <c r="A119" s="641">
        <f t="shared" si="1"/>
        <v>114</v>
      </c>
      <c r="D119" s="632" t="s">
        <v>2242</v>
      </c>
      <c r="E119" s="644" t="s">
        <v>2190</v>
      </c>
    </row>
    <row r="120" spans="1:5">
      <c r="A120" s="637">
        <f t="shared" si="1"/>
        <v>115</v>
      </c>
      <c r="D120" s="632" t="s">
        <v>2243</v>
      </c>
      <c r="E120" s="644" t="s">
        <v>2190</v>
      </c>
    </row>
    <row r="121" spans="1:5">
      <c r="A121" s="641">
        <f t="shared" si="1"/>
        <v>116</v>
      </c>
      <c r="B121" s="642" t="s">
        <v>391</v>
      </c>
      <c r="C121" s="642" t="s">
        <v>1885</v>
      </c>
      <c r="D121" s="632" t="s">
        <v>2376</v>
      </c>
      <c r="E121" s="644"/>
    </row>
    <row r="122" spans="1:5">
      <c r="A122" s="637">
        <f t="shared" si="1"/>
        <v>117</v>
      </c>
      <c r="D122" s="632" t="s">
        <v>2168</v>
      </c>
      <c r="E122" s="644" t="s">
        <v>2152</v>
      </c>
    </row>
    <row r="123" spans="1:5">
      <c r="A123" s="641">
        <f t="shared" si="1"/>
        <v>118</v>
      </c>
      <c r="B123" s="642" t="s">
        <v>938</v>
      </c>
      <c r="C123" s="642" t="s">
        <v>2244</v>
      </c>
      <c r="D123" s="632" t="s">
        <v>2120</v>
      </c>
      <c r="E123" s="644"/>
    </row>
    <row r="124" spans="1:5">
      <c r="A124" s="637">
        <f t="shared" si="1"/>
        <v>119</v>
      </c>
      <c r="B124" s="642" t="s">
        <v>397</v>
      </c>
      <c r="C124" s="642" t="s">
        <v>2245</v>
      </c>
      <c r="D124" s="632" t="s">
        <v>2120</v>
      </c>
      <c r="E124" s="644"/>
    </row>
    <row r="125" spans="1:5">
      <c r="A125" s="641">
        <f t="shared" si="1"/>
        <v>120</v>
      </c>
      <c r="B125" s="642" t="s">
        <v>397</v>
      </c>
      <c r="C125" s="642" t="s">
        <v>1889</v>
      </c>
      <c r="D125" s="632" t="s">
        <v>2126</v>
      </c>
      <c r="E125" s="644" t="s">
        <v>2246</v>
      </c>
    </row>
    <row r="126" spans="1:5">
      <c r="A126" s="637">
        <f t="shared" si="1"/>
        <v>121</v>
      </c>
      <c r="B126" s="642" t="s">
        <v>940</v>
      </c>
      <c r="C126" s="642" t="s">
        <v>2247</v>
      </c>
      <c r="D126" s="632" t="s">
        <v>2120</v>
      </c>
      <c r="E126" s="644"/>
    </row>
    <row r="127" spans="1:5">
      <c r="A127" s="641">
        <f t="shared" si="1"/>
        <v>122</v>
      </c>
      <c r="B127" s="642" t="s">
        <v>403</v>
      </c>
      <c r="C127" s="642" t="s">
        <v>1909</v>
      </c>
      <c r="D127" s="632" t="s">
        <v>2248</v>
      </c>
      <c r="E127" s="644" t="s">
        <v>2101</v>
      </c>
    </row>
    <row r="128" spans="1:5">
      <c r="A128" s="637">
        <f t="shared" si="1"/>
        <v>123</v>
      </c>
      <c r="D128" s="632" t="s">
        <v>2100</v>
      </c>
      <c r="E128" s="644" t="s">
        <v>2101</v>
      </c>
    </row>
    <row r="129" spans="1:5">
      <c r="A129" s="641">
        <f t="shared" si="1"/>
        <v>124</v>
      </c>
      <c r="B129" s="642" t="s">
        <v>405</v>
      </c>
      <c r="C129" s="642" t="s">
        <v>1915</v>
      </c>
      <c r="D129" s="632" t="s">
        <v>2249</v>
      </c>
      <c r="E129" s="644" t="s">
        <v>2250</v>
      </c>
    </row>
    <row r="130" spans="1:5">
      <c r="A130" s="637">
        <f t="shared" si="1"/>
        <v>125</v>
      </c>
      <c r="B130" s="642" t="s">
        <v>409</v>
      </c>
      <c r="C130" s="642" t="s">
        <v>1919</v>
      </c>
      <c r="D130" s="632" t="s">
        <v>2251</v>
      </c>
      <c r="E130" s="644"/>
    </row>
    <row r="131" spans="1:5">
      <c r="A131" s="641">
        <f t="shared" si="1"/>
        <v>126</v>
      </c>
      <c r="D131" s="632" t="s">
        <v>2252</v>
      </c>
      <c r="E131" s="644"/>
    </row>
    <row r="132" spans="1:5">
      <c r="A132" s="637">
        <f t="shared" si="1"/>
        <v>127</v>
      </c>
      <c r="D132" s="632" t="s">
        <v>2253</v>
      </c>
      <c r="E132" s="644"/>
    </row>
    <row r="133" spans="1:5">
      <c r="A133" s="641">
        <f t="shared" si="1"/>
        <v>128</v>
      </c>
      <c r="B133" s="642" t="s">
        <v>943</v>
      </c>
      <c r="C133" s="642" t="s">
        <v>2254</v>
      </c>
      <c r="D133" s="632" t="s">
        <v>2120</v>
      </c>
      <c r="E133" s="644"/>
    </row>
    <row r="134" spans="1:5">
      <c r="A134" s="637">
        <f t="shared" si="1"/>
        <v>129</v>
      </c>
      <c r="B134" s="642" t="s">
        <v>499</v>
      </c>
      <c r="C134" s="642" t="s">
        <v>2032</v>
      </c>
      <c r="D134" s="632" t="s">
        <v>2255</v>
      </c>
      <c r="E134" s="644"/>
    </row>
    <row r="135" spans="1:5">
      <c r="A135" s="641">
        <f t="shared" si="1"/>
        <v>130</v>
      </c>
      <c r="D135" s="632" t="s">
        <v>2256</v>
      </c>
      <c r="E135" s="644" t="s">
        <v>2257</v>
      </c>
    </row>
    <row r="136" spans="1:5">
      <c r="A136" s="637">
        <f t="shared" si="1"/>
        <v>131</v>
      </c>
      <c r="B136" s="642" t="s">
        <v>944</v>
      </c>
      <c r="C136" s="642" t="s">
        <v>1925</v>
      </c>
      <c r="D136" s="632" t="s">
        <v>2258</v>
      </c>
      <c r="E136" s="644"/>
    </row>
    <row r="137" spans="1:5">
      <c r="A137" s="641">
        <f t="shared" si="1"/>
        <v>132</v>
      </c>
      <c r="D137" s="632" t="s">
        <v>2259</v>
      </c>
      <c r="E137" s="644" t="s">
        <v>2111</v>
      </c>
    </row>
    <row r="138" spans="1:5">
      <c r="A138" s="637">
        <f t="shared" si="1"/>
        <v>133</v>
      </c>
      <c r="B138" s="642" t="s">
        <v>411</v>
      </c>
      <c r="C138" s="642" t="s">
        <v>1928</v>
      </c>
      <c r="D138" s="632" t="s">
        <v>2165</v>
      </c>
      <c r="E138" s="644" t="s">
        <v>2101</v>
      </c>
    </row>
    <row r="139" spans="1:5">
      <c r="A139" s="641">
        <f t="shared" si="1"/>
        <v>134</v>
      </c>
      <c r="D139" s="632" t="s">
        <v>2260</v>
      </c>
      <c r="E139" s="644" t="s">
        <v>2123</v>
      </c>
    </row>
    <row r="140" spans="1:5">
      <c r="A140" s="637">
        <f t="shared" ref="A140:A177" si="2">A139+1</f>
        <v>135</v>
      </c>
      <c r="B140" s="642" t="s">
        <v>415</v>
      </c>
      <c r="C140" s="642" t="s">
        <v>1935</v>
      </c>
      <c r="D140" s="632" t="s">
        <v>2261</v>
      </c>
      <c r="E140" s="644" t="s">
        <v>2262</v>
      </c>
    </row>
    <row r="141" spans="1:5">
      <c r="A141" s="641">
        <f t="shared" si="2"/>
        <v>136</v>
      </c>
      <c r="B141" s="642" t="s">
        <v>421</v>
      </c>
      <c r="C141" s="642" t="s">
        <v>1942</v>
      </c>
      <c r="D141" s="632" t="s">
        <v>2263</v>
      </c>
      <c r="E141" s="644"/>
    </row>
    <row r="142" spans="1:5">
      <c r="A142" s="637">
        <f t="shared" si="2"/>
        <v>137</v>
      </c>
      <c r="D142" s="632" t="s">
        <v>2264</v>
      </c>
      <c r="E142" s="644" t="s">
        <v>2265</v>
      </c>
    </row>
    <row r="143" spans="1:5">
      <c r="A143" s="641">
        <f t="shared" si="2"/>
        <v>138</v>
      </c>
      <c r="B143" s="642" t="s">
        <v>423</v>
      </c>
      <c r="C143" s="642" t="s">
        <v>1945</v>
      </c>
      <c r="D143" s="632" t="s">
        <v>2266</v>
      </c>
      <c r="E143" s="644"/>
    </row>
    <row r="144" spans="1:5">
      <c r="A144" s="637">
        <f t="shared" si="2"/>
        <v>139</v>
      </c>
      <c r="B144" s="642" t="s">
        <v>425</v>
      </c>
      <c r="C144" s="642" t="s">
        <v>1947</v>
      </c>
      <c r="D144" s="632" t="s">
        <v>2267</v>
      </c>
      <c r="E144" s="644"/>
    </row>
    <row r="145" spans="1:5">
      <c r="A145" s="641">
        <f t="shared" si="2"/>
        <v>140</v>
      </c>
      <c r="D145" s="632" t="s">
        <v>2268</v>
      </c>
      <c r="E145" s="644" t="s">
        <v>2269</v>
      </c>
    </row>
    <row r="146" spans="1:5">
      <c r="A146" s="637">
        <f t="shared" si="2"/>
        <v>141</v>
      </c>
      <c r="B146" s="642" t="s">
        <v>433</v>
      </c>
      <c r="C146" s="642" t="s">
        <v>1967</v>
      </c>
      <c r="D146" s="632" t="s">
        <v>2122</v>
      </c>
      <c r="E146" s="644" t="s">
        <v>2123</v>
      </c>
    </row>
    <row r="147" spans="1:5">
      <c r="A147" s="641">
        <f t="shared" si="2"/>
        <v>142</v>
      </c>
      <c r="B147" s="642" t="s">
        <v>435</v>
      </c>
      <c r="C147" s="642" t="s">
        <v>1976</v>
      </c>
      <c r="D147" s="632" t="s">
        <v>2270</v>
      </c>
      <c r="E147" s="644" t="s">
        <v>2271</v>
      </c>
    </row>
    <row r="148" spans="1:5">
      <c r="A148" s="637">
        <f t="shared" si="2"/>
        <v>143</v>
      </c>
      <c r="B148" s="642" t="s">
        <v>1979</v>
      </c>
      <c r="C148" s="642" t="s">
        <v>1980</v>
      </c>
      <c r="D148" s="632" t="s">
        <v>2272</v>
      </c>
      <c r="E148" s="644"/>
    </row>
    <row r="149" spans="1:5">
      <c r="A149" s="641">
        <f t="shared" si="2"/>
        <v>144</v>
      </c>
      <c r="D149" s="632" t="s">
        <v>2273</v>
      </c>
      <c r="E149" s="644" t="s">
        <v>2274</v>
      </c>
    </row>
    <row r="150" spans="1:5">
      <c r="A150" s="637">
        <f t="shared" si="2"/>
        <v>145</v>
      </c>
      <c r="B150" s="642" t="s">
        <v>443</v>
      </c>
      <c r="C150" s="642" t="s">
        <v>1987</v>
      </c>
      <c r="D150" s="632" t="s">
        <v>2260</v>
      </c>
      <c r="E150" s="644" t="s">
        <v>2123</v>
      </c>
    </row>
    <row r="151" spans="1:5">
      <c r="A151" s="641">
        <f t="shared" si="2"/>
        <v>146</v>
      </c>
      <c r="D151" s="632" t="s">
        <v>2275</v>
      </c>
      <c r="E151" s="644" t="s">
        <v>2265</v>
      </c>
    </row>
    <row r="152" spans="1:5">
      <c r="A152" s="637">
        <f t="shared" si="2"/>
        <v>147</v>
      </c>
      <c r="B152" s="642" t="s">
        <v>447</v>
      </c>
      <c r="C152" s="642" t="s">
        <v>1989</v>
      </c>
      <c r="D152" s="632" t="s">
        <v>2276</v>
      </c>
      <c r="E152" s="644" t="s">
        <v>2277</v>
      </c>
    </row>
    <row r="153" spans="1:5">
      <c r="A153" s="641">
        <f t="shared" si="2"/>
        <v>148</v>
      </c>
      <c r="B153" s="642" t="s">
        <v>445</v>
      </c>
      <c r="C153" s="642" t="s">
        <v>1994</v>
      </c>
      <c r="D153" s="632" t="s">
        <v>2278</v>
      </c>
      <c r="E153" s="644"/>
    </row>
    <row r="154" spans="1:5">
      <c r="A154" s="637">
        <f t="shared" si="2"/>
        <v>149</v>
      </c>
      <c r="B154" s="642" t="s">
        <v>449</v>
      </c>
      <c r="C154" s="642" t="s">
        <v>1997</v>
      </c>
      <c r="D154" s="632" t="s">
        <v>2279</v>
      </c>
      <c r="E154" s="644" t="s">
        <v>2280</v>
      </c>
    </row>
    <row r="155" spans="1:5">
      <c r="A155" s="641">
        <f t="shared" si="2"/>
        <v>150</v>
      </c>
      <c r="B155" s="642" t="s">
        <v>2281</v>
      </c>
      <c r="C155" s="642" t="s">
        <v>2282</v>
      </c>
      <c r="D155" s="632" t="s">
        <v>2120</v>
      </c>
      <c r="E155" s="644"/>
    </row>
    <row r="156" spans="1:5">
      <c r="A156" s="637">
        <f t="shared" si="2"/>
        <v>151</v>
      </c>
      <c r="B156" s="642" t="s">
        <v>2281</v>
      </c>
      <c r="C156" s="642" t="s">
        <v>2283</v>
      </c>
      <c r="D156" s="632" t="s">
        <v>2120</v>
      </c>
      <c r="E156" s="644"/>
    </row>
    <row r="157" spans="1:5">
      <c r="A157" s="641">
        <f t="shared" si="2"/>
        <v>152</v>
      </c>
      <c r="B157" s="642" t="s">
        <v>451</v>
      </c>
      <c r="C157" s="642" t="s">
        <v>2001</v>
      </c>
      <c r="D157" s="632" t="s">
        <v>2284</v>
      </c>
      <c r="E157" s="644"/>
    </row>
    <row r="158" spans="1:5">
      <c r="A158" s="637">
        <f t="shared" si="2"/>
        <v>153</v>
      </c>
      <c r="D158" s="632" t="s">
        <v>2285</v>
      </c>
      <c r="E158" s="644" t="s">
        <v>2286</v>
      </c>
    </row>
    <row r="159" spans="1:5">
      <c r="A159" s="641">
        <f t="shared" si="2"/>
        <v>154</v>
      </c>
      <c r="D159" s="632" t="s">
        <v>2287</v>
      </c>
      <c r="E159" s="644" t="s">
        <v>2288</v>
      </c>
    </row>
    <row r="160" spans="1:5">
      <c r="A160" s="637">
        <f t="shared" si="2"/>
        <v>155</v>
      </c>
      <c r="B160" s="642" t="s">
        <v>453</v>
      </c>
      <c r="C160" s="642" t="s">
        <v>2004</v>
      </c>
      <c r="D160" s="632" t="s">
        <v>2289</v>
      </c>
      <c r="E160" s="644" t="s">
        <v>2290</v>
      </c>
    </row>
    <row r="161" spans="1:5">
      <c r="A161" s="641">
        <f t="shared" si="2"/>
        <v>156</v>
      </c>
      <c r="D161" s="632" t="s">
        <v>2291</v>
      </c>
      <c r="E161" s="644"/>
    </row>
    <row r="162" spans="1:5">
      <c r="A162" s="637">
        <f t="shared" si="2"/>
        <v>157</v>
      </c>
      <c r="D162" s="632" t="s">
        <v>2292</v>
      </c>
      <c r="E162" s="644"/>
    </row>
    <row r="163" spans="1:5">
      <c r="A163" s="641">
        <f t="shared" si="2"/>
        <v>158</v>
      </c>
      <c r="D163" s="632" t="s">
        <v>2293</v>
      </c>
      <c r="E163" s="644"/>
    </row>
    <row r="164" spans="1:5">
      <c r="A164" s="637">
        <f t="shared" si="2"/>
        <v>159</v>
      </c>
      <c r="C164" s="638" t="s">
        <v>2007</v>
      </c>
      <c r="E164" s="644"/>
    </row>
    <row r="165" spans="1:5">
      <c r="A165" s="641">
        <f t="shared" si="2"/>
        <v>160</v>
      </c>
      <c r="C165" s="642" t="s">
        <v>2294</v>
      </c>
      <c r="D165" s="632" t="s">
        <v>2016</v>
      </c>
      <c r="E165" s="644"/>
    </row>
    <row r="166" spans="1:5" ht="14.5">
      <c r="A166" s="641">
        <f t="shared" si="2"/>
        <v>161</v>
      </c>
      <c r="C166" s="583" t="s">
        <v>2074</v>
      </c>
      <c r="E166" s="644"/>
    </row>
    <row r="167" spans="1:5" ht="14.5">
      <c r="A167" s="641">
        <f t="shared" si="2"/>
        <v>162</v>
      </c>
      <c r="C167" s="592" t="s">
        <v>2075</v>
      </c>
      <c r="D167" s="632" t="s">
        <v>2413</v>
      </c>
      <c r="E167" s="644"/>
    </row>
    <row r="168" spans="1:5" ht="14.5">
      <c r="A168" s="641">
        <f t="shared" si="2"/>
        <v>163</v>
      </c>
      <c r="C168" s="592" t="s">
        <v>2076</v>
      </c>
      <c r="D168" s="632" t="s">
        <v>2414</v>
      </c>
      <c r="E168" s="644"/>
    </row>
    <row r="169" spans="1:5" ht="14.5">
      <c r="A169" s="641">
        <f t="shared" si="2"/>
        <v>164</v>
      </c>
      <c r="C169" s="592"/>
      <c r="D169" s="632" t="s">
        <v>2415</v>
      </c>
      <c r="E169" s="644"/>
    </row>
    <row r="170" spans="1:5" ht="14.5">
      <c r="A170" s="641">
        <f t="shared" si="2"/>
        <v>165</v>
      </c>
      <c r="C170" s="592" t="s">
        <v>2053</v>
      </c>
      <c r="D170" s="632" t="s">
        <v>2465</v>
      </c>
      <c r="E170" s="644"/>
    </row>
    <row r="171" spans="1:5" ht="14.5">
      <c r="A171" s="641">
        <f t="shared" si="2"/>
        <v>166</v>
      </c>
      <c r="C171" s="592"/>
      <c r="D171" s="632" t="s">
        <v>2466</v>
      </c>
      <c r="E171" s="644"/>
    </row>
    <row r="172" spans="1:5" ht="14.5">
      <c r="A172" s="641">
        <f t="shared" si="2"/>
        <v>167</v>
      </c>
      <c r="C172" s="592" t="s">
        <v>2080</v>
      </c>
      <c r="D172" s="632" t="s">
        <v>2416</v>
      </c>
      <c r="E172" s="644"/>
    </row>
    <row r="173" spans="1:5" ht="14.5">
      <c r="A173" s="641">
        <f t="shared" si="2"/>
        <v>168</v>
      </c>
      <c r="C173" s="592"/>
      <c r="D173" s="632" t="s">
        <v>2467</v>
      </c>
      <c r="E173" s="644"/>
    </row>
    <row r="174" spans="1:5" ht="14.5">
      <c r="A174" s="641">
        <f t="shared" si="2"/>
        <v>169</v>
      </c>
      <c r="C174" s="592"/>
      <c r="D174" s="632" t="s">
        <v>2468</v>
      </c>
      <c r="E174" s="644"/>
    </row>
    <row r="175" spans="1:5" ht="14.5">
      <c r="A175" s="641">
        <f t="shared" si="2"/>
        <v>170</v>
      </c>
      <c r="C175" s="592" t="s">
        <v>2081</v>
      </c>
      <c r="D175" s="632" t="s">
        <v>2179</v>
      </c>
      <c r="E175" s="644"/>
    </row>
    <row r="176" spans="1:5" ht="14.5">
      <c r="A176" s="641">
        <f t="shared" si="2"/>
        <v>171</v>
      </c>
      <c r="C176" s="592" t="s">
        <v>2083</v>
      </c>
      <c r="D176" s="632" t="s">
        <v>2126</v>
      </c>
      <c r="E176" s="644"/>
    </row>
    <row r="177" spans="1:5">
      <c r="A177" s="641">
        <f t="shared" si="2"/>
        <v>172</v>
      </c>
      <c r="D177" s="632" t="s">
        <v>2417</v>
      </c>
      <c r="E177" s="644"/>
    </row>
    <row r="178" spans="1:5">
      <c r="A178" s="641"/>
      <c r="E178" s="655"/>
    </row>
    <row r="179" spans="1:5" ht="14.5">
      <c r="A179" s="656" t="s">
        <v>2418</v>
      </c>
      <c r="B179" s="657"/>
      <c r="C179" s="657"/>
      <c r="D179" s="643"/>
      <c r="E179" s="658"/>
    </row>
    <row r="180" spans="1:5" ht="13.5" thickBot="1">
      <c r="A180" s="659" t="s">
        <v>2308</v>
      </c>
      <c r="E180" s="655"/>
    </row>
  </sheetData>
  <pageMargins left="0.7" right="0.7" top="0.75" bottom="0.75" header="0.3" footer="0.3"/>
  <pageSetup scale="50" fitToHeight="0"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view="pageBreakPreview" zoomScale="150" zoomScaleNormal="100" zoomScaleSheetLayoutView="150" workbookViewId="0">
      <selection activeCell="A4" sqref="A4"/>
    </sheetView>
  </sheetViews>
  <sheetFormatPr defaultRowHeight="14.5"/>
  <cols>
    <col min="1" max="1" width="18.26953125" customWidth="1"/>
    <col min="2" max="2" width="91.26953125" customWidth="1"/>
  </cols>
  <sheetData>
    <row r="1" spans="1:5" s="353" customFormat="1" ht="13">
      <c r="A1" s="651" t="str">
        <f>'Cover Sheets'!A10:D10</f>
        <v>WAPA-UGP 2018 Rate True-up Calculation</v>
      </c>
      <c r="B1" s="652"/>
      <c r="C1" s="650"/>
      <c r="D1" s="650"/>
      <c r="E1" s="348"/>
    </row>
    <row r="2" spans="1:5" s="353" customFormat="1" ht="13">
      <c r="A2" s="827" t="s">
        <v>2564</v>
      </c>
      <c r="B2" s="826"/>
      <c r="C2" s="650"/>
      <c r="D2" s="650"/>
      <c r="E2" s="348"/>
    </row>
    <row r="3" spans="1:5" s="353" customFormat="1" ht="13">
      <c r="A3" s="653" t="str">
        <f>'WS1-RateBase'!A4</f>
        <v>12 Months Ending 09/30/2018 ACTUAL</v>
      </c>
      <c r="B3" s="654"/>
      <c r="C3" s="650"/>
      <c r="D3" s="650"/>
      <c r="E3" s="348"/>
    </row>
    <row r="4" spans="1:5" s="353" customFormat="1" ht="31.9" customHeight="1">
      <c r="A4" s="682" t="s">
        <v>2339</v>
      </c>
      <c r="B4" s="683" t="s">
        <v>2470</v>
      </c>
      <c r="C4" s="650"/>
      <c r="D4" s="650"/>
      <c r="E4" s="348"/>
    </row>
    <row r="5" spans="1:5" ht="29">
      <c r="A5" s="682" t="s">
        <v>1692</v>
      </c>
      <c r="B5" s="683" t="s">
        <v>2471</v>
      </c>
    </row>
    <row r="6" spans="1:5" ht="29">
      <c r="A6" s="682" t="s">
        <v>2342</v>
      </c>
      <c r="B6" s="683" t="s">
        <v>2472</v>
      </c>
    </row>
    <row r="7" spans="1:5" ht="29">
      <c r="A7" s="682" t="s">
        <v>1755</v>
      </c>
      <c r="B7" s="683" t="s">
        <v>2473</v>
      </c>
    </row>
    <row r="8" spans="1:5" ht="45.5">
      <c r="A8" s="682" t="s">
        <v>2348</v>
      </c>
      <c r="B8" s="683" t="s">
        <v>2474</v>
      </c>
    </row>
    <row r="9" spans="1:5" ht="29">
      <c r="A9" s="682" t="s">
        <v>2350</v>
      </c>
      <c r="B9" s="683" t="s">
        <v>2475</v>
      </c>
    </row>
    <row r="10" spans="1:5">
      <c r="A10" s="682" t="s">
        <v>2476</v>
      </c>
      <c r="B10" s="683" t="s">
        <v>2477</v>
      </c>
    </row>
    <row r="11" spans="1:5" ht="29">
      <c r="A11" s="682" t="s">
        <v>2353</v>
      </c>
      <c r="B11" s="683" t="s">
        <v>2478</v>
      </c>
    </row>
    <row r="12" spans="1:5" ht="43.5">
      <c r="A12" s="682" t="s">
        <v>1915</v>
      </c>
      <c r="B12" s="683" t="s">
        <v>2479</v>
      </c>
    </row>
    <row r="13" spans="1:5" ht="29">
      <c r="A13" s="682" t="s">
        <v>2363</v>
      </c>
      <c r="B13" s="683" t="s">
        <v>2480</v>
      </c>
    </row>
    <row r="14" spans="1:5" ht="29">
      <c r="A14" s="682" t="s">
        <v>2364</v>
      </c>
      <c r="B14" s="683" t="s">
        <v>2481</v>
      </c>
    </row>
    <row r="15" spans="1:5" ht="29">
      <c r="A15" s="682" t="s">
        <v>2365</v>
      </c>
      <c r="B15" s="683" t="s">
        <v>2482</v>
      </c>
    </row>
    <row r="16" spans="1:5">
      <c r="A16" s="682" t="s">
        <v>1945</v>
      </c>
      <c r="B16" s="683" t="s">
        <v>2483</v>
      </c>
    </row>
    <row r="17" spans="1:2" ht="29">
      <c r="A17" s="682" t="s">
        <v>1967</v>
      </c>
      <c r="B17" s="683" t="s">
        <v>2484</v>
      </c>
    </row>
    <row r="18" spans="1:2">
      <c r="A18" s="682" t="s">
        <v>1994</v>
      </c>
      <c r="B18" s="683" t="s">
        <v>2485</v>
      </c>
    </row>
  </sheetData>
  <pageMargins left="0.7" right="0.7" top="0.75" bottom="0.75" header="0.3" footer="0.3"/>
  <pageSetup scale="82" orientation="portrait" verticalDpi="1200"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view="pageBreakPreview" zoomScale="110" zoomScaleNormal="100" zoomScaleSheetLayoutView="110" workbookViewId="0">
      <selection activeCell="A4" sqref="A4"/>
    </sheetView>
  </sheetViews>
  <sheetFormatPr defaultColWidth="13.1796875" defaultRowHeight="14.5"/>
  <cols>
    <col min="1" max="1" width="13.1796875" style="351"/>
    <col min="2" max="2" width="89.453125" style="351" bestFit="1" customWidth="1"/>
    <col min="3" max="3" width="14.81640625" style="351" customWidth="1"/>
    <col min="4" max="4" width="32.26953125" style="351" bestFit="1" customWidth="1"/>
    <col min="5" max="16384" width="13.1796875" style="351"/>
  </cols>
  <sheetData>
    <row r="1" spans="1:4">
      <c r="A1" s="354" t="str">
        <f>'Cover Sheets'!A10:D10</f>
        <v>WAPA-UGP 2018 Rate True-up Calculation</v>
      </c>
      <c r="B1" s="517"/>
      <c r="C1" s="396"/>
      <c r="D1" s="397"/>
    </row>
    <row r="2" spans="1:4">
      <c r="A2" s="821" t="s">
        <v>2565</v>
      </c>
      <c r="B2" s="714"/>
      <c r="C2" s="398"/>
      <c r="D2" s="399"/>
    </row>
    <row r="3" spans="1:4">
      <c r="A3" s="167" t="str">
        <f>'WS1-RateBase'!A4</f>
        <v>12 Months Ending 09/30/2018 ACTUAL</v>
      </c>
      <c r="B3" s="398"/>
      <c r="C3" s="398"/>
      <c r="D3" s="399"/>
    </row>
    <row r="4" spans="1:4">
      <c r="A4" s="167"/>
      <c r="B4" s="358" t="s">
        <v>2</v>
      </c>
      <c r="C4" s="359" t="s">
        <v>1461</v>
      </c>
      <c r="D4" s="360" t="s">
        <v>1211</v>
      </c>
    </row>
    <row r="5" spans="1:4" ht="15" thickBot="1">
      <c r="A5" s="361" t="s">
        <v>1385</v>
      </c>
      <c r="B5" s="362">
        <v>-1</v>
      </c>
      <c r="C5" s="362">
        <v>-2</v>
      </c>
      <c r="D5" s="363">
        <v>-3</v>
      </c>
    </row>
    <row r="6" spans="1:4">
      <c r="A6" s="400">
        <v>1</v>
      </c>
      <c r="B6" s="401" t="s">
        <v>1384</v>
      </c>
      <c r="C6" s="408">
        <f>'WS4-CostData'!K121</f>
        <v>10878077.960000001</v>
      </c>
      <c r="D6" s="405" t="s">
        <v>1240</v>
      </c>
    </row>
    <row r="7" spans="1:4">
      <c r="A7" s="400">
        <f t="shared" ref="A7:A18" si="0">A6+1</f>
        <v>2</v>
      </c>
      <c r="B7" s="401" t="s">
        <v>1377</v>
      </c>
      <c r="C7" s="408">
        <f>'WS4-CostData'!K98</f>
        <v>187223.74573673302</v>
      </c>
      <c r="D7" s="405" t="s">
        <v>1259</v>
      </c>
    </row>
    <row r="8" spans="1:4">
      <c r="A8" s="400">
        <f t="shared" si="0"/>
        <v>3</v>
      </c>
      <c r="B8" s="401" t="s">
        <v>1372</v>
      </c>
      <c r="C8" s="408">
        <f>'WS4-CostData'!K41</f>
        <v>302196.77705159964</v>
      </c>
      <c r="D8" s="405" t="s">
        <v>1371</v>
      </c>
    </row>
    <row r="9" spans="1:4">
      <c r="A9" s="400">
        <f t="shared" si="0"/>
        <v>4</v>
      </c>
      <c r="B9" s="401" t="s">
        <v>1368</v>
      </c>
      <c r="C9" s="408">
        <v>0</v>
      </c>
      <c r="D9" s="405" t="s">
        <v>1460</v>
      </c>
    </row>
    <row r="10" spans="1:4" ht="39.5">
      <c r="A10" s="400">
        <f t="shared" si="0"/>
        <v>5</v>
      </c>
      <c r="B10" s="401" t="s">
        <v>1366</v>
      </c>
      <c r="C10" s="408">
        <v>0</v>
      </c>
      <c r="D10" s="421" t="s">
        <v>1459</v>
      </c>
    </row>
    <row r="11" spans="1:4">
      <c r="A11" s="400">
        <f t="shared" si="0"/>
        <v>6</v>
      </c>
      <c r="B11" s="401" t="s">
        <v>1364</v>
      </c>
      <c r="C11" s="403"/>
      <c r="D11" s="405"/>
    </row>
    <row r="12" spans="1:4">
      <c r="A12" s="400">
        <f t="shared" si="0"/>
        <v>7</v>
      </c>
      <c r="B12" s="406" t="s">
        <v>1363</v>
      </c>
      <c r="C12" s="412">
        <f>'WS4-CostData'!K62</f>
        <v>4.942300168199476E-2</v>
      </c>
      <c r="D12" s="405" t="s">
        <v>1294</v>
      </c>
    </row>
    <row r="13" spans="1:4">
      <c r="A13" s="400">
        <f t="shared" si="0"/>
        <v>8</v>
      </c>
      <c r="B13" s="406" t="s">
        <v>1347</v>
      </c>
      <c r="C13" s="408">
        <f>'WS4-CostData'!C20</f>
        <v>6941672.2199390354</v>
      </c>
      <c r="D13" s="405"/>
    </row>
    <row r="14" spans="1:4">
      <c r="A14" s="400">
        <f t="shared" si="0"/>
        <v>9</v>
      </c>
      <c r="B14" s="406" t="s">
        <v>1353</v>
      </c>
      <c r="C14" s="408">
        <f>C12*C13</f>
        <v>343078.27780190326</v>
      </c>
      <c r="D14" s="405" t="s">
        <v>1458</v>
      </c>
    </row>
    <row r="15" spans="1:4">
      <c r="A15" s="400">
        <f t="shared" si="0"/>
        <v>10</v>
      </c>
      <c r="B15" s="401" t="s">
        <v>1350</v>
      </c>
      <c r="C15" s="412"/>
      <c r="D15" s="413"/>
    </row>
    <row r="16" spans="1:4" ht="15" thickBot="1">
      <c r="A16" s="400">
        <f t="shared" si="0"/>
        <v>11</v>
      </c>
      <c r="B16" s="417" t="s">
        <v>1345</v>
      </c>
      <c r="C16" s="419">
        <f>C6+C7+C8+C14</f>
        <v>11710576.760590237</v>
      </c>
      <c r="D16" s="420" t="s">
        <v>1457</v>
      </c>
    </row>
    <row r="17" spans="1:4">
      <c r="A17" s="400">
        <f t="shared" si="0"/>
        <v>12</v>
      </c>
      <c r="B17" s="425" t="s">
        <v>1486</v>
      </c>
      <c r="C17" s="426">
        <f>C16*C20</f>
        <v>867166.07105518447</v>
      </c>
      <c r="D17" s="511"/>
    </row>
    <row r="18" spans="1:4" ht="15" thickBot="1">
      <c r="A18" s="361">
        <f t="shared" si="0"/>
        <v>13</v>
      </c>
      <c r="B18" s="512" t="s">
        <v>1489</v>
      </c>
      <c r="C18" s="513">
        <f>C16-C17</f>
        <v>10843410.689535052</v>
      </c>
      <c r="D18" s="514" t="s">
        <v>1488</v>
      </c>
    </row>
    <row r="20" spans="1:4">
      <c r="B20" s="351" t="s">
        <v>1487</v>
      </c>
      <c r="C20" s="351">
        <f>'WS8-TranFac'!F506/'WS8-TranFac'!I506</f>
        <v>7.4049817424319375E-2</v>
      </c>
    </row>
  </sheetData>
  <pageMargins left="0.7" right="0.7" top="0.75" bottom="0.75" header="0.3" footer="0.3"/>
  <pageSetup scale="81"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1"/>
  <sheetViews>
    <sheetView view="pageBreakPreview" zoomScale="110" zoomScaleNormal="100" zoomScaleSheetLayoutView="110" workbookViewId="0">
      <selection activeCell="A4" sqref="A4"/>
    </sheetView>
  </sheetViews>
  <sheetFormatPr defaultColWidth="9.1796875" defaultRowHeight="13"/>
  <cols>
    <col min="1" max="1" width="22.1796875" style="353" customWidth="1"/>
    <col min="2" max="2" width="16.7265625" style="353" customWidth="1"/>
    <col min="3" max="3" width="76.1796875" style="353" bestFit="1" customWidth="1"/>
    <col min="4" max="4" width="27.81640625" style="353" customWidth="1"/>
    <col min="5" max="5" width="22.54296875" style="678" bestFit="1" customWidth="1"/>
    <col min="6" max="6" width="16.54296875" style="353" customWidth="1"/>
    <col min="7" max="7" width="15" style="546" customWidth="1"/>
    <col min="8" max="8" width="22.54296875" style="353" customWidth="1"/>
    <col min="9" max="9" width="17.54296875" style="547" customWidth="1"/>
    <col min="10" max="10" width="12.7265625" style="353" bestFit="1" customWidth="1"/>
    <col min="11" max="11" width="11.54296875" style="353" bestFit="1" customWidth="1"/>
    <col min="12" max="16384" width="9.1796875" style="353"/>
  </cols>
  <sheetData>
    <row r="1" spans="1:14">
      <c r="A1" s="354" t="str">
        <f>'Cover Sheets'!A10:D10</f>
        <v>WAPA-UGP 2018 Rate True-up Calculation</v>
      </c>
      <c r="B1" s="557"/>
      <c r="C1" s="355"/>
      <c r="D1" s="355"/>
      <c r="E1" s="668"/>
      <c r="F1" s="355"/>
      <c r="G1" s="553"/>
      <c r="H1" s="355"/>
      <c r="I1" s="554"/>
    </row>
    <row r="2" spans="1:14">
      <c r="A2" s="822" t="s">
        <v>2566</v>
      </c>
      <c r="B2" s="558"/>
      <c r="C2" s="356"/>
      <c r="D2" s="356"/>
      <c r="E2" s="669"/>
      <c r="F2" s="356"/>
      <c r="G2" s="537"/>
      <c r="H2" s="356"/>
      <c r="I2" s="538"/>
    </row>
    <row r="3" spans="1:14">
      <c r="A3" s="357" t="str">
        <f>'WS1-RateBase'!A4</f>
        <v>12 Months Ending 09/30/2018 ACTUAL</v>
      </c>
      <c r="B3" s="558"/>
      <c r="C3" s="356"/>
      <c r="D3" s="356"/>
      <c r="E3" s="669"/>
      <c r="F3" s="356"/>
      <c r="G3" s="537"/>
      <c r="H3" s="356"/>
      <c r="I3" s="538"/>
    </row>
    <row r="4" spans="1:14" s="3" customFormat="1" ht="42.75" customHeight="1">
      <c r="A4" s="555" t="s">
        <v>2440</v>
      </c>
      <c r="B4" s="559" t="s">
        <v>1</v>
      </c>
      <c r="C4" s="427" t="s">
        <v>2</v>
      </c>
      <c r="D4" s="427" t="s">
        <v>1388</v>
      </c>
      <c r="E4" s="670" t="s">
        <v>4</v>
      </c>
      <c r="F4" s="549"/>
      <c r="G4" s="550" t="s">
        <v>2392</v>
      </c>
      <c r="H4" s="550" t="s">
        <v>2393</v>
      </c>
      <c r="I4" s="551" t="s">
        <v>2436</v>
      </c>
      <c r="J4" s="8"/>
      <c r="N4" s="8"/>
    </row>
    <row r="5" spans="1:14" ht="15" customHeight="1">
      <c r="A5" s="523"/>
      <c r="B5" s="560" t="s">
        <v>553</v>
      </c>
      <c r="C5" s="556" t="s">
        <v>554</v>
      </c>
      <c r="D5" s="428" t="s">
        <v>2547</v>
      </c>
      <c r="E5" s="671">
        <f>E41</f>
        <v>6006058.1099999985</v>
      </c>
      <c r="F5" s="429"/>
      <c r="G5" s="430">
        <v>0</v>
      </c>
      <c r="H5" s="430">
        <f>I5-E5</f>
        <v>-1501514.5274999989</v>
      </c>
      <c r="I5" s="431">
        <f>I41</f>
        <v>4504543.5824999996</v>
      </c>
      <c r="J5" s="531"/>
      <c r="L5" s="11"/>
      <c r="M5" s="11"/>
      <c r="N5" s="11"/>
    </row>
    <row r="6" spans="1:14">
      <c r="A6" s="523"/>
      <c r="B6" s="560" t="s">
        <v>555</v>
      </c>
      <c r="C6" s="428" t="s">
        <v>2389</v>
      </c>
      <c r="D6" s="428" t="s">
        <v>2547</v>
      </c>
      <c r="E6" s="671">
        <f>E48+E53</f>
        <v>2542599.7899999996</v>
      </c>
      <c r="F6" s="432"/>
      <c r="G6" s="430">
        <v>0</v>
      </c>
      <c r="H6" s="430">
        <f>I6-E6</f>
        <v>-720132.67026999965</v>
      </c>
      <c r="I6" s="431">
        <f>I48+I53</f>
        <v>1822467.1197299999</v>
      </c>
      <c r="J6" s="532"/>
      <c r="L6" s="11"/>
      <c r="M6" s="11"/>
      <c r="N6" s="15"/>
    </row>
    <row r="7" spans="1:14" ht="13.5" thickBot="1">
      <c r="A7" s="524"/>
      <c r="B7" s="561" t="s">
        <v>1421</v>
      </c>
      <c r="C7" s="433" t="s">
        <v>2390</v>
      </c>
      <c r="D7" s="433" t="s">
        <v>2547</v>
      </c>
      <c r="E7" s="672">
        <f>E97+E130</f>
        <v>12430495.109999999</v>
      </c>
      <c r="F7" s="434"/>
      <c r="G7" s="435">
        <v>0</v>
      </c>
      <c r="H7" s="435">
        <f>I7-E7</f>
        <v>-3854499.916824</v>
      </c>
      <c r="I7" s="436">
        <f>I97+I130</f>
        <v>8575995.1931759994</v>
      </c>
      <c r="J7" s="532"/>
      <c r="L7" s="11"/>
      <c r="M7" s="11"/>
      <c r="N7" s="15"/>
    </row>
    <row r="8" spans="1:14">
      <c r="A8" s="437"/>
      <c r="B8" s="560"/>
      <c r="C8" s="439"/>
      <c r="D8" s="439"/>
      <c r="E8" s="673">
        <f>SUM(E5:E7)</f>
        <v>20979153.009999998</v>
      </c>
      <c r="F8" s="440">
        <f t="shared" ref="F8:I8" si="0">SUM(F5:F7)</f>
        <v>0</v>
      </c>
      <c r="G8" s="442">
        <f t="shared" si="0"/>
        <v>0</v>
      </c>
      <c r="H8" s="441">
        <f t="shared" si="0"/>
        <v>-6076147.1145939985</v>
      </c>
      <c r="I8" s="503">
        <f t="shared" si="0"/>
        <v>14903005.895405998</v>
      </c>
      <c r="J8" s="14"/>
      <c r="K8" s="532"/>
      <c r="L8" s="11"/>
      <c r="M8" s="11"/>
      <c r="N8" s="15"/>
    </row>
    <row r="9" spans="1:14" ht="24" customHeight="1">
      <c r="A9" s="533" t="s">
        <v>2441</v>
      </c>
      <c r="B9" s="559" t="s">
        <v>1</v>
      </c>
      <c r="C9" s="427" t="s">
        <v>2</v>
      </c>
      <c r="D9" s="427" t="s">
        <v>2391</v>
      </c>
      <c r="E9" s="674" t="s">
        <v>2396</v>
      </c>
      <c r="F9" s="534" t="s">
        <v>2387</v>
      </c>
      <c r="G9" s="535" t="s">
        <v>2395</v>
      </c>
      <c r="H9" s="445" t="s">
        <v>2386</v>
      </c>
      <c r="I9" s="548" t="s">
        <v>2394</v>
      </c>
    </row>
    <row r="10" spans="1:14">
      <c r="A10" s="515"/>
      <c r="B10" s="666" t="s">
        <v>1389</v>
      </c>
      <c r="C10" s="552" t="s">
        <v>1390</v>
      </c>
      <c r="D10" s="428" t="s">
        <v>1390</v>
      </c>
      <c r="E10" s="671">
        <f>298.8</f>
        <v>298.8</v>
      </c>
      <c r="F10" s="536">
        <v>0.75</v>
      </c>
      <c r="G10" s="537">
        <f t="shared" ref="G10:G40" si="1">F10*E10</f>
        <v>224.10000000000002</v>
      </c>
      <c r="H10" s="536">
        <v>0.75</v>
      </c>
      <c r="I10" s="538">
        <f>E10*H10</f>
        <v>224.10000000000002</v>
      </c>
    </row>
    <row r="11" spans="1:14">
      <c r="A11" s="515"/>
      <c r="B11" s="666" t="s">
        <v>1389</v>
      </c>
      <c r="C11" s="552" t="s">
        <v>1391</v>
      </c>
      <c r="D11" s="428" t="s">
        <v>1392</v>
      </c>
      <c r="E11" s="671">
        <f>9789.59</f>
        <v>9789.59</v>
      </c>
      <c r="F11" s="536">
        <v>0.75</v>
      </c>
      <c r="G11" s="537">
        <f t="shared" si="1"/>
        <v>7342.1925000000001</v>
      </c>
      <c r="H11" s="536">
        <v>0.75</v>
      </c>
      <c r="I11" s="538">
        <f t="shared" ref="I11:I40" si="2">E11*H11</f>
        <v>7342.1925000000001</v>
      </c>
    </row>
    <row r="12" spans="1:14">
      <c r="A12" s="515"/>
      <c r="B12" s="666" t="s">
        <v>1389</v>
      </c>
      <c r="C12" s="552" t="s">
        <v>1393</v>
      </c>
      <c r="D12" s="428" t="s">
        <v>1392</v>
      </c>
      <c r="E12" s="671">
        <f>1538.62</f>
        <v>1538.62</v>
      </c>
      <c r="F12" s="536">
        <v>0.75</v>
      </c>
      <c r="G12" s="537">
        <f t="shared" si="1"/>
        <v>1153.9649999999999</v>
      </c>
      <c r="H12" s="536">
        <v>0.75</v>
      </c>
      <c r="I12" s="538">
        <f t="shared" si="2"/>
        <v>1153.9649999999999</v>
      </c>
    </row>
    <row r="13" spans="1:14">
      <c r="A13" s="515"/>
      <c r="B13" s="666" t="s">
        <v>1389</v>
      </c>
      <c r="C13" s="552" t="s">
        <v>1394</v>
      </c>
      <c r="D13" s="428" t="s">
        <v>1395</v>
      </c>
      <c r="E13" s="671">
        <f>295485.92</f>
        <v>295485.92</v>
      </c>
      <c r="F13" s="536">
        <v>0.75</v>
      </c>
      <c r="G13" s="537">
        <f t="shared" si="1"/>
        <v>221614.44</v>
      </c>
      <c r="H13" s="536">
        <v>0.75</v>
      </c>
      <c r="I13" s="538">
        <f t="shared" si="2"/>
        <v>221614.44</v>
      </c>
    </row>
    <row r="14" spans="1:14">
      <c r="A14" s="515"/>
      <c r="B14" s="666" t="s">
        <v>1389</v>
      </c>
      <c r="C14" s="552" t="s">
        <v>1390</v>
      </c>
      <c r="D14" s="428" t="s">
        <v>1390</v>
      </c>
      <c r="E14" s="671">
        <f>57816.18</f>
        <v>57816.18</v>
      </c>
      <c r="F14" s="536">
        <v>0.75</v>
      </c>
      <c r="G14" s="537">
        <f t="shared" si="1"/>
        <v>43362.135000000002</v>
      </c>
      <c r="H14" s="536">
        <v>0.75</v>
      </c>
      <c r="I14" s="538">
        <f t="shared" si="2"/>
        <v>43362.135000000002</v>
      </c>
    </row>
    <row r="15" spans="1:14">
      <c r="A15" s="515"/>
      <c r="B15" s="666" t="s">
        <v>1389</v>
      </c>
      <c r="C15" s="552" t="s">
        <v>1390</v>
      </c>
      <c r="D15" s="428" t="s">
        <v>2305</v>
      </c>
      <c r="E15" s="671">
        <f>5246.19</f>
        <v>5246.19</v>
      </c>
      <c r="F15" s="536">
        <v>0.75</v>
      </c>
      <c r="G15" s="537">
        <f t="shared" si="1"/>
        <v>3934.6424999999999</v>
      </c>
      <c r="H15" s="536">
        <v>0.75</v>
      </c>
      <c r="I15" s="538">
        <f t="shared" si="2"/>
        <v>3934.6424999999999</v>
      </c>
    </row>
    <row r="16" spans="1:14">
      <c r="A16" s="515"/>
      <c r="B16" s="666" t="s">
        <v>1389</v>
      </c>
      <c r="C16" s="552" t="s">
        <v>2334</v>
      </c>
      <c r="D16" s="428" t="s">
        <v>2305</v>
      </c>
      <c r="E16" s="671">
        <f>17479.6</f>
        <v>17479.599999999999</v>
      </c>
      <c r="F16" s="536">
        <v>0.75</v>
      </c>
      <c r="G16" s="537">
        <f t="shared" si="1"/>
        <v>13109.699999999999</v>
      </c>
      <c r="H16" s="536">
        <v>0.75</v>
      </c>
      <c r="I16" s="538">
        <f t="shared" si="2"/>
        <v>13109.699999999999</v>
      </c>
    </row>
    <row r="17" spans="1:9">
      <c r="A17" s="515"/>
      <c r="B17" s="666" t="s">
        <v>1389</v>
      </c>
      <c r="C17" s="552" t="s">
        <v>1410</v>
      </c>
      <c r="D17" s="428" t="s">
        <v>1410</v>
      </c>
      <c r="E17" s="671">
        <f>122582.16</f>
        <v>122582.16</v>
      </c>
      <c r="F17" s="536">
        <v>0.75</v>
      </c>
      <c r="G17" s="537">
        <f t="shared" si="1"/>
        <v>91936.62</v>
      </c>
      <c r="H17" s="536">
        <v>0.75</v>
      </c>
      <c r="I17" s="538">
        <f t="shared" si="2"/>
        <v>91936.62</v>
      </c>
    </row>
    <row r="18" spans="1:9">
      <c r="A18" s="515"/>
      <c r="B18" s="666" t="s">
        <v>1389</v>
      </c>
      <c r="C18" s="552" t="s">
        <v>1410</v>
      </c>
      <c r="D18" s="428" t="s">
        <v>1410</v>
      </c>
      <c r="E18" s="671">
        <f>12407.04</f>
        <v>12407.04</v>
      </c>
      <c r="F18" s="536">
        <v>0.75</v>
      </c>
      <c r="G18" s="537">
        <f t="shared" si="1"/>
        <v>9305.2800000000007</v>
      </c>
      <c r="H18" s="536">
        <v>0.75</v>
      </c>
      <c r="I18" s="538">
        <f t="shared" si="2"/>
        <v>9305.2800000000007</v>
      </c>
    </row>
    <row r="19" spans="1:9">
      <c r="A19" s="515"/>
      <c r="B19" s="666" t="s">
        <v>1389</v>
      </c>
      <c r="C19" s="552" t="s">
        <v>1396</v>
      </c>
      <c r="D19" s="428" t="s">
        <v>1397</v>
      </c>
      <c r="E19" s="671">
        <f>20216.81</f>
        <v>20216.810000000001</v>
      </c>
      <c r="F19" s="536">
        <v>0.75</v>
      </c>
      <c r="G19" s="537">
        <f t="shared" si="1"/>
        <v>15162.607500000002</v>
      </c>
      <c r="H19" s="536">
        <v>0.75</v>
      </c>
      <c r="I19" s="538">
        <f t="shared" si="2"/>
        <v>15162.607500000002</v>
      </c>
    </row>
    <row r="20" spans="1:9">
      <c r="A20" s="515"/>
      <c r="B20" s="666" t="s">
        <v>1389</v>
      </c>
      <c r="C20" s="552" t="s">
        <v>1391</v>
      </c>
      <c r="D20" s="428" t="s">
        <v>1392</v>
      </c>
      <c r="E20" s="671">
        <f>54137.52</f>
        <v>54137.52</v>
      </c>
      <c r="F20" s="536">
        <v>0.75</v>
      </c>
      <c r="G20" s="537">
        <f t="shared" si="1"/>
        <v>40603.14</v>
      </c>
      <c r="H20" s="536">
        <v>0.75</v>
      </c>
      <c r="I20" s="538">
        <f t="shared" si="2"/>
        <v>40603.14</v>
      </c>
    </row>
    <row r="21" spans="1:9">
      <c r="A21" s="515"/>
      <c r="B21" s="666" t="s">
        <v>1389</v>
      </c>
      <c r="C21" s="552" t="s">
        <v>1398</v>
      </c>
      <c r="D21" s="428" t="s">
        <v>1399</v>
      </c>
      <c r="E21" s="671">
        <f>531049.1</f>
        <v>531049.1</v>
      </c>
      <c r="F21" s="536">
        <v>0.75</v>
      </c>
      <c r="G21" s="537">
        <f t="shared" si="1"/>
        <v>398286.82499999995</v>
      </c>
      <c r="H21" s="536">
        <v>0.75</v>
      </c>
      <c r="I21" s="538">
        <f t="shared" si="2"/>
        <v>398286.82499999995</v>
      </c>
    </row>
    <row r="22" spans="1:9">
      <c r="A22" s="515"/>
      <c r="B22" s="666" t="s">
        <v>1389</v>
      </c>
      <c r="C22" s="552" t="s">
        <v>1398</v>
      </c>
      <c r="D22" s="428" t="s">
        <v>1400</v>
      </c>
      <c r="E22" s="671">
        <f>90309.47</f>
        <v>90309.47</v>
      </c>
      <c r="F22" s="536">
        <v>0.75</v>
      </c>
      <c r="G22" s="537">
        <f t="shared" si="1"/>
        <v>67732.102500000008</v>
      </c>
      <c r="H22" s="536">
        <v>0.75</v>
      </c>
      <c r="I22" s="538">
        <f t="shared" si="2"/>
        <v>67732.102500000008</v>
      </c>
    </row>
    <row r="23" spans="1:9">
      <c r="A23" s="515"/>
      <c r="B23" s="666" t="s">
        <v>1389</v>
      </c>
      <c r="C23" s="552" t="s">
        <v>1401</v>
      </c>
      <c r="D23" s="428" t="s">
        <v>1402</v>
      </c>
      <c r="E23" s="671">
        <f>54257.11</f>
        <v>54257.11</v>
      </c>
      <c r="F23" s="536">
        <v>0.75</v>
      </c>
      <c r="G23" s="537">
        <f t="shared" si="1"/>
        <v>40692.832500000004</v>
      </c>
      <c r="H23" s="536">
        <v>0.75</v>
      </c>
      <c r="I23" s="538">
        <f t="shared" si="2"/>
        <v>40692.832500000004</v>
      </c>
    </row>
    <row r="24" spans="1:9">
      <c r="A24" s="515"/>
      <c r="B24" s="666" t="s">
        <v>1389</v>
      </c>
      <c r="C24" s="552" t="s">
        <v>1401</v>
      </c>
      <c r="D24" s="428" t="s">
        <v>1403</v>
      </c>
      <c r="E24" s="671">
        <f>475745.99</f>
        <v>475745.99</v>
      </c>
      <c r="F24" s="536">
        <v>0.75</v>
      </c>
      <c r="G24" s="537">
        <f t="shared" si="1"/>
        <v>356809.49249999999</v>
      </c>
      <c r="H24" s="536">
        <v>0.75</v>
      </c>
      <c r="I24" s="538">
        <f t="shared" si="2"/>
        <v>356809.49249999999</v>
      </c>
    </row>
    <row r="25" spans="1:9">
      <c r="A25" s="515"/>
      <c r="B25" s="666" t="s">
        <v>1389</v>
      </c>
      <c r="C25" s="552" t="s">
        <v>1404</v>
      </c>
      <c r="D25" s="428" t="s">
        <v>1405</v>
      </c>
      <c r="E25" s="671">
        <f>95962.39</f>
        <v>95962.39</v>
      </c>
      <c r="F25" s="536">
        <v>0.75</v>
      </c>
      <c r="G25" s="537">
        <f t="shared" si="1"/>
        <v>71971.792499999996</v>
      </c>
      <c r="H25" s="536">
        <v>0.75</v>
      </c>
      <c r="I25" s="538">
        <f t="shared" si="2"/>
        <v>71971.792499999996</v>
      </c>
    </row>
    <row r="26" spans="1:9">
      <c r="A26" s="515"/>
      <c r="B26" s="666" t="s">
        <v>1389</v>
      </c>
      <c r="C26" s="552" t="s">
        <v>1396</v>
      </c>
      <c r="D26" s="428" t="s">
        <v>1406</v>
      </c>
      <c r="E26" s="671">
        <f>12679.49</f>
        <v>12679.49</v>
      </c>
      <c r="F26" s="536">
        <v>0.75</v>
      </c>
      <c r="G26" s="537">
        <f t="shared" si="1"/>
        <v>9509.6175000000003</v>
      </c>
      <c r="H26" s="536">
        <v>0.75</v>
      </c>
      <c r="I26" s="538">
        <f t="shared" si="2"/>
        <v>9509.6175000000003</v>
      </c>
    </row>
    <row r="27" spans="1:9">
      <c r="A27" s="515"/>
      <c r="B27" s="666" t="s">
        <v>1389</v>
      </c>
      <c r="C27" s="552" t="s">
        <v>1396</v>
      </c>
      <c r="D27" s="428" t="s">
        <v>1407</v>
      </c>
      <c r="E27" s="671">
        <f>1022154.12</f>
        <v>1022154.12</v>
      </c>
      <c r="F27" s="536">
        <v>0.75</v>
      </c>
      <c r="G27" s="537">
        <f t="shared" si="1"/>
        <v>766615.59</v>
      </c>
      <c r="H27" s="536">
        <v>0.75</v>
      </c>
      <c r="I27" s="538">
        <f t="shared" si="2"/>
        <v>766615.59</v>
      </c>
    </row>
    <row r="28" spans="1:9">
      <c r="A28" s="515"/>
      <c r="B28" s="666" t="s">
        <v>1389</v>
      </c>
      <c r="C28" s="552" t="s">
        <v>1396</v>
      </c>
      <c r="D28" s="428" t="s">
        <v>1408</v>
      </c>
      <c r="E28" s="671">
        <f>122476.25</f>
        <v>122476.25</v>
      </c>
      <c r="F28" s="536">
        <v>0.75</v>
      </c>
      <c r="G28" s="537">
        <f t="shared" si="1"/>
        <v>91857.1875</v>
      </c>
      <c r="H28" s="536">
        <v>0.75</v>
      </c>
      <c r="I28" s="538">
        <f t="shared" si="2"/>
        <v>91857.1875</v>
      </c>
    </row>
    <row r="29" spans="1:9">
      <c r="A29" s="515"/>
      <c r="B29" s="666" t="s">
        <v>1389</v>
      </c>
      <c r="C29" s="552" t="s">
        <v>1409</v>
      </c>
      <c r="D29" s="428" t="s">
        <v>1410</v>
      </c>
      <c r="E29" s="671">
        <f>733679.47</f>
        <v>733679.47</v>
      </c>
      <c r="F29" s="536">
        <v>0.75</v>
      </c>
      <c r="G29" s="537">
        <f t="shared" si="1"/>
        <v>550259.60250000004</v>
      </c>
      <c r="H29" s="536">
        <v>0.75</v>
      </c>
      <c r="I29" s="538">
        <f t="shared" si="2"/>
        <v>550259.60250000004</v>
      </c>
    </row>
    <row r="30" spans="1:9">
      <c r="A30" s="515"/>
      <c r="B30" s="666" t="s">
        <v>1389</v>
      </c>
      <c r="C30" s="552" t="s">
        <v>1409</v>
      </c>
      <c r="D30" s="428" t="s">
        <v>1411</v>
      </c>
      <c r="E30" s="671">
        <f>35291.83</f>
        <v>35291.83</v>
      </c>
      <c r="F30" s="536">
        <v>0.75</v>
      </c>
      <c r="G30" s="537">
        <f t="shared" si="1"/>
        <v>26468.872500000001</v>
      </c>
      <c r="H30" s="536">
        <v>0.75</v>
      </c>
      <c r="I30" s="538">
        <f t="shared" si="2"/>
        <v>26468.872500000001</v>
      </c>
    </row>
    <row r="31" spans="1:9">
      <c r="A31" s="515"/>
      <c r="B31" s="666" t="s">
        <v>1389</v>
      </c>
      <c r="C31" s="552" t="s">
        <v>1409</v>
      </c>
      <c r="D31" s="428" t="s">
        <v>1412</v>
      </c>
      <c r="E31" s="671">
        <f>13959.4</f>
        <v>13959.4</v>
      </c>
      <c r="F31" s="536">
        <v>0.75</v>
      </c>
      <c r="G31" s="537">
        <f t="shared" si="1"/>
        <v>10469.549999999999</v>
      </c>
      <c r="H31" s="536">
        <v>0.75</v>
      </c>
      <c r="I31" s="538">
        <f t="shared" si="2"/>
        <v>10469.549999999999</v>
      </c>
    </row>
    <row r="32" spans="1:9">
      <c r="A32" s="515"/>
      <c r="B32" s="666" t="s">
        <v>1389</v>
      </c>
      <c r="C32" s="552" t="s">
        <v>1413</v>
      </c>
      <c r="D32" s="428" t="s">
        <v>1414</v>
      </c>
      <c r="E32" s="671">
        <f>53112.38</f>
        <v>53112.38</v>
      </c>
      <c r="F32" s="536">
        <v>0.75</v>
      </c>
      <c r="G32" s="537">
        <f t="shared" si="1"/>
        <v>39834.284999999996</v>
      </c>
      <c r="H32" s="536">
        <v>0.75</v>
      </c>
      <c r="I32" s="538">
        <f t="shared" si="2"/>
        <v>39834.284999999996</v>
      </c>
    </row>
    <row r="33" spans="1:9">
      <c r="A33" s="515"/>
      <c r="B33" s="666" t="s">
        <v>1389</v>
      </c>
      <c r="C33" s="552" t="s">
        <v>1415</v>
      </c>
      <c r="D33" s="428" t="s">
        <v>1416</v>
      </c>
      <c r="E33" s="671">
        <f>184306.99</f>
        <v>184306.99</v>
      </c>
      <c r="F33" s="536">
        <v>0.75</v>
      </c>
      <c r="G33" s="537">
        <f t="shared" si="1"/>
        <v>138230.24249999999</v>
      </c>
      <c r="H33" s="536">
        <v>0.75</v>
      </c>
      <c r="I33" s="538">
        <f t="shared" si="2"/>
        <v>138230.24249999999</v>
      </c>
    </row>
    <row r="34" spans="1:9">
      <c r="A34" s="515"/>
      <c r="B34" s="666" t="s">
        <v>1389</v>
      </c>
      <c r="C34" s="552" t="s">
        <v>1415</v>
      </c>
      <c r="D34" s="428" t="s">
        <v>1417</v>
      </c>
      <c r="E34" s="671">
        <f>97180.43</f>
        <v>97180.43</v>
      </c>
      <c r="F34" s="536">
        <v>0.75</v>
      </c>
      <c r="G34" s="537">
        <f t="shared" si="1"/>
        <v>72885.322499999995</v>
      </c>
      <c r="H34" s="536">
        <v>0.75</v>
      </c>
      <c r="I34" s="538">
        <f t="shared" si="2"/>
        <v>72885.322499999995</v>
      </c>
    </row>
    <row r="35" spans="1:9">
      <c r="A35" s="515"/>
      <c r="B35" s="666" t="s">
        <v>1389</v>
      </c>
      <c r="C35" s="552" t="s">
        <v>1415</v>
      </c>
      <c r="D35" s="428" t="s">
        <v>1418</v>
      </c>
      <c r="E35" s="671">
        <f>28884.55</f>
        <v>28884.55</v>
      </c>
      <c r="F35" s="536">
        <v>0.75</v>
      </c>
      <c r="G35" s="537">
        <f t="shared" si="1"/>
        <v>21663.412499999999</v>
      </c>
      <c r="H35" s="536">
        <v>0.75</v>
      </c>
      <c r="I35" s="538">
        <f t="shared" si="2"/>
        <v>21663.412499999999</v>
      </c>
    </row>
    <row r="36" spans="1:9">
      <c r="A36" s="515"/>
      <c r="B36" s="666" t="s">
        <v>1389</v>
      </c>
      <c r="C36" s="552" t="s">
        <v>1415</v>
      </c>
      <c r="D36" s="428" t="s">
        <v>1419</v>
      </c>
      <c r="E36" s="671">
        <f>41065.94</f>
        <v>41065.94</v>
      </c>
      <c r="F36" s="536">
        <v>0.75</v>
      </c>
      <c r="G36" s="537">
        <f t="shared" si="1"/>
        <v>30799.455000000002</v>
      </c>
      <c r="H36" s="536">
        <v>0.75</v>
      </c>
      <c r="I36" s="538">
        <f t="shared" si="2"/>
        <v>30799.455000000002</v>
      </c>
    </row>
    <row r="37" spans="1:9">
      <c r="A37" s="515"/>
      <c r="B37" s="666" t="s">
        <v>1389</v>
      </c>
      <c r="C37" s="552" t="s">
        <v>1398</v>
      </c>
      <c r="D37" s="428" t="s">
        <v>1399</v>
      </c>
      <c r="E37" s="671">
        <f>1320912.96</f>
        <v>1320912.96</v>
      </c>
      <c r="F37" s="536">
        <v>0.75</v>
      </c>
      <c r="G37" s="537">
        <f t="shared" si="1"/>
        <v>990684.72</v>
      </c>
      <c r="H37" s="536">
        <v>0.75</v>
      </c>
      <c r="I37" s="538">
        <f t="shared" si="2"/>
        <v>990684.72</v>
      </c>
    </row>
    <row r="38" spans="1:9">
      <c r="A38" s="515"/>
      <c r="B38" s="666" t="s">
        <v>1389</v>
      </c>
      <c r="C38" s="552" t="s">
        <v>1390</v>
      </c>
      <c r="D38" s="428" t="s">
        <v>1390</v>
      </c>
      <c r="E38" s="671">
        <f>454812.77</f>
        <v>454812.77</v>
      </c>
      <c r="F38" s="536">
        <v>0.75</v>
      </c>
      <c r="G38" s="537">
        <f t="shared" si="1"/>
        <v>341109.57750000001</v>
      </c>
      <c r="H38" s="536">
        <v>0.75</v>
      </c>
      <c r="I38" s="538">
        <f t="shared" si="2"/>
        <v>341109.57750000001</v>
      </c>
    </row>
    <row r="39" spans="1:9">
      <c r="A39" s="515"/>
      <c r="B39" s="666" t="s">
        <v>553</v>
      </c>
      <c r="C39" s="552" t="s">
        <v>1414</v>
      </c>
      <c r="D39" s="428" t="s">
        <v>1414</v>
      </c>
      <c r="E39" s="671">
        <f>40641.57</f>
        <v>40641.57</v>
      </c>
      <c r="F39" s="536">
        <v>0.75</v>
      </c>
      <c r="G39" s="537">
        <f t="shared" si="1"/>
        <v>30481.177499999998</v>
      </c>
      <c r="H39" s="536">
        <v>0.75</v>
      </c>
      <c r="I39" s="538">
        <f t="shared" si="2"/>
        <v>30481.177499999998</v>
      </c>
    </row>
    <row r="40" spans="1:9">
      <c r="A40" s="515"/>
      <c r="B40" s="666" t="s">
        <v>553</v>
      </c>
      <c r="C40" s="552" t="s">
        <v>1390</v>
      </c>
      <c r="D40" s="428" t="s">
        <v>1390</v>
      </c>
      <c r="E40" s="671">
        <f>577.47</f>
        <v>577.47</v>
      </c>
      <c r="F40" s="536">
        <v>0.75</v>
      </c>
      <c r="G40" s="537">
        <f t="shared" si="1"/>
        <v>433.10250000000002</v>
      </c>
      <c r="H40" s="536">
        <v>0.75</v>
      </c>
      <c r="I40" s="538">
        <f t="shared" si="2"/>
        <v>433.10250000000002</v>
      </c>
    </row>
    <row r="41" spans="1:9" ht="13.5" thickBot="1">
      <c r="A41" s="515"/>
      <c r="B41" s="666"/>
      <c r="C41" s="663" t="s">
        <v>961</v>
      </c>
      <c r="D41" s="539"/>
      <c r="E41" s="675">
        <f>SUM(E10:E40)</f>
        <v>6006058.1099999985</v>
      </c>
      <c r="F41" s="540"/>
      <c r="G41" s="502">
        <f>SUM(G10:G40)</f>
        <v>4504543.5824999996</v>
      </c>
      <c r="H41" s="540"/>
      <c r="I41" s="438">
        <f>SUM(I10:I40)</f>
        <v>4504543.5824999996</v>
      </c>
    </row>
    <row r="42" spans="1:9" ht="13.5" thickTop="1">
      <c r="A42" s="515"/>
      <c r="B42" s="666" t="s">
        <v>555</v>
      </c>
      <c r="C42" s="552" t="s">
        <v>1413</v>
      </c>
      <c r="D42" s="428" t="s">
        <v>1420</v>
      </c>
      <c r="E42" s="671">
        <f>559892.23</f>
        <v>559892.23</v>
      </c>
      <c r="F42" s="536">
        <v>0.52300000000000002</v>
      </c>
      <c r="G42" s="537">
        <f>F42*E42</f>
        <v>292823.63628999999</v>
      </c>
      <c r="H42" s="536">
        <v>0.66779999999999995</v>
      </c>
      <c r="I42" s="538">
        <f>E42*H42</f>
        <v>373896.03119399998</v>
      </c>
    </row>
    <row r="43" spans="1:9">
      <c r="A43" s="515"/>
      <c r="B43" s="666" t="s">
        <v>555</v>
      </c>
      <c r="C43" s="552" t="s">
        <v>1390</v>
      </c>
      <c r="D43" s="428" t="s">
        <v>1390</v>
      </c>
      <c r="E43" s="671">
        <f>33279.98</f>
        <v>33279.980000000003</v>
      </c>
      <c r="F43" s="536">
        <v>0.52300000000000002</v>
      </c>
      <c r="G43" s="537">
        <f>F43*E43</f>
        <v>17405.429540000001</v>
      </c>
      <c r="H43" s="536">
        <v>0.66779999999999995</v>
      </c>
      <c r="I43" s="538">
        <f>E43*H43</f>
        <v>22224.370643999999</v>
      </c>
    </row>
    <row r="44" spans="1:9">
      <c r="A44" s="515"/>
      <c r="B44" s="666" t="s">
        <v>555</v>
      </c>
      <c r="C44" s="552" t="s">
        <v>1449</v>
      </c>
      <c r="D44" s="428" t="s">
        <v>2469</v>
      </c>
      <c r="E44" s="671">
        <f>276283.57</f>
        <v>276283.57</v>
      </c>
      <c r="F44" s="536">
        <v>0.52300000000000002</v>
      </c>
      <c r="G44" s="537">
        <f>F44*E44</f>
        <v>144496.30711000002</v>
      </c>
      <c r="H44" s="536">
        <v>0.66779999999999995</v>
      </c>
      <c r="I44" s="538">
        <f>E44*H44</f>
        <v>184502.16804599998</v>
      </c>
    </row>
    <row r="45" spans="1:9">
      <c r="A45" s="515"/>
      <c r="B45" s="666" t="s">
        <v>555</v>
      </c>
      <c r="C45" s="552" t="s">
        <v>2335</v>
      </c>
      <c r="D45" s="428" t="s">
        <v>1392</v>
      </c>
      <c r="E45" s="671">
        <f>153427.83</f>
        <v>153427.82999999999</v>
      </c>
      <c r="F45" s="536">
        <v>0.52300000000000002</v>
      </c>
      <c r="G45" s="537">
        <f t="shared" ref="G45:G46" si="3">F45*E45</f>
        <v>80242.755089999991</v>
      </c>
      <c r="H45" s="536">
        <v>0.66779999999999995</v>
      </c>
      <c r="I45" s="538">
        <f t="shared" ref="I45:I46" si="4">E45*H45</f>
        <v>102459.10487399998</v>
      </c>
    </row>
    <row r="46" spans="1:9">
      <c r="A46" s="515"/>
      <c r="B46" s="666" t="s">
        <v>555</v>
      </c>
      <c r="C46" s="552" t="s">
        <v>1390</v>
      </c>
      <c r="D46" s="428" t="s">
        <v>1390</v>
      </c>
      <c r="E46" s="671">
        <f>2051.63</f>
        <v>2051.63</v>
      </c>
      <c r="F46" s="536">
        <v>0.52300000000000002</v>
      </c>
      <c r="G46" s="537">
        <f t="shared" si="3"/>
        <v>1073.0024900000001</v>
      </c>
      <c r="H46" s="536">
        <v>0.66779999999999995</v>
      </c>
      <c r="I46" s="538">
        <f t="shared" si="4"/>
        <v>1370.078514</v>
      </c>
    </row>
    <row r="47" spans="1:9">
      <c r="A47" s="515"/>
      <c r="B47" s="666" t="s">
        <v>555</v>
      </c>
      <c r="C47" s="552" t="s">
        <v>1390</v>
      </c>
      <c r="D47" s="428" t="s">
        <v>1390</v>
      </c>
      <c r="E47" s="671">
        <f>2835.11</f>
        <v>2835.11</v>
      </c>
      <c r="F47" s="536">
        <v>0.52300000000000002</v>
      </c>
      <c r="G47" s="537">
        <f>F47*E47</f>
        <v>1482.7625300000002</v>
      </c>
      <c r="H47" s="536">
        <v>0.66779999999999995</v>
      </c>
      <c r="I47" s="538">
        <f>E47*H47</f>
        <v>1893.286458</v>
      </c>
    </row>
    <row r="48" spans="1:9" ht="13.5" thickBot="1">
      <c r="A48" s="515"/>
      <c r="B48" s="666"/>
      <c r="C48" s="663" t="s">
        <v>961</v>
      </c>
      <c r="D48" s="539"/>
      <c r="E48" s="675">
        <f>SUM(E42:E47)</f>
        <v>1027770.35</v>
      </c>
      <c r="F48" s="540"/>
      <c r="G48" s="502">
        <f>SUM(G42:G47)</f>
        <v>537523.89304999996</v>
      </c>
      <c r="H48" s="540"/>
      <c r="I48" s="438">
        <f>SUM(I42:I47)</f>
        <v>686345.03972999996</v>
      </c>
    </row>
    <row r="49" spans="1:9" ht="13.5" thickTop="1">
      <c r="A49" s="515"/>
      <c r="B49" s="666" t="s">
        <v>555</v>
      </c>
      <c r="C49" s="552" t="s">
        <v>1416</v>
      </c>
      <c r="D49" s="428" t="s">
        <v>1417</v>
      </c>
      <c r="E49" s="671">
        <f>267248.89</f>
        <v>267248.89</v>
      </c>
      <c r="F49" s="536">
        <v>0.75</v>
      </c>
      <c r="G49" s="537">
        <f>F49*E49</f>
        <v>200436.66750000001</v>
      </c>
      <c r="H49" s="536">
        <v>0.75</v>
      </c>
      <c r="I49" s="538">
        <f>E49*H49</f>
        <v>200436.66750000001</v>
      </c>
    </row>
    <row r="50" spans="1:9">
      <c r="A50" s="515"/>
      <c r="B50" s="666" t="s">
        <v>555</v>
      </c>
      <c r="C50" s="552" t="s">
        <v>1390</v>
      </c>
      <c r="D50" s="428" t="s">
        <v>1390</v>
      </c>
      <c r="E50" s="671">
        <v>16354</v>
      </c>
      <c r="F50" s="536">
        <v>0.75</v>
      </c>
      <c r="G50" s="537">
        <f t="shared" ref="G50:G51" si="5">F50*E50</f>
        <v>12265.5</v>
      </c>
      <c r="H50" s="536">
        <v>0.75</v>
      </c>
      <c r="I50" s="538">
        <f>E50*H50</f>
        <v>12265.5</v>
      </c>
    </row>
    <row r="51" spans="1:9">
      <c r="A51" s="515"/>
      <c r="B51" s="666" t="s">
        <v>555</v>
      </c>
      <c r="C51" s="552" t="s">
        <v>1407</v>
      </c>
      <c r="D51" s="428" t="s">
        <v>1407</v>
      </c>
      <c r="E51" s="671">
        <v>1215753.6399999999</v>
      </c>
      <c r="F51" s="536">
        <v>0.75</v>
      </c>
      <c r="G51" s="537">
        <f t="shared" si="5"/>
        <v>911815.23</v>
      </c>
      <c r="H51" s="536">
        <v>0.75</v>
      </c>
      <c r="I51" s="538">
        <f>E51*H51</f>
        <v>911815.23</v>
      </c>
    </row>
    <row r="52" spans="1:9">
      <c r="A52" s="515"/>
      <c r="B52" s="666" t="s">
        <v>555</v>
      </c>
      <c r="C52" s="552" t="s">
        <v>1390</v>
      </c>
      <c r="D52" s="428" t="s">
        <v>1390</v>
      </c>
      <c r="E52" s="671">
        <v>15472.91</v>
      </c>
      <c r="F52" s="536">
        <v>0.75</v>
      </c>
      <c r="G52" s="537">
        <f>F52*E52</f>
        <v>11604.682499999999</v>
      </c>
      <c r="H52" s="536">
        <v>0.75</v>
      </c>
      <c r="I52" s="538">
        <f>E52*H52</f>
        <v>11604.682499999999</v>
      </c>
    </row>
    <row r="53" spans="1:9" ht="13.5" thickBot="1">
      <c r="A53" s="515"/>
      <c r="B53" s="666"/>
      <c r="C53" s="663" t="s">
        <v>961</v>
      </c>
      <c r="D53" s="539"/>
      <c r="E53" s="675">
        <f>SUM(E49:E52)</f>
        <v>1514829.4399999997</v>
      </c>
      <c r="F53" s="540"/>
      <c r="G53" s="502">
        <f>SUM(G49:G52)</f>
        <v>1136122.08</v>
      </c>
      <c r="H53" s="539"/>
      <c r="I53" s="438">
        <f>SUM(I49:I52)</f>
        <v>1136122.08</v>
      </c>
    </row>
    <row r="54" spans="1:9" ht="13.5" thickTop="1">
      <c r="A54" s="515"/>
      <c r="B54" s="666" t="s">
        <v>1421</v>
      </c>
      <c r="C54" s="660" t="s">
        <v>1422</v>
      </c>
      <c r="D54" s="428" t="s">
        <v>1423</v>
      </c>
      <c r="E54" s="671">
        <f>134174.04</f>
        <v>134174.04</v>
      </c>
      <c r="F54" s="536">
        <v>0.75</v>
      </c>
      <c r="G54" s="537">
        <f>E54*F54</f>
        <v>100630.53</v>
      </c>
      <c r="H54" s="536">
        <v>0.75</v>
      </c>
      <c r="I54" s="538">
        <f>E54*H54</f>
        <v>100630.53</v>
      </c>
    </row>
    <row r="55" spans="1:9">
      <c r="A55" s="357"/>
      <c r="B55" s="666" t="s">
        <v>1421</v>
      </c>
      <c r="C55" s="660" t="s">
        <v>2379</v>
      </c>
      <c r="D55" s="428" t="s">
        <v>1417</v>
      </c>
      <c r="E55" s="671">
        <f>59005.31</f>
        <v>59005.31</v>
      </c>
      <c r="F55" s="536">
        <v>0.75</v>
      </c>
      <c r="G55" s="537">
        <f t="shared" ref="G55:G96" si="6">E55*F55</f>
        <v>44253.982499999998</v>
      </c>
      <c r="H55" s="536">
        <v>0.75</v>
      </c>
      <c r="I55" s="538">
        <f t="shared" ref="I55:I96" si="7">E55*H55</f>
        <v>44253.982499999998</v>
      </c>
    </row>
    <row r="56" spans="1:9">
      <c r="A56" s="357"/>
      <c r="B56" s="666" t="s">
        <v>1421</v>
      </c>
      <c r="C56" s="660" t="s">
        <v>1424</v>
      </c>
      <c r="D56" s="428" t="s">
        <v>1407</v>
      </c>
      <c r="E56" s="671">
        <f>119667.35</f>
        <v>119667.35</v>
      </c>
      <c r="F56" s="536">
        <v>0.75</v>
      </c>
      <c r="G56" s="537">
        <f t="shared" si="6"/>
        <v>89750.512500000012</v>
      </c>
      <c r="H56" s="536">
        <v>0.75</v>
      </c>
      <c r="I56" s="538">
        <f t="shared" si="7"/>
        <v>89750.512500000012</v>
      </c>
    </row>
    <row r="57" spans="1:9">
      <c r="A57" s="357"/>
      <c r="B57" s="666" t="s">
        <v>1421</v>
      </c>
      <c r="C57" s="660" t="s">
        <v>1425</v>
      </c>
      <c r="D57" s="428" t="s">
        <v>1426</v>
      </c>
      <c r="E57" s="671">
        <f>19292.2</f>
        <v>19292.2</v>
      </c>
      <c r="F57" s="536">
        <v>0.75</v>
      </c>
      <c r="G57" s="537">
        <f t="shared" si="6"/>
        <v>14469.150000000001</v>
      </c>
      <c r="H57" s="536">
        <v>0.75</v>
      </c>
      <c r="I57" s="538">
        <f t="shared" si="7"/>
        <v>14469.150000000001</v>
      </c>
    </row>
    <row r="58" spans="1:9">
      <c r="A58" s="357"/>
      <c r="B58" s="666" t="s">
        <v>1421</v>
      </c>
      <c r="C58" s="660" t="s">
        <v>1415</v>
      </c>
      <c r="D58" s="428" t="s">
        <v>1416</v>
      </c>
      <c r="E58" s="671">
        <f>53164.52</f>
        <v>53164.52</v>
      </c>
      <c r="F58" s="536">
        <v>0.75</v>
      </c>
      <c r="G58" s="537">
        <f t="shared" si="6"/>
        <v>39873.39</v>
      </c>
      <c r="H58" s="536">
        <v>0.75</v>
      </c>
      <c r="I58" s="538">
        <f t="shared" si="7"/>
        <v>39873.39</v>
      </c>
    </row>
    <row r="59" spans="1:9">
      <c r="A59" s="357"/>
      <c r="B59" s="666" t="s">
        <v>1421</v>
      </c>
      <c r="C59" s="660" t="s">
        <v>1415</v>
      </c>
      <c r="D59" s="428" t="s">
        <v>1417</v>
      </c>
      <c r="E59" s="671">
        <f>307465.42</f>
        <v>307465.42</v>
      </c>
      <c r="F59" s="536">
        <v>0.75</v>
      </c>
      <c r="G59" s="537">
        <f t="shared" si="6"/>
        <v>230599.065</v>
      </c>
      <c r="H59" s="536">
        <v>0.75</v>
      </c>
      <c r="I59" s="538">
        <f t="shared" si="7"/>
        <v>230599.065</v>
      </c>
    </row>
    <row r="60" spans="1:9">
      <c r="A60" s="357"/>
      <c r="B60" s="666" t="s">
        <v>1421</v>
      </c>
      <c r="C60" s="660" t="s">
        <v>1415</v>
      </c>
      <c r="D60" s="428" t="s">
        <v>1423</v>
      </c>
      <c r="E60" s="671">
        <f>12819.56</f>
        <v>12819.56</v>
      </c>
      <c r="F60" s="536">
        <v>0.75</v>
      </c>
      <c r="G60" s="537">
        <f t="shared" si="6"/>
        <v>9614.67</v>
      </c>
      <c r="H60" s="536">
        <v>0.75</v>
      </c>
      <c r="I60" s="538">
        <f t="shared" si="7"/>
        <v>9614.67</v>
      </c>
    </row>
    <row r="61" spans="1:9">
      <c r="A61" s="357"/>
      <c r="B61" s="666" t="s">
        <v>1421</v>
      </c>
      <c r="C61" s="660" t="s">
        <v>1415</v>
      </c>
      <c r="D61" s="428" t="s">
        <v>1419</v>
      </c>
      <c r="E61" s="671">
        <f>415983</f>
        <v>415983</v>
      </c>
      <c r="F61" s="536">
        <v>0.75</v>
      </c>
      <c r="G61" s="537">
        <f t="shared" si="6"/>
        <v>311987.25</v>
      </c>
      <c r="H61" s="536">
        <v>0.75</v>
      </c>
      <c r="I61" s="538">
        <f t="shared" si="7"/>
        <v>311987.25</v>
      </c>
    </row>
    <row r="62" spans="1:9">
      <c r="A62" s="357"/>
      <c r="B62" s="666" t="s">
        <v>1421</v>
      </c>
      <c r="C62" s="660" t="s">
        <v>1390</v>
      </c>
      <c r="D62" s="428" t="s">
        <v>1390</v>
      </c>
      <c r="E62" s="671">
        <f>150136.1</f>
        <v>150136.1</v>
      </c>
      <c r="F62" s="536">
        <v>0.75</v>
      </c>
      <c r="G62" s="537">
        <f t="shared" si="6"/>
        <v>112602.07500000001</v>
      </c>
      <c r="H62" s="536">
        <v>0.75</v>
      </c>
      <c r="I62" s="538">
        <f t="shared" si="7"/>
        <v>112602.07500000001</v>
      </c>
    </row>
    <row r="63" spans="1:9">
      <c r="A63" s="357"/>
      <c r="B63" s="666" t="s">
        <v>1421</v>
      </c>
      <c r="C63" s="660" t="s">
        <v>1390</v>
      </c>
      <c r="D63" s="428" t="s">
        <v>1390</v>
      </c>
      <c r="E63" s="671">
        <f>2533.43</f>
        <v>2533.4299999999998</v>
      </c>
      <c r="F63" s="536">
        <v>0.75</v>
      </c>
      <c r="G63" s="537">
        <f t="shared" si="6"/>
        <v>1900.0724999999998</v>
      </c>
      <c r="H63" s="536">
        <v>0.75</v>
      </c>
      <c r="I63" s="538">
        <f t="shared" si="7"/>
        <v>1900.0724999999998</v>
      </c>
    </row>
    <row r="64" spans="1:9">
      <c r="A64" s="357"/>
      <c r="B64" s="666" t="s">
        <v>1421</v>
      </c>
      <c r="C64" s="660" t="s">
        <v>1413</v>
      </c>
      <c r="D64" s="428" t="s">
        <v>1420</v>
      </c>
      <c r="E64" s="671">
        <f>31657.69</f>
        <v>31657.69</v>
      </c>
      <c r="F64" s="536">
        <v>0.75</v>
      </c>
      <c r="G64" s="537">
        <f t="shared" si="6"/>
        <v>23743.267499999998</v>
      </c>
      <c r="H64" s="536">
        <v>0.75</v>
      </c>
      <c r="I64" s="538">
        <f t="shared" si="7"/>
        <v>23743.267499999998</v>
      </c>
    </row>
    <row r="65" spans="1:9">
      <c r="A65" s="357"/>
      <c r="B65" s="666" t="s">
        <v>1421</v>
      </c>
      <c r="C65" s="660" t="s">
        <v>1409</v>
      </c>
      <c r="D65" s="428" t="s">
        <v>1410</v>
      </c>
      <c r="E65" s="671">
        <f>85009.25</f>
        <v>85009.25</v>
      </c>
      <c r="F65" s="536">
        <v>0.75</v>
      </c>
      <c r="G65" s="537">
        <f t="shared" si="6"/>
        <v>63756.9375</v>
      </c>
      <c r="H65" s="536">
        <v>0.75</v>
      </c>
      <c r="I65" s="538">
        <f t="shared" si="7"/>
        <v>63756.9375</v>
      </c>
    </row>
    <row r="66" spans="1:9">
      <c r="A66" s="357"/>
      <c r="B66" s="666" t="s">
        <v>1421</v>
      </c>
      <c r="C66" s="660" t="s">
        <v>1416</v>
      </c>
      <c r="D66" s="428" t="s">
        <v>1417</v>
      </c>
      <c r="E66" s="671">
        <f>108684.58</f>
        <v>108684.58</v>
      </c>
      <c r="F66" s="536">
        <v>0.75</v>
      </c>
      <c r="G66" s="537">
        <f t="shared" si="6"/>
        <v>81513.434999999998</v>
      </c>
      <c r="H66" s="536">
        <v>0.75</v>
      </c>
      <c r="I66" s="538">
        <f t="shared" si="7"/>
        <v>81513.434999999998</v>
      </c>
    </row>
    <row r="67" spans="1:9">
      <c r="A67" s="357"/>
      <c r="B67" s="666" t="s">
        <v>1421</v>
      </c>
      <c r="C67" s="660" t="s">
        <v>1416</v>
      </c>
      <c r="D67" s="428" t="s">
        <v>1419</v>
      </c>
      <c r="E67" s="671">
        <f>1933.73</f>
        <v>1933.73</v>
      </c>
      <c r="F67" s="536">
        <v>0.75</v>
      </c>
      <c r="G67" s="537">
        <f t="shared" si="6"/>
        <v>1450.2975000000001</v>
      </c>
      <c r="H67" s="536">
        <v>0.75</v>
      </c>
      <c r="I67" s="538">
        <f t="shared" si="7"/>
        <v>1450.2975000000001</v>
      </c>
    </row>
    <row r="68" spans="1:9">
      <c r="A68" s="357"/>
      <c r="B68" s="666" t="s">
        <v>1421</v>
      </c>
      <c r="C68" s="660" t="s">
        <v>1416</v>
      </c>
      <c r="D68" s="428" t="s">
        <v>1416</v>
      </c>
      <c r="E68" s="671">
        <f>38122.92</f>
        <v>38122.92</v>
      </c>
      <c r="F68" s="536">
        <v>0.75</v>
      </c>
      <c r="G68" s="537">
        <f t="shared" si="6"/>
        <v>28592.19</v>
      </c>
      <c r="H68" s="536">
        <v>0.75</v>
      </c>
      <c r="I68" s="538">
        <f t="shared" si="7"/>
        <v>28592.19</v>
      </c>
    </row>
    <row r="69" spans="1:9">
      <c r="A69" s="357"/>
      <c r="B69" s="666" t="s">
        <v>1421</v>
      </c>
      <c r="C69" s="660" t="s">
        <v>1390</v>
      </c>
      <c r="D69" s="428" t="s">
        <v>1390</v>
      </c>
      <c r="E69" s="671">
        <f>23485.53</f>
        <v>23485.53</v>
      </c>
      <c r="F69" s="536">
        <v>0.75</v>
      </c>
      <c r="G69" s="537">
        <f t="shared" si="6"/>
        <v>17614.147499999999</v>
      </c>
      <c r="H69" s="536">
        <v>0.75</v>
      </c>
      <c r="I69" s="538">
        <f t="shared" si="7"/>
        <v>17614.147499999999</v>
      </c>
    </row>
    <row r="70" spans="1:9">
      <c r="A70" s="357"/>
      <c r="B70" s="666" t="s">
        <v>1421</v>
      </c>
      <c r="C70" s="660" t="s">
        <v>2381</v>
      </c>
      <c r="D70" s="428" t="s">
        <v>1417</v>
      </c>
      <c r="E70" s="671">
        <f>25031.95</f>
        <v>25031.95</v>
      </c>
      <c r="F70" s="536">
        <v>0.75</v>
      </c>
      <c r="G70" s="537">
        <f t="shared" si="6"/>
        <v>18773.962500000001</v>
      </c>
      <c r="H70" s="536">
        <v>0.75</v>
      </c>
      <c r="I70" s="538">
        <f t="shared" si="7"/>
        <v>18773.962500000001</v>
      </c>
    </row>
    <row r="71" spans="1:9">
      <c r="A71" s="357"/>
      <c r="B71" s="666" t="s">
        <v>1421</v>
      </c>
      <c r="C71" s="660" t="s">
        <v>2382</v>
      </c>
      <c r="D71" s="428" t="s">
        <v>1390</v>
      </c>
      <c r="E71" s="671">
        <f>513.75</f>
        <v>513.75</v>
      </c>
      <c r="F71" s="536">
        <v>0.75</v>
      </c>
      <c r="G71" s="537">
        <f t="shared" si="6"/>
        <v>385.3125</v>
      </c>
      <c r="H71" s="536">
        <v>0.75</v>
      </c>
      <c r="I71" s="538">
        <f t="shared" si="7"/>
        <v>385.3125</v>
      </c>
    </row>
    <row r="72" spans="1:9">
      <c r="A72" s="357"/>
      <c r="B72" s="666" t="s">
        <v>1421</v>
      </c>
      <c r="C72" s="660" t="s">
        <v>1390</v>
      </c>
      <c r="D72" s="428" t="s">
        <v>1390</v>
      </c>
      <c r="E72" s="671">
        <f>18649.85</f>
        <v>18649.849999999999</v>
      </c>
      <c r="F72" s="536">
        <v>0.75</v>
      </c>
      <c r="G72" s="537">
        <f t="shared" si="6"/>
        <v>13987.387499999999</v>
      </c>
      <c r="H72" s="536">
        <v>0.75</v>
      </c>
      <c r="I72" s="538">
        <f t="shared" si="7"/>
        <v>13987.387499999999</v>
      </c>
    </row>
    <row r="73" spans="1:9">
      <c r="A73" s="357"/>
      <c r="B73" s="666" t="s">
        <v>1421</v>
      </c>
      <c r="C73" s="660" t="s">
        <v>2380</v>
      </c>
      <c r="D73" s="428" t="s">
        <v>1423</v>
      </c>
      <c r="E73" s="671">
        <f>2849.9</f>
        <v>2849.9</v>
      </c>
      <c r="F73" s="536">
        <v>0.75</v>
      </c>
      <c r="G73" s="537">
        <f t="shared" si="6"/>
        <v>2137.4250000000002</v>
      </c>
      <c r="H73" s="536">
        <v>0.75</v>
      </c>
      <c r="I73" s="538">
        <f t="shared" si="7"/>
        <v>2137.4250000000002</v>
      </c>
    </row>
    <row r="74" spans="1:9">
      <c r="A74" s="357"/>
      <c r="B74" s="666" t="s">
        <v>1421</v>
      </c>
      <c r="C74" s="660" t="s">
        <v>2383</v>
      </c>
      <c r="D74" s="428" t="s">
        <v>1423</v>
      </c>
      <c r="E74" s="671">
        <f>6624.56</f>
        <v>6624.56</v>
      </c>
      <c r="F74" s="536">
        <v>0.75</v>
      </c>
      <c r="G74" s="537">
        <f t="shared" si="6"/>
        <v>4968.42</v>
      </c>
      <c r="H74" s="536">
        <v>0.75</v>
      </c>
      <c r="I74" s="538">
        <f t="shared" si="7"/>
        <v>4968.42</v>
      </c>
    </row>
    <row r="75" spans="1:9">
      <c r="A75" s="357"/>
      <c r="B75" s="666" t="s">
        <v>1421</v>
      </c>
      <c r="C75" s="660" t="s">
        <v>1427</v>
      </c>
      <c r="D75" s="428" t="s">
        <v>1428</v>
      </c>
      <c r="E75" s="671">
        <f>98002.74</f>
        <v>98002.74</v>
      </c>
      <c r="F75" s="536">
        <v>0.75</v>
      </c>
      <c r="G75" s="537">
        <f t="shared" si="6"/>
        <v>73502.055000000008</v>
      </c>
      <c r="H75" s="536">
        <v>0.75</v>
      </c>
      <c r="I75" s="538">
        <f t="shared" si="7"/>
        <v>73502.055000000008</v>
      </c>
    </row>
    <row r="76" spans="1:9">
      <c r="A76" s="357"/>
      <c r="B76" s="666" t="s">
        <v>1421</v>
      </c>
      <c r="C76" s="660" t="s">
        <v>1390</v>
      </c>
      <c r="D76" s="428" t="s">
        <v>1390</v>
      </c>
      <c r="E76" s="671">
        <f>3247.51</f>
        <v>3247.51</v>
      </c>
      <c r="F76" s="536">
        <v>0.75</v>
      </c>
      <c r="G76" s="537">
        <f t="shared" si="6"/>
        <v>2435.6325000000002</v>
      </c>
      <c r="H76" s="536">
        <v>0.75</v>
      </c>
      <c r="I76" s="538">
        <f t="shared" si="7"/>
        <v>2435.6325000000002</v>
      </c>
    </row>
    <row r="77" spans="1:9">
      <c r="A77" s="357"/>
      <c r="B77" s="666" t="s">
        <v>1421</v>
      </c>
      <c r="C77" s="660" t="s">
        <v>1409</v>
      </c>
      <c r="D77" s="428" t="s">
        <v>1410</v>
      </c>
      <c r="E77" s="671">
        <f>226333.26</f>
        <v>226333.26</v>
      </c>
      <c r="F77" s="536">
        <v>0.75</v>
      </c>
      <c r="G77" s="537">
        <f t="shared" si="6"/>
        <v>169749.94500000001</v>
      </c>
      <c r="H77" s="536">
        <v>0.75</v>
      </c>
      <c r="I77" s="538">
        <f t="shared" si="7"/>
        <v>169749.94500000001</v>
      </c>
    </row>
    <row r="78" spans="1:9">
      <c r="A78" s="357"/>
      <c r="B78" s="666" t="s">
        <v>1421</v>
      </c>
      <c r="C78" s="660" t="s">
        <v>1390</v>
      </c>
      <c r="D78" s="428" t="s">
        <v>1390</v>
      </c>
      <c r="E78" s="671">
        <f>13470.93</f>
        <v>13470.93</v>
      </c>
      <c r="F78" s="536">
        <v>0.75</v>
      </c>
      <c r="G78" s="537">
        <f t="shared" si="6"/>
        <v>10103.1975</v>
      </c>
      <c r="H78" s="536">
        <v>0.75</v>
      </c>
      <c r="I78" s="538">
        <f t="shared" si="7"/>
        <v>10103.1975</v>
      </c>
    </row>
    <row r="79" spans="1:9">
      <c r="A79" s="357"/>
      <c r="B79" s="666" t="s">
        <v>1421</v>
      </c>
      <c r="C79" s="660" t="s">
        <v>1429</v>
      </c>
      <c r="D79" s="428" t="s">
        <v>1420</v>
      </c>
      <c r="E79" s="671">
        <f>70114.66</f>
        <v>70114.66</v>
      </c>
      <c r="F79" s="536">
        <v>0.75</v>
      </c>
      <c r="G79" s="537">
        <f t="shared" si="6"/>
        <v>52585.995000000003</v>
      </c>
      <c r="H79" s="536">
        <v>0.75</v>
      </c>
      <c r="I79" s="538">
        <f t="shared" si="7"/>
        <v>52585.995000000003</v>
      </c>
    </row>
    <row r="80" spans="1:9">
      <c r="A80" s="357"/>
      <c r="B80" s="666" t="s">
        <v>1421</v>
      </c>
      <c r="C80" s="660" t="s">
        <v>1390</v>
      </c>
      <c r="D80" s="428" t="s">
        <v>1390</v>
      </c>
      <c r="E80" s="671">
        <f>1421.38</f>
        <v>1421.38</v>
      </c>
      <c r="F80" s="536">
        <v>0.75</v>
      </c>
      <c r="G80" s="537">
        <f t="shared" si="6"/>
        <v>1066.0350000000001</v>
      </c>
      <c r="H80" s="536">
        <v>0.75</v>
      </c>
      <c r="I80" s="538">
        <f t="shared" si="7"/>
        <v>1066.0350000000001</v>
      </c>
    </row>
    <row r="81" spans="1:9">
      <c r="A81" s="357"/>
      <c r="B81" s="666" t="s">
        <v>1421</v>
      </c>
      <c r="C81" s="660" t="s">
        <v>1430</v>
      </c>
      <c r="D81" s="428" t="s">
        <v>1420</v>
      </c>
      <c r="E81" s="671">
        <f>61004.73</f>
        <v>61004.73</v>
      </c>
      <c r="F81" s="536">
        <v>0.75</v>
      </c>
      <c r="G81" s="537">
        <f t="shared" si="6"/>
        <v>45753.547500000001</v>
      </c>
      <c r="H81" s="536">
        <v>0.75</v>
      </c>
      <c r="I81" s="538">
        <f t="shared" si="7"/>
        <v>45753.547500000001</v>
      </c>
    </row>
    <row r="82" spans="1:9">
      <c r="A82" s="357"/>
      <c r="B82" s="666" t="s">
        <v>1421</v>
      </c>
      <c r="C82" s="660" t="s">
        <v>2378</v>
      </c>
      <c r="D82" s="428" t="s">
        <v>1407</v>
      </c>
      <c r="E82" s="671">
        <f>202050</f>
        <v>202050</v>
      </c>
      <c r="F82" s="536">
        <v>0.75</v>
      </c>
      <c r="G82" s="537">
        <f t="shared" si="6"/>
        <v>151537.5</v>
      </c>
      <c r="H82" s="536">
        <v>0.75</v>
      </c>
      <c r="I82" s="538">
        <f t="shared" si="7"/>
        <v>151537.5</v>
      </c>
    </row>
    <row r="83" spans="1:9">
      <c r="A83" s="357"/>
      <c r="B83" s="666" t="s">
        <v>1421</v>
      </c>
      <c r="C83" s="660" t="s">
        <v>1390</v>
      </c>
      <c r="D83" s="428" t="s">
        <v>1390</v>
      </c>
      <c r="E83" s="671">
        <f>6760.85</f>
        <v>6760.85</v>
      </c>
      <c r="F83" s="536">
        <v>0.75</v>
      </c>
      <c r="G83" s="537">
        <f t="shared" si="6"/>
        <v>5070.6375000000007</v>
      </c>
      <c r="H83" s="536">
        <v>0.75</v>
      </c>
      <c r="I83" s="538">
        <f t="shared" si="7"/>
        <v>5070.6375000000007</v>
      </c>
    </row>
    <row r="84" spans="1:9">
      <c r="A84" s="357"/>
      <c r="B84" s="666" t="s">
        <v>1421</v>
      </c>
      <c r="C84" s="660" t="s">
        <v>1407</v>
      </c>
      <c r="D84" s="428" t="s">
        <v>1408</v>
      </c>
      <c r="E84" s="671">
        <f>121027.36</f>
        <v>121027.36</v>
      </c>
      <c r="F84" s="536">
        <v>0.75</v>
      </c>
      <c r="G84" s="537">
        <f t="shared" si="6"/>
        <v>90770.52</v>
      </c>
      <c r="H84" s="536">
        <v>0.75</v>
      </c>
      <c r="I84" s="538">
        <f t="shared" si="7"/>
        <v>90770.52</v>
      </c>
    </row>
    <row r="85" spans="1:9">
      <c r="A85" s="357"/>
      <c r="B85" s="666" t="s">
        <v>1421</v>
      </c>
      <c r="C85" s="660" t="s">
        <v>1390</v>
      </c>
      <c r="D85" s="428" t="s">
        <v>1390</v>
      </c>
      <c r="E85" s="671">
        <f>2483.93</f>
        <v>2483.9299999999998</v>
      </c>
      <c r="F85" s="536">
        <v>0.75</v>
      </c>
      <c r="G85" s="537">
        <f t="shared" si="6"/>
        <v>1862.9474999999998</v>
      </c>
      <c r="H85" s="536">
        <v>0.75</v>
      </c>
      <c r="I85" s="538">
        <f t="shared" si="7"/>
        <v>1862.9474999999998</v>
      </c>
    </row>
    <row r="86" spans="1:9">
      <c r="A86" s="357"/>
      <c r="B86" s="666" t="s">
        <v>1421</v>
      </c>
      <c r="C86" s="660" t="s">
        <v>1431</v>
      </c>
      <c r="D86" s="428" t="s">
        <v>1405</v>
      </c>
      <c r="E86" s="671">
        <f>454503.96</f>
        <v>454503.96</v>
      </c>
      <c r="F86" s="536">
        <v>0.75</v>
      </c>
      <c r="G86" s="537">
        <f t="shared" si="6"/>
        <v>340877.97000000003</v>
      </c>
      <c r="H86" s="536">
        <v>0.75</v>
      </c>
      <c r="I86" s="538">
        <f t="shared" si="7"/>
        <v>340877.97000000003</v>
      </c>
    </row>
    <row r="87" spans="1:9">
      <c r="A87" s="357"/>
      <c r="B87" s="666" t="s">
        <v>1421</v>
      </c>
      <c r="C87" s="660" t="s">
        <v>1390</v>
      </c>
      <c r="D87" s="428" t="s">
        <v>1390</v>
      </c>
      <c r="E87" s="671">
        <f>12877</f>
        <v>12877</v>
      </c>
      <c r="F87" s="536">
        <v>0.75</v>
      </c>
      <c r="G87" s="537">
        <f t="shared" si="6"/>
        <v>9657.75</v>
      </c>
      <c r="H87" s="536">
        <v>0.75</v>
      </c>
      <c r="I87" s="538">
        <f t="shared" si="7"/>
        <v>9657.75</v>
      </c>
    </row>
    <row r="88" spans="1:9">
      <c r="A88" s="357"/>
      <c r="B88" s="666" t="s">
        <v>1421</v>
      </c>
      <c r="C88" s="660" t="s">
        <v>1432</v>
      </c>
      <c r="D88" s="428" t="s">
        <v>1407</v>
      </c>
      <c r="E88" s="671">
        <f>20216.8</f>
        <v>20216.8</v>
      </c>
      <c r="F88" s="536">
        <v>0.75</v>
      </c>
      <c r="G88" s="537">
        <f t="shared" si="6"/>
        <v>15162.599999999999</v>
      </c>
      <c r="H88" s="536">
        <v>0.75</v>
      </c>
      <c r="I88" s="538">
        <f t="shared" si="7"/>
        <v>15162.599999999999</v>
      </c>
    </row>
    <row r="89" spans="1:9">
      <c r="A89" s="357"/>
      <c r="B89" s="666" t="s">
        <v>1421</v>
      </c>
      <c r="C89" s="660" t="s">
        <v>1390</v>
      </c>
      <c r="D89" s="428" t="s">
        <v>1390</v>
      </c>
      <c r="E89" s="671">
        <f>1978.87</f>
        <v>1978.87</v>
      </c>
      <c r="F89" s="536">
        <v>0.75</v>
      </c>
      <c r="G89" s="537">
        <f t="shared" si="6"/>
        <v>1484.1524999999999</v>
      </c>
      <c r="H89" s="536">
        <v>0.75</v>
      </c>
      <c r="I89" s="538">
        <f t="shared" si="7"/>
        <v>1484.1524999999999</v>
      </c>
    </row>
    <row r="90" spans="1:9">
      <c r="A90" s="357"/>
      <c r="B90" s="666" t="s">
        <v>1421</v>
      </c>
      <c r="C90" s="660" t="s">
        <v>1433</v>
      </c>
      <c r="D90" s="428" t="s">
        <v>1411</v>
      </c>
      <c r="E90" s="671">
        <f>36320.07</f>
        <v>36320.07</v>
      </c>
      <c r="F90" s="536">
        <v>0.75</v>
      </c>
      <c r="G90" s="537">
        <f t="shared" si="6"/>
        <v>27240.052499999998</v>
      </c>
      <c r="H90" s="536">
        <v>0.75</v>
      </c>
      <c r="I90" s="538">
        <f t="shared" si="7"/>
        <v>27240.052499999998</v>
      </c>
    </row>
    <row r="91" spans="1:9">
      <c r="A91" s="357"/>
      <c r="B91" s="666" t="s">
        <v>1421</v>
      </c>
      <c r="C91" s="660" t="s">
        <v>1390</v>
      </c>
      <c r="D91" s="428" t="s">
        <v>1390</v>
      </c>
      <c r="E91" s="671">
        <f>630.74</f>
        <v>630.74</v>
      </c>
      <c r="F91" s="536">
        <v>0.75</v>
      </c>
      <c r="G91" s="537">
        <f t="shared" si="6"/>
        <v>473.05500000000001</v>
      </c>
      <c r="H91" s="536">
        <v>0.75</v>
      </c>
      <c r="I91" s="538">
        <f t="shared" si="7"/>
        <v>473.05500000000001</v>
      </c>
    </row>
    <row r="92" spans="1:9">
      <c r="A92" s="357"/>
      <c r="B92" s="666" t="s">
        <v>1421</v>
      </c>
      <c r="C92" s="660" t="s">
        <v>1434</v>
      </c>
      <c r="D92" s="428" t="s">
        <v>1407</v>
      </c>
      <c r="E92" s="671">
        <f>23846.74</f>
        <v>23846.74</v>
      </c>
      <c r="F92" s="536">
        <v>0.75</v>
      </c>
      <c r="G92" s="537">
        <f t="shared" si="6"/>
        <v>17885.055</v>
      </c>
      <c r="H92" s="536">
        <v>0.75</v>
      </c>
      <c r="I92" s="538">
        <f t="shared" si="7"/>
        <v>17885.055</v>
      </c>
    </row>
    <row r="93" spans="1:9">
      <c r="A93" s="357"/>
      <c r="B93" s="666" t="s">
        <v>1421</v>
      </c>
      <c r="C93" s="660" t="s">
        <v>1435</v>
      </c>
      <c r="D93" s="428" t="s">
        <v>1436</v>
      </c>
      <c r="E93" s="671">
        <f>57731</f>
        <v>57731</v>
      </c>
      <c r="F93" s="536">
        <v>0.75</v>
      </c>
      <c r="G93" s="537">
        <f t="shared" si="6"/>
        <v>43298.25</v>
      </c>
      <c r="H93" s="536">
        <v>0.75</v>
      </c>
      <c r="I93" s="538">
        <f t="shared" si="7"/>
        <v>43298.25</v>
      </c>
    </row>
    <row r="94" spans="1:9">
      <c r="A94" s="357"/>
      <c r="B94" s="666" t="s">
        <v>1421</v>
      </c>
      <c r="C94" s="660" t="s">
        <v>1413</v>
      </c>
      <c r="D94" s="428" t="s">
        <v>1414</v>
      </c>
      <c r="E94" s="671">
        <f>144190.32</f>
        <v>144190.32</v>
      </c>
      <c r="F94" s="536">
        <v>0.75</v>
      </c>
      <c r="G94" s="537">
        <f t="shared" si="6"/>
        <v>108142.74</v>
      </c>
      <c r="H94" s="536">
        <v>0.75</v>
      </c>
      <c r="I94" s="538">
        <f t="shared" si="7"/>
        <v>108142.74</v>
      </c>
    </row>
    <row r="95" spans="1:9">
      <c r="A95" s="357"/>
      <c r="B95" s="666" t="s">
        <v>1421</v>
      </c>
      <c r="C95" s="660" t="s">
        <v>1414</v>
      </c>
      <c r="D95" s="428" t="s">
        <v>1414</v>
      </c>
      <c r="E95" s="671">
        <f>167020.06</f>
        <v>167020.06</v>
      </c>
      <c r="F95" s="536">
        <v>0.75</v>
      </c>
      <c r="G95" s="537">
        <f t="shared" si="6"/>
        <v>125265.045</v>
      </c>
      <c r="H95" s="536">
        <v>0.75</v>
      </c>
      <c r="I95" s="538">
        <f t="shared" si="7"/>
        <v>125265.045</v>
      </c>
    </row>
    <row r="96" spans="1:9">
      <c r="A96" s="357"/>
      <c r="B96" s="666" t="s">
        <v>1421</v>
      </c>
      <c r="C96" s="660" t="s">
        <v>1390</v>
      </c>
      <c r="D96" s="428" t="s">
        <v>1390</v>
      </c>
      <c r="E96" s="671">
        <f>2373.14</f>
        <v>2373.14</v>
      </c>
      <c r="F96" s="536">
        <v>0.75</v>
      </c>
      <c r="G96" s="537">
        <f t="shared" si="6"/>
        <v>1779.855</v>
      </c>
      <c r="H96" s="536">
        <v>0.75</v>
      </c>
      <c r="I96" s="538">
        <f t="shared" si="7"/>
        <v>1779.855</v>
      </c>
    </row>
    <row r="97" spans="1:9" s="541" customFormat="1" ht="13.5" thickBot="1">
      <c r="A97" s="357"/>
      <c r="B97" s="666"/>
      <c r="C97" s="664" t="s">
        <v>961</v>
      </c>
      <c r="D97" s="539"/>
      <c r="E97" s="675">
        <f>SUM(E54:E96)</f>
        <v>3344410.69</v>
      </c>
      <c r="F97" s="540"/>
      <c r="G97" s="502">
        <f>SUM(G54:G96)</f>
        <v>2508308.0175000005</v>
      </c>
      <c r="H97" s="539"/>
      <c r="I97" s="438">
        <f>SUM(I54:I96)</f>
        <v>2508308.0175000005</v>
      </c>
    </row>
    <row r="98" spans="1:9" ht="13.5" thickTop="1">
      <c r="A98" s="357"/>
      <c r="B98" s="666" t="s">
        <v>1421</v>
      </c>
      <c r="C98" s="660" t="s">
        <v>1437</v>
      </c>
      <c r="D98" s="428" t="s">
        <v>1438</v>
      </c>
      <c r="E98" s="671">
        <f>636801.91</f>
        <v>636801.91</v>
      </c>
      <c r="F98" s="536">
        <v>0.52300000000000002</v>
      </c>
      <c r="G98" s="537">
        <f>E98*F98</f>
        <v>333047.39893000002</v>
      </c>
      <c r="H98" s="536">
        <v>0.66779999999999995</v>
      </c>
      <c r="I98" s="538">
        <f>E98*H98</f>
        <v>425256.31549800001</v>
      </c>
    </row>
    <row r="99" spans="1:9">
      <c r="A99" s="357"/>
      <c r="B99" s="666" t="s">
        <v>1421</v>
      </c>
      <c r="C99" s="660" t="s">
        <v>1390</v>
      </c>
      <c r="D99" s="428" t="s">
        <v>1390</v>
      </c>
      <c r="E99" s="671">
        <f>3422.21</f>
        <v>3422.21</v>
      </c>
      <c r="F99" s="536">
        <v>0.52300000000000002</v>
      </c>
      <c r="G99" s="537">
        <f t="shared" ref="G99:G129" si="8">E99*F99</f>
        <v>1789.81583</v>
      </c>
      <c r="H99" s="536">
        <v>0.66779999999999995</v>
      </c>
      <c r="I99" s="538">
        <f t="shared" ref="I99:I129" si="9">E99*H99</f>
        <v>2285.351838</v>
      </c>
    </row>
    <row r="100" spans="1:9">
      <c r="A100" s="357"/>
      <c r="B100" s="666" t="s">
        <v>1421</v>
      </c>
      <c r="C100" s="660" t="s">
        <v>1439</v>
      </c>
      <c r="D100" s="428" t="s">
        <v>1440</v>
      </c>
      <c r="E100" s="671">
        <f>152203.76</f>
        <v>152203.76</v>
      </c>
      <c r="F100" s="536">
        <v>0.52300000000000002</v>
      </c>
      <c r="G100" s="537">
        <f t="shared" si="8"/>
        <v>79602.566480000009</v>
      </c>
      <c r="H100" s="536">
        <v>0.66779999999999995</v>
      </c>
      <c r="I100" s="538">
        <f t="shared" si="9"/>
        <v>101641.67092799999</v>
      </c>
    </row>
    <row r="101" spans="1:9">
      <c r="A101" s="357"/>
      <c r="B101" s="666" t="s">
        <v>1421</v>
      </c>
      <c r="C101" s="660" t="s">
        <v>1441</v>
      </c>
      <c r="D101" s="428" t="s">
        <v>1442</v>
      </c>
      <c r="E101" s="671">
        <f>41538.31</f>
        <v>41538.31</v>
      </c>
      <c r="F101" s="536">
        <v>0.52300000000000002</v>
      </c>
      <c r="G101" s="537">
        <f t="shared" si="8"/>
        <v>21724.53613</v>
      </c>
      <c r="H101" s="536">
        <v>0.66779999999999995</v>
      </c>
      <c r="I101" s="538">
        <f t="shared" si="9"/>
        <v>27739.283417999995</v>
      </c>
    </row>
    <row r="102" spans="1:9">
      <c r="A102" s="357"/>
      <c r="B102" s="666" t="s">
        <v>1421</v>
      </c>
      <c r="C102" s="660" t="s">
        <v>1390</v>
      </c>
      <c r="D102" s="428" t="s">
        <v>1390</v>
      </c>
      <c r="E102" s="671">
        <f>6304.24</f>
        <v>6304.24</v>
      </c>
      <c r="F102" s="536">
        <v>0.52300000000000002</v>
      </c>
      <c r="G102" s="537">
        <f t="shared" si="8"/>
        <v>3297.1175200000002</v>
      </c>
      <c r="H102" s="536">
        <v>0.66779999999999995</v>
      </c>
      <c r="I102" s="538">
        <f t="shared" si="9"/>
        <v>4209.9714719999993</v>
      </c>
    </row>
    <row r="103" spans="1:9">
      <c r="A103" s="357"/>
      <c r="B103" s="666" t="s">
        <v>1421</v>
      </c>
      <c r="C103" s="660" t="s">
        <v>1409</v>
      </c>
      <c r="D103" s="428" t="s">
        <v>1443</v>
      </c>
      <c r="E103" s="671">
        <f>20893.47</f>
        <v>20893.47</v>
      </c>
      <c r="F103" s="536">
        <v>0.52300000000000002</v>
      </c>
      <c r="G103" s="537">
        <f t="shared" si="8"/>
        <v>10927.284810000001</v>
      </c>
      <c r="H103" s="536">
        <v>0.66779999999999995</v>
      </c>
      <c r="I103" s="538">
        <f t="shared" si="9"/>
        <v>13952.659266000001</v>
      </c>
    </row>
    <row r="104" spans="1:9">
      <c r="A104" s="357"/>
      <c r="B104" s="666" t="s">
        <v>1421</v>
      </c>
      <c r="C104" s="660" t="s">
        <v>1409</v>
      </c>
      <c r="D104" s="428" t="s">
        <v>1444</v>
      </c>
      <c r="E104" s="671">
        <f>20481.87</f>
        <v>20481.87</v>
      </c>
      <c r="F104" s="536">
        <v>0.52300000000000002</v>
      </c>
      <c r="G104" s="537">
        <f t="shared" si="8"/>
        <v>10712.01801</v>
      </c>
      <c r="H104" s="536">
        <v>0.66779999999999995</v>
      </c>
      <c r="I104" s="538">
        <f t="shared" si="9"/>
        <v>13677.792785999998</v>
      </c>
    </row>
    <row r="105" spans="1:9">
      <c r="A105" s="357"/>
      <c r="B105" s="666" t="s">
        <v>1421</v>
      </c>
      <c r="C105" s="660" t="s">
        <v>1390</v>
      </c>
      <c r="D105" s="428" t="s">
        <v>1390</v>
      </c>
      <c r="E105" s="671">
        <f>405078.07</f>
        <v>405078.07</v>
      </c>
      <c r="F105" s="536">
        <v>0.52300000000000002</v>
      </c>
      <c r="G105" s="537">
        <f t="shared" si="8"/>
        <v>211855.83061</v>
      </c>
      <c r="H105" s="536">
        <v>0.66779999999999995</v>
      </c>
      <c r="I105" s="538">
        <f t="shared" si="9"/>
        <v>270511.13514599996</v>
      </c>
    </row>
    <row r="106" spans="1:9">
      <c r="A106" s="357"/>
      <c r="B106" s="666" t="s">
        <v>1421</v>
      </c>
      <c r="C106" s="660" t="s">
        <v>1445</v>
      </c>
      <c r="D106" s="428" t="s">
        <v>1446</v>
      </c>
      <c r="E106" s="671">
        <f>651815.82</f>
        <v>651815.81999999995</v>
      </c>
      <c r="F106" s="536">
        <v>0.52300000000000002</v>
      </c>
      <c r="G106" s="537">
        <f t="shared" si="8"/>
        <v>340899.67385999998</v>
      </c>
      <c r="H106" s="536">
        <v>0.66779999999999995</v>
      </c>
      <c r="I106" s="538">
        <f>E106*H106</f>
        <v>435282.60459599993</v>
      </c>
    </row>
    <row r="107" spans="1:9">
      <c r="A107" s="357"/>
      <c r="B107" s="666" t="s">
        <v>1421</v>
      </c>
      <c r="C107" s="660" t="s">
        <v>1390</v>
      </c>
      <c r="D107" s="428" t="s">
        <v>1390</v>
      </c>
      <c r="E107" s="671">
        <f>39508.27</f>
        <v>39508.269999999997</v>
      </c>
      <c r="F107" s="536">
        <v>0.52300000000000002</v>
      </c>
      <c r="G107" s="537">
        <f t="shared" si="8"/>
        <v>20662.825209999999</v>
      </c>
      <c r="H107" s="536">
        <v>0.66779999999999995</v>
      </c>
      <c r="I107" s="538">
        <f>E107*H107</f>
        <v>26383.622705999995</v>
      </c>
    </row>
    <row r="108" spans="1:9">
      <c r="A108" s="357"/>
      <c r="B108" s="666" t="s">
        <v>1421</v>
      </c>
      <c r="C108" s="660" t="s">
        <v>1390</v>
      </c>
      <c r="D108" s="428" t="s">
        <v>1390</v>
      </c>
      <c r="E108" s="671">
        <f>1653.98</f>
        <v>1653.98</v>
      </c>
      <c r="F108" s="536">
        <v>0.52300000000000002</v>
      </c>
      <c r="G108" s="537">
        <f t="shared" si="8"/>
        <v>865.03154000000006</v>
      </c>
      <c r="H108" s="536">
        <v>0.66779999999999995</v>
      </c>
      <c r="I108" s="538">
        <f>E108*H108</f>
        <v>1104.527844</v>
      </c>
    </row>
    <row r="109" spans="1:9">
      <c r="A109" s="357"/>
      <c r="B109" s="666" t="s">
        <v>1421</v>
      </c>
      <c r="C109" s="660" t="s">
        <v>1401</v>
      </c>
      <c r="D109" s="428"/>
      <c r="E109" s="671">
        <v>695369.41</v>
      </c>
      <c r="F109" s="536">
        <v>0.52300000000000002</v>
      </c>
      <c r="G109" s="537">
        <f t="shared" si="8"/>
        <v>363678.20143000002</v>
      </c>
      <c r="H109" s="536">
        <v>0.66779999999999995</v>
      </c>
      <c r="I109" s="538">
        <f>E109*H109</f>
        <v>464367.69199799997</v>
      </c>
    </row>
    <row r="110" spans="1:9">
      <c r="A110" s="357"/>
      <c r="B110" s="666" t="s">
        <v>1421</v>
      </c>
      <c r="C110" s="660" t="s">
        <v>1390</v>
      </c>
      <c r="D110" s="428" t="s">
        <v>1390</v>
      </c>
      <c r="E110" s="671">
        <v>20639.32</v>
      </c>
      <c r="F110" s="536">
        <v>0.52300000000000002</v>
      </c>
      <c r="G110" s="537">
        <f t="shared" si="8"/>
        <v>10794.36436</v>
      </c>
      <c r="H110" s="536">
        <v>0.66779999999999995</v>
      </c>
      <c r="I110" s="538">
        <f>E110*H110</f>
        <v>13782.937895999999</v>
      </c>
    </row>
    <row r="111" spans="1:9">
      <c r="A111" s="357"/>
      <c r="B111" s="666" t="s">
        <v>1421</v>
      </c>
      <c r="C111" s="660" t="s">
        <v>1398</v>
      </c>
      <c r="D111" s="428"/>
      <c r="E111" s="671">
        <v>822160.39</v>
      </c>
      <c r="F111" s="536">
        <v>0.52300000000000002</v>
      </c>
      <c r="G111" s="537">
        <f t="shared" si="8"/>
        <v>429989.88397000002</v>
      </c>
      <c r="H111" s="536">
        <v>0.66779999999999995</v>
      </c>
      <c r="I111" s="538">
        <f t="shared" ref="I111:I113" si="10">E111*H111</f>
        <v>549038.70844199997</v>
      </c>
    </row>
    <row r="112" spans="1:9">
      <c r="A112" s="357"/>
      <c r="B112" s="666" t="s">
        <v>1421</v>
      </c>
      <c r="C112" s="660" t="s">
        <v>1390</v>
      </c>
      <c r="D112" s="428" t="s">
        <v>1390</v>
      </c>
      <c r="E112" s="671">
        <v>10941.32</v>
      </c>
      <c r="F112" s="536">
        <v>0.52300000000000002</v>
      </c>
      <c r="G112" s="537">
        <f t="shared" si="8"/>
        <v>5722.3103600000004</v>
      </c>
      <c r="H112" s="536">
        <v>0.66779999999999995</v>
      </c>
      <c r="I112" s="538">
        <f t="shared" si="10"/>
        <v>7306.613495999999</v>
      </c>
    </row>
    <row r="113" spans="1:9">
      <c r="A113" s="357"/>
      <c r="B113" s="666" t="s">
        <v>1421</v>
      </c>
      <c r="C113" s="660" t="s">
        <v>1401</v>
      </c>
      <c r="D113" s="428" t="s">
        <v>1447</v>
      </c>
      <c r="E113" s="671">
        <f>15702.99</f>
        <v>15702.99</v>
      </c>
      <c r="F113" s="536">
        <v>0.52300000000000002</v>
      </c>
      <c r="G113" s="537">
        <f t="shared" si="8"/>
        <v>8212.663770000001</v>
      </c>
      <c r="H113" s="536">
        <v>0.66779999999999995</v>
      </c>
      <c r="I113" s="538">
        <f t="shared" si="10"/>
        <v>10486.456721999999</v>
      </c>
    </row>
    <row r="114" spans="1:9">
      <c r="A114" s="357"/>
      <c r="B114" s="666" t="s">
        <v>1421</v>
      </c>
      <c r="C114" s="660" t="s">
        <v>1390</v>
      </c>
      <c r="D114" s="428" t="s">
        <v>1390</v>
      </c>
      <c r="E114" s="671">
        <f>8042.02</f>
        <v>8042.02</v>
      </c>
      <c r="F114" s="536">
        <v>0.52300000000000002</v>
      </c>
      <c r="G114" s="537">
        <f t="shared" si="8"/>
        <v>4205.9764600000008</v>
      </c>
      <c r="H114" s="536">
        <v>0.66779999999999995</v>
      </c>
      <c r="I114" s="538">
        <f t="shared" si="9"/>
        <v>5370.4609559999999</v>
      </c>
    </row>
    <row r="115" spans="1:9">
      <c r="A115" s="357"/>
      <c r="B115" s="666" t="s">
        <v>1421</v>
      </c>
      <c r="C115" s="660" t="s">
        <v>1390</v>
      </c>
      <c r="D115" s="428" t="s">
        <v>1390</v>
      </c>
      <c r="E115" s="671">
        <f>8042</f>
        <v>8042</v>
      </c>
      <c r="F115" s="536">
        <v>0.52300000000000002</v>
      </c>
      <c r="G115" s="537">
        <f t="shared" si="8"/>
        <v>4205.9660000000003</v>
      </c>
      <c r="H115" s="536">
        <v>0.66779999999999995</v>
      </c>
      <c r="I115" s="538">
        <f t="shared" si="9"/>
        <v>5370.4475999999995</v>
      </c>
    </row>
    <row r="116" spans="1:9">
      <c r="A116" s="357"/>
      <c r="B116" s="666" t="s">
        <v>1421</v>
      </c>
      <c r="C116" s="660" t="s">
        <v>1398</v>
      </c>
      <c r="D116" s="428" t="s">
        <v>1448</v>
      </c>
      <c r="E116" s="671">
        <f>81569.43</f>
        <v>81569.429999999993</v>
      </c>
      <c r="F116" s="536">
        <v>0.52300000000000002</v>
      </c>
      <c r="G116" s="537">
        <f t="shared" si="8"/>
        <v>42660.811889999997</v>
      </c>
      <c r="H116" s="536">
        <v>0.66779999999999995</v>
      </c>
      <c r="I116" s="538">
        <f t="shared" si="9"/>
        <v>54472.065353999991</v>
      </c>
    </row>
    <row r="117" spans="1:9">
      <c r="A117" s="357"/>
      <c r="B117" s="666" t="s">
        <v>1421</v>
      </c>
      <c r="C117" s="660" t="s">
        <v>1398</v>
      </c>
      <c r="D117" s="428" t="s">
        <v>1449</v>
      </c>
      <c r="E117" s="671">
        <f>81569.42</f>
        <v>81569.42</v>
      </c>
      <c r="F117" s="536">
        <v>0.52300000000000002</v>
      </c>
      <c r="G117" s="537">
        <f t="shared" si="8"/>
        <v>42660.806660000002</v>
      </c>
      <c r="H117" s="536">
        <v>0.66779999999999995</v>
      </c>
      <c r="I117" s="538">
        <f t="shared" si="9"/>
        <v>54472.058675999993</v>
      </c>
    </row>
    <row r="118" spans="1:9">
      <c r="A118" s="357"/>
      <c r="B118" s="666" t="s">
        <v>1421</v>
      </c>
      <c r="C118" s="660" t="s">
        <v>1398</v>
      </c>
      <c r="D118" s="428" t="s">
        <v>1448</v>
      </c>
      <c r="E118" s="671">
        <f>818051.19</f>
        <v>818051.19</v>
      </c>
      <c r="F118" s="536">
        <v>0.52300000000000002</v>
      </c>
      <c r="G118" s="537">
        <f t="shared" si="8"/>
        <v>427840.77236999996</v>
      </c>
      <c r="H118" s="536">
        <v>0.66779999999999995</v>
      </c>
      <c r="I118" s="538">
        <f t="shared" si="9"/>
        <v>546294.58468199987</v>
      </c>
    </row>
    <row r="119" spans="1:9">
      <c r="A119" s="357"/>
      <c r="B119" s="666" t="s">
        <v>1421</v>
      </c>
      <c r="C119" s="660" t="s">
        <v>1390</v>
      </c>
      <c r="D119" s="428" t="s">
        <v>1390</v>
      </c>
      <c r="E119" s="671">
        <f>66516.55</f>
        <v>66516.55</v>
      </c>
      <c r="F119" s="536">
        <v>0.52300000000000002</v>
      </c>
      <c r="G119" s="537">
        <f t="shared" si="8"/>
        <v>34788.155650000001</v>
      </c>
      <c r="H119" s="536">
        <v>0.66779999999999995</v>
      </c>
      <c r="I119" s="538">
        <f t="shared" si="9"/>
        <v>44419.752090000002</v>
      </c>
    </row>
    <row r="120" spans="1:9">
      <c r="A120" s="357"/>
      <c r="B120" s="666" t="s">
        <v>1421</v>
      </c>
      <c r="C120" s="660" t="s">
        <v>1413</v>
      </c>
      <c r="D120" s="428" t="s">
        <v>1420</v>
      </c>
      <c r="E120" s="671">
        <f>146114.62</f>
        <v>146114.62</v>
      </c>
      <c r="F120" s="536">
        <v>0.52300000000000002</v>
      </c>
      <c r="G120" s="537">
        <f t="shared" si="8"/>
        <v>76417.946259999997</v>
      </c>
      <c r="H120" s="536">
        <v>0.66779999999999995</v>
      </c>
      <c r="I120" s="538">
        <f t="shared" si="9"/>
        <v>97575.343235999986</v>
      </c>
    </row>
    <row r="121" spans="1:9">
      <c r="A121" s="357"/>
      <c r="B121" s="666" t="s">
        <v>1421</v>
      </c>
      <c r="C121" s="660" t="s">
        <v>2384</v>
      </c>
      <c r="D121" s="428" t="s">
        <v>1390</v>
      </c>
      <c r="E121" s="671">
        <f>1844.89</f>
        <v>1844.89</v>
      </c>
      <c r="F121" s="536">
        <v>0.52300000000000002</v>
      </c>
      <c r="G121" s="537">
        <f t="shared" si="8"/>
        <v>964.87747000000013</v>
      </c>
      <c r="H121" s="536">
        <v>0.66779999999999995</v>
      </c>
      <c r="I121" s="538">
        <f t="shared" si="9"/>
        <v>1232.017542</v>
      </c>
    </row>
    <row r="122" spans="1:9">
      <c r="A122" s="357"/>
      <c r="B122" s="666" t="s">
        <v>1421</v>
      </c>
      <c r="C122" s="660" t="s">
        <v>2385</v>
      </c>
      <c r="D122" s="428" t="s">
        <v>1390</v>
      </c>
      <c r="E122" s="671">
        <f>3844.64</f>
        <v>3844.64</v>
      </c>
      <c r="F122" s="536">
        <v>0.52300000000000002</v>
      </c>
      <c r="G122" s="537">
        <f t="shared" si="8"/>
        <v>2010.7467200000001</v>
      </c>
      <c r="H122" s="536">
        <v>0.66779999999999995</v>
      </c>
      <c r="I122" s="538">
        <f t="shared" si="9"/>
        <v>2567.4505919999997</v>
      </c>
    </row>
    <row r="123" spans="1:9">
      <c r="A123" s="357"/>
      <c r="B123" s="666" t="s">
        <v>1421</v>
      </c>
      <c r="C123" s="660" t="s">
        <v>1398</v>
      </c>
      <c r="D123" s="428" t="s">
        <v>1450</v>
      </c>
      <c r="E123" s="671">
        <f>220907.89</f>
        <v>220907.89</v>
      </c>
      <c r="F123" s="536">
        <v>0.52300000000000002</v>
      </c>
      <c r="G123" s="537">
        <f t="shared" si="8"/>
        <v>115534.82647000001</v>
      </c>
      <c r="H123" s="536">
        <v>0.66779999999999995</v>
      </c>
      <c r="I123" s="538">
        <f t="shared" si="9"/>
        <v>147522.28894199998</v>
      </c>
    </row>
    <row r="124" spans="1:9">
      <c r="A124" s="357"/>
      <c r="B124" s="666" t="s">
        <v>1421</v>
      </c>
      <c r="C124" s="660" t="s">
        <v>1390</v>
      </c>
      <c r="D124" s="428" t="s">
        <v>1390</v>
      </c>
      <c r="E124" s="671">
        <f>5014.67</f>
        <v>5014.67</v>
      </c>
      <c r="F124" s="536">
        <v>0.52300000000000002</v>
      </c>
      <c r="G124" s="537">
        <f t="shared" si="8"/>
        <v>2622.6724100000001</v>
      </c>
      <c r="H124" s="536">
        <v>0.66779999999999995</v>
      </c>
      <c r="I124" s="538">
        <f t="shared" si="9"/>
        <v>3348.7966259999998</v>
      </c>
    </row>
    <row r="125" spans="1:9">
      <c r="A125" s="357"/>
      <c r="B125" s="666" t="s">
        <v>1421</v>
      </c>
      <c r="C125" s="660" t="s">
        <v>1451</v>
      </c>
      <c r="D125" s="428" t="s">
        <v>1452</v>
      </c>
      <c r="E125" s="671">
        <f>219050.16</f>
        <v>219050.16</v>
      </c>
      <c r="F125" s="536">
        <v>0.52300000000000002</v>
      </c>
      <c r="G125" s="537">
        <f t="shared" si="8"/>
        <v>114563.23368</v>
      </c>
      <c r="H125" s="536">
        <v>0.66779999999999995</v>
      </c>
      <c r="I125" s="538">
        <f t="shared" si="9"/>
        <v>146281.69684799999</v>
      </c>
    </row>
    <row r="126" spans="1:9">
      <c r="A126" s="357"/>
      <c r="B126" s="666" t="s">
        <v>1421</v>
      </c>
      <c r="C126" s="660" t="s">
        <v>1390</v>
      </c>
      <c r="D126" s="428" t="s">
        <v>1390</v>
      </c>
      <c r="E126" s="671">
        <f>285734.43</f>
        <v>285734.43</v>
      </c>
      <c r="F126" s="536">
        <v>0.52300000000000002</v>
      </c>
      <c r="G126" s="537">
        <f t="shared" si="8"/>
        <v>149439.10689</v>
      </c>
      <c r="H126" s="536">
        <v>0.66779999999999995</v>
      </c>
      <c r="I126" s="538">
        <f t="shared" si="9"/>
        <v>190813.45235399998</v>
      </c>
    </row>
    <row r="127" spans="1:9">
      <c r="A127" s="357"/>
      <c r="B127" s="666" t="s">
        <v>1421</v>
      </c>
      <c r="C127" s="660" t="s">
        <v>1453</v>
      </c>
      <c r="D127" s="428" t="s">
        <v>1454</v>
      </c>
      <c r="E127" s="671">
        <f>1929776.32</f>
        <v>1929776.32</v>
      </c>
      <c r="F127" s="536">
        <v>0.52300000000000002</v>
      </c>
      <c r="G127" s="537">
        <f t="shared" si="8"/>
        <v>1009273.0153600001</v>
      </c>
      <c r="H127" s="536">
        <v>0.66779999999999995</v>
      </c>
      <c r="I127" s="538">
        <f t="shared" si="9"/>
        <v>1288704.626496</v>
      </c>
    </row>
    <row r="128" spans="1:9">
      <c r="A128" s="357"/>
      <c r="B128" s="666" t="s">
        <v>1421</v>
      </c>
      <c r="C128" s="660" t="s">
        <v>1455</v>
      </c>
      <c r="D128" s="428" t="s">
        <v>1454</v>
      </c>
      <c r="E128" s="671">
        <f>303096.04</f>
        <v>303096.03999999998</v>
      </c>
      <c r="F128" s="536">
        <v>0.52300000000000002</v>
      </c>
      <c r="G128" s="537">
        <f t="shared" si="8"/>
        <v>158519.22891999999</v>
      </c>
      <c r="H128" s="536">
        <v>0.66779999999999995</v>
      </c>
      <c r="I128" s="538">
        <f t="shared" si="9"/>
        <v>202407.53551199997</v>
      </c>
    </row>
    <row r="129" spans="1:9">
      <c r="A129" s="357"/>
      <c r="B129" s="666" t="s">
        <v>1421</v>
      </c>
      <c r="C129" s="665" t="s">
        <v>1456</v>
      </c>
      <c r="D129" s="661" t="s">
        <v>1454</v>
      </c>
      <c r="E129" s="676">
        <f>1362394.81</f>
        <v>1362394.81</v>
      </c>
      <c r="F129" s="536">
        <v>0.52300000000000002</v>
      </c>
      <c r="G129" s="537">
        <f t="shared" si="8"/>
        <v>712532.48563000001</v>
      </c>
      <c r="H129" s="536">
        <v>0.66779999999999995</v>
      </c>
      <c r="I129" s="538">
        <f t="shared" si="9"/>
        <v>909807.25411799992</v>
      </c>
    </row>
    <row r="130" spans="1:9" ht="13.5" thickBot="1">
      <c r="A130" s="542"/>
      <c r="B130" s="667"/>
      <c r="C130" s="662" t="s">
        <v>961</v>
      </c>
      <c r="D130" s="379"/>
      <c r="E130" s="677">
        <f>SUM(E98:E129)</f>
        <v>9086084.4199999999</v>
      </c>
      <c r="F130" s="543"/>
      <c r="G130" s="544">
        <f>SUM(G98:G129)</f>
        <v>4752022.1516600009</v>
      </c>
      <c r="H130" s="543"/>
      <c r="I130" s="545">
        <f>SUM(I98:I129)</f>
        <v>6067687.1756759994</v>
      </c>
    </row>
    <row r="131" spans="1:9">
      <c r="B131" s="541"/>
    </row>
  </sheetData>
  <pageMargins left="0.7" right="0.7" top="0.75" bottom="0.75" header="0.3" footer="0.3"/>
  <pageSetup scale="51"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110" zoomScaleNormal="100" zoomScaleSheetLayoutView="110" workbookViewId="0"/>
  </sheetViews>
  <sheetFormatPr defaultColWidth="9.1796875" defaultRowHeight="13"/>
  <cols>
    <col min="1" max="1" width="9.1796875" style="353"/>
    <col min="2" max="2" width="45.81640625" style="353" bestFit="1" customWidth="1"/>
    <col min="3" max="3" width="38.54296875" style="353" customWidth="1"/>
    <col min="4" max="4" width="27.1796875" style="353" customWidth="1"/>
    <col min="5" max="16384" width="9.1796875" style="353"/>
  </cols>
  <sheetData>
    <row r="1" spans="1:4">
      <c r="A1" s="354" t="str">
        <f>'Cover Sheets'!A10:D10</f>
        <v>WAPA-UGP 2018 Rate True-up Calculation</v>
      </c>
      <c r="B1" s="355"/>
      <c r="C1" s="355"/>
      <c r="D1" s="380"/>
    </row>
    <row r="2" spans="1:4">
      <c r="A2" s="821" t="s">
        <v>2567</v>
      </c>
      <c r="B2" s="356"/>
      <c r="C2" s="356"/>
      <c r="D2" s="381"/>
    </row>
    <row r="3" spans="1:4">
      <c r="A3" s="357" t="str">
        <f>'WS1-RateBase'!A4</f>
        <v>12 Months Ending 09/30/2018 ACTUAL</v>
      </c>
      <c r="B3" s="356"/>
      <c r="C3" s="356"/>
      <c r="D3" s="381"/>
    </row>
    <row r="4" spans="1:4">
      <c r="A4" s="167"/>
      <c r="B4" s="358" t="s">
        <v>2</v>
      </c>
      <c r="C4" s="359" t="s">
        <v>1478</v>
      </c>
      <c r="D4" s="360" t="s">
        <v>1211</v>
      </c>
    </row>
    <row r="5" spans="1:4" ht="13.5" thickBot="1">
      <c r="A5" s="361" t="s">
        <v>1385</v>
      </c>
      <c r="B5" s="362">
        <v>-1</v>
      </c>
      <c r="C5" s="362">
        <v>-2</v>
      </c>
      <c r="D5" s="363">
        <v>-3</v>
      </c>
    </row>
    <row r="6" spans="1:4">
      <c r="A6" s="389">
        <v>1</v>
      </c>
      <c r="B6" s="367" t="s">
        <v>1463</v>
      </c>
      <c r="C6" s="366">
        <f>'WS2-AllocFactor'!E34</f>
        <v>0.14490656007321057</v>
      </c>
      <c r="D6" s="374" t="s">
        <v>1206</v>
      </c>
    </row>
    <row r="7" spans="1:4" ht="13.5" thickBot="1">
      <c r="A7" s="389">
        <v>2</v>
      </c>
      <c r="B7" s="390" t="s">
        <v>1464</v>
      </c>
      <c r="C7" s="368">
        <f>'WS2-AllocFactor'!E35</f>
        <v>530092117.79723716</v>
      </c>
      <c r="D7" s="374" t="s">
        <v>1205</v>
      </c>
    </row>
    <row r="8" spans="1:4" ht="13.5" thickTop="1">
      <c r="A8" s="389">
        <v>3</v>
      </c>
      <c r="B8" s="390" t="s">
        <v>1465</v>
      </c>
      <c r="C8" s="370">
        <f>C6*C7</f>
        <v>76813825.311920762</v>
      </c>
      <c r="D8" s="382" t="s">
        <v>1466</v>
      </c>
    </row>
    <row r="9" spans="1:4" ht="13.5" thickBot="1">
      <c r="A9" s="389">
        <v>4</v>
      </c>
      <c r="B9" s="390" t="s">
        <v>1467</v>
      </c>
      <c r="C9" s="681">
        <v>2286000</v>
      </c>
      <c r="D9" s="382"/>
    </row>
    <row r="10" spans="1:4" ht="13.5" thickTop="1">
      <c r="A10" s="389">
        <v>5</v>
      </c>
      <c r="B10" s="367" t="s">
        <v>1479</v>
      </c>
      <c r="C10" s="372">
        <f>C8/C9</f>
        <v>33.601848342922466</v>
      </c>
      <c r="D10" s="382" t="s">
        <v>1469</v>
      </c>
    </row>
    <row r="11" spans="1:4">
      <c r="A11" s="389">
        <v>6</v>
      </c>
      <c r="B11" s="367" t="s">
        <v>1480</v>
      </c>
      <c r="C11" s="391">
        <f>8861</f>
        <v>8861</v>
      </c>
      <c r="D11" s="382"/>
    </row>
    <row r="12" spans="1:4">
      <c r="A12" s="389">
        <v>7</v>
      </c>
      <c r="B12" s="367" t="s">
        <v>1481</v>
      </c>
      <c r="C12" s="392">
        <f>C11*C10</f>
        <v>297745.97816663596</v>
      </c>
      <c r="D12" s="382"/>
    </row>
    <row r="13" spans="1:4">
      <c r="A13" s="389">
        <v>8</v>
      </c>
      <c r="B13" s="367" t="s">
        <v>1482</v>
      </c>
      <c r="C13" s="393">
        <v>0</v>
      </c>
      <c r="D13" s="374" t="s">
        <v>1204</v>
      </c>
    </row>
    <row r="14" spans="1:4">
      <c r="A14" s="389">
        <v>9</v>
      </c>
      <c r="B14" s="367" t="s">
        <v>1483</v>
      </c>
      <c r="C14" s="392">
        <f>C12+C13</f>
        <v>297745.97816663596</v>
      </c>
      <c r="D14" s="382"/>
    </row>
    <row r="15" spans="1:4">
      <c r="A15" s="394" t="s">
        <v>1490</v>
      </c>
      <c r="B15" s="367" t="s">
        <v>1484</v>
      </c>
      <c r="C15" s="356"/>
      <c r="D15" s="382"/>
    </row>
    <row r="16" spans="1:4">
      <c r="A16" s="394"/>
      <c r="B16" s="367" t="s">
        <v>2437</v>
      </c>
      <c r="C16" s="356"/>
      <c r="D16" s="382"/>
    </row>
    <row r="17" spans="1:4">
      <c r="A17" s="394" t="s">
        <v>1205</v>
      </c>
      <c r="B17" s="395" t="s">
        <v>1485</v>
      </c>
      <c r="C17" s="356"/>
      <c r="D17" s="382"/>
    </row>
    <row r="18" spans="1:4">
      <c r="A18" s="394"/>
      <c r="B18" s="395" t="s">
        <v>2397</v>
      </c>
      <c r="C18" s="356"/>
      <c r="D18" s="382"/>
    </row>
    <row r="19" spans="1:4" ht="13.5" thickBot="1">
      <c r="A19" s="422" t="s">
        <v>1491</v>
      </c>
      <c r="B19" s="423" t="s">
        <v>2398</v>
      </c>
      <c r="C19" s="379"/>
      <c r="D19" s="424"/>
    </row>
  </sheetData>
  <pageMargins left="0.7" right="0.7" top="0.75" bottom="0.75" header="0.3" footer="0.3"/>
  <pageSetup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BreakPreview" zoomScale="120" zoomScaleNormal="100" zoomScaleSheetLayoutView="120" workbookViewId="0">
      <selection activeCell="C16" sqref="C16"/>
    </sheetView>
  </sheetViews>
  <sheetFormatPr defaultColWidth="9.1796875" defaultRowHeight="13"/>
  <cols>
    <col min="1" max="1" width="9.1796875" style="353"/>
    <col min="2" max="2" width="44.26953125" style="353" customWidth="1"/>
    <col min="3" max="3" width="39.26953125" style="353" customWidth="1"/>
    <col min="4" max="4" width="18.7265625" style="353" customWidth="1"/>
    <col min="5" max="16384" width="9.1796875" style="353"/>
  </cols>
  <sheetData>
    <row r="1" spans="1:4">
      <c r="A1" s="354" t="str">
        <f>'Cover Sheets'!A10:D10</f>
        <v>WAPA-UGP 2018 Rate True-up Calculation</v>
      </c>
      <c r="B1" s="355"/>
      <c r="C1" s="355"/>
      <c r="D1" s="380"/>
    </row>
    <row r="2" spans="1:4">
      <c r="A2" s="821" t="s">
        <v>2568</v>
      </c>
      <c r="B2" s="356"/>
      <c r="C2" s="356"/>
      <c r="D2" s="381"/>
    </row>
    <row r="3" spans="1:4">
      <c r="A3" s="357" t="str">
        <f>'WS1-RateBase'!A4</f>
        <v>12 Months Ending 09/30/2018 ACTUAL</v>
      </c>
      <c r="B3" s="356"/>
      <c r="C3" s="356"/>
      <c r="D3" s="381"/>
    </row>
    <row r="4" spans="1:4">
      <c r="A4" s="167"/>
      <c r="B4" s="358" t="s">
        <v>2</v>
      </c>
      <c r="C4" s="359" t="s">
        <v>1462</v>
      </c>
      <c r="D4" s="360" t="s">
        <v>1211</v>
      </c>
    </row>
    <row r="5" spans="1:4" ht="13.5" thickBot="1">
      <c r="A5" s="361" t="s">
        <v>1385</v>
      </c>
      <c r="B5" s="362">
        <v>-1</v>
      </c>
      <c r="C5" s="362">
        <v>-2</v>
      </c>
      <c r="D5" s="363">
        <v>-3</v>
      </c>
    </row>
    <row r="6" spans="1:4">
      <c r="A6" s="364">
        <v>1</v>
      </c>
      <c r="B6" s="365" t="s">
        <v>1463</v>
      </c>
      <c r="C6" s="387">
        <f>'WS2-AllocFactor'!E34</f>
        <v>0.14490656007321057</v>
      </c>
      <c r="D6" s="386" t="s">
        <v>1206</v>
      </c>
    </row>
    <row r="7" spans="1:4" ht="13.5" thickBot="1">
      <c r="A7" s="364">
        <v>2</v>
      </c>
      <c r="B7" s="367" t="s">
        <v>1464</v>
      </c>
      <c r="C7" s="388">
        <f>'WS2-AllocFactor'!E35</f>
        <v>530092117.79723716</v>
      </c>
      <c r="D7" s="369" t="s">
        <v>1205</v>
      </c>
    </row>
    <row r="8" spans="1:4" ht="13.5" thickTop="1">
      <c r="A8" s="364">
        <v>3</v>
      </c>
      <c r="B8" s="367" t="s">
        <v>1465</v>
      </c>
      <c r="C8" s="370">
        <f>C6*C7</f>
        <v>76813825.311920762</v>
      </c>
      <c r="D8" s="382" t="s">
        <v>1466</v>
      </c>
    </row>
    <row r="9" spans="1:4" ht="13.5" thickBot="1">
      <c r="A9" s="364">
        <v>4</v>
      </c>
      <c r="B9" s="371" t="s">
        <v>1467</v>
      </c>
      <c r="C9" s="529">
        <v>2286000</v>
      </c>
      <c r="D9" s="382"/>
    </row>
    <row r="10" spans="1:4" ht="13.5" thickTop="1">
      <c r="A10" s="364">
        <v>5</v>
      </c>
      <c r="B10" s="371" t="s">
        <v>1468</v>
      </c>
      <c r="C10" s="372">
        <f>C8/C9</f>
        <v>33.601848342922466</v>
      </c>
      <c r="D10" s="382" t="s">
        <v>1469</v>
      </c>
    </row>
    <row r="11" spans="1:4">
      <c r="A11" s="364">
        <v>6</v>
      </c>
      <c r="B11" s="371" t="s">
        <v>1470</v>
      </c>
      <c r="C11" s="370">
        <f>268283</f>
        <v>268283</v>
      </c>
      <c r="D11" s="382"/>
    </row>
    <row r="12" spans="1:4">
      <c r="A12" s="364">
        <v>8</v>
      </c>
      <c r="B12" s="373" t="s">
        <v>1471</v>
      </c>
      <c r="C12" s="530">
        <f>168000</f>
        <v>168000</v>
      </c>
      <c r="D12" s="374" t="s">
        <v>1204</v>
      </c>
    </row>
    <row r="13" spans="1:4">
      <c r="A13" s="364">
        <v>9</v>
      </c>
      <c r="B13" s="373" t="s">
        <v>1472</v>
      </c>
      <c r="C13" s="530">
        <f>97500</f>
        <v>97500</v>
      </c>
      <c r="D13" s="374" t="s">
        <v>1203</v>
      </c>
    </row>
    <row r="14" spans="1:4">
      <c r="A14" s="364">
        <v>10</v>
      </c>
      <c r="B14" s="373" t="s">
        <v>1473</v>
      </c>
      <c r="C14" s="375">
        <f xml:space="preserve"> (0.03*C12) + (0.03 *C13)</f>
        <v>7965</v>
      </c>
      <c r="D14" s="382" t="s">
        <v>1474</v>
      </c>
    </row>
    <row r="15" spans="1:4">
      <c r="A15" s="364">
        <v>11</v>
      </c>
      <c r="B15" s="373" t="s">
        <v>2548</v>
      </c>
      <c r="C15" s="828">
        <v>0</v>
      </c>
      <c r="D15" s="374" t="s">
        <v>1202</v>
      </c>
    </row>
    <row r="16" spans="1:4">
      <c r="A16" s="364">
        <v>12</v>
      </c>
      <c r="B16" s="384" t="s">
        <v>1475</v>
      </c>
      <c r="C16" s="385">
        <f>C10*C14+C15</f>
        <v>267638.72205137747</v>
      </c>
      <c r="D16" s="382" t="s">
        <v>2549</v>
      </c>
    </row>
    <row r="17" spans="1:4">
      <c r="A17" s="376" t="s">
        <v>1206</v>
      </c>
      <c r="B17" s="377" t="s">
        <v>1476</v>
      </c>
      <c r="C17" s="356"/>
      <c r="D17" s="381"/>
    </row>
    <row r="18" spans="1:4">
      <c r="A18" s="376"/>
      <c r="B18" s="377" t="s">
        <v>2438</v>
      </c>
      <c r="C18" s="356"/>
      <c r="D18" s="381"/>
    </row>
    <row r="19" spans="1:4">
      <c r="A19" s="376" t="s">
        <v>1205</v>
      </c>
      <c r="B19" s="377" t="s">
        <v>1477</v>
      </c>
      <c r="C19" s="356"/>
      <c r="D19" s="381"/>
    </row>
    <row r="20" spans="1:4">
      <c r="A20" s="376"/>
      <c r="B20" s="377" t="s">
        <v>2399</v>
      </c>
      <c r="C20" s="356"/>
      <c r="D20" s="381"/>
    </row>
    <row r="21" spans="1:4">
      <c r="A21" s="376" t="s">
        <v>1204</v>
      </c>
      <c r="B21" s="377" t="s">
        <v>2439</v>
      </c>
      <c r="C21" s="356"/>
      <c r="D21" s="381"/>
    </row>
    <row r="22" spans="1:4">
      <c r="A22" s="376" t="s">
        <v>1203</v>
      </c>
      <c r="B22" s="377" t="s">
        <v>2400</v>
      </c>
      <c r="C22" s="356"/>
      <c r="D22" s="381"/>
    </row>
    <row r="23" spans="1:4" ht="13.5" thickBot="1">
      <c r="A23" s="378" t="s">
        <v>1202</v>
      </c>
      <c r="B23" s="379" t="s">
        <v>2550</v>
      </c>
      <c r="C23" s="379"/>
      <c r="D23" s="383"/>
    </row>
  </sheetData>
  <pageMargins left="0.7" right="0.7" top="0.75" bottom="0.75" header="0.3" footer="0.3"/>
  <pageSetup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Cover Sheets</vt:lpstr>
      <vt:lpstr>Summary-TrueUp</vt:lpstr>
      <vt:lpstr>WS1-RateBase</vt:lpstr>
      <vt:lpstr>WS2-AllocFactor</vt:lpstr>
      <vt:lpstr>WS3-RevCredits</vt:lpstr>
      <vt:lpstr>WS4-CostData</vt:lpstr>
      <vt:lpstr>WS5-BPUz</vt:lpstr>
      <vt:lpstr>WS6-BPUr</vt:lpstr>
      <vt:lpstr>WS7-BPUFac</vt:lpstr>
      <vt:lpstr>WS8-TranFac</vt:lpstr>
      <vt:lpstr>WS9-AI-Incl</vt:lpstr>
      <vt:lpstr>WS10-AI-Excl</vt:lpstr>
      <vt:lpstr>WS11-FacChanges</vt:lpstr>
      <vt:lpstr>WS12-SSCD</vt:lpstr>
      <vt:lpstr>WS13-SSCDFac</vt:lpstr>
      <vt:lpstr>WS14-Reg</vt:lpstr>
      <vt:lpstr>WS15-Res</vt:lpstr>
      <vt:lpstr>'Cover Sheets'!Print_Area</vt:lpstr>
      <vt:lpstr>'Summary-TrueUp'!Print_Area</vt:lpstr>
      <vt:lpstr>'WS11-FacChanges'!Print_Area</vt:lpstr>
      <vt:lpstr>'WS12-SSCD'!Print_Area</vt:lpstr>
      <vt:lpstr>'WS14-Reg'!Print_Area</vt:lpstr>
      <vt:lpstr>'WS15-Res'!Print_Area</vt:lpstr>
      <vt:lpstr>'WS1-RateBase'!Print_Area</vt:lpstr>
      <vt:lpstr>'WS2-AllocFactor'!Print_Area</vt:lpstr>
      <vt:lpstr>'WS5-BPUz'!Print_Area</vt:lpstr>
      <vt:lpstr>'WS6-BPUr'!Print_Area</vt:lpstr>
      <vt:lpstr>'WS8-TranFac'!Print_Area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Sara</dc:creator>
  <cp:lastModifiedBy>Sanders, Steven</cp:lastModifiedBy>
  <cp:lastPrinted>2019-10-22T02:16:07Z</cp:lastPrinted>
  <dcterms:created xsi:type="dcterms:W3CDTF">2016-09-02T15:10:22Z</dcterms:created>
  <dcterms:modified xsi:type="dcterms:W3CDTF">2019-10-22T02:46:41Z</dcterms:modified>
</cp:coreProperties>
</file>