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ders\Documents\Rate-Order-No-WAPA-188\"/>
    </mc:Choice>
  </mc:AlternateContent>
  <bookViews>
    <workbookView xWindow="720" yWindow="860" windowWidth="22760" windowHeight="9780" tabRatio="826"/>
  </bookViews>
  <sheets>
    <sheet name="Cover Sheets" sheetId="29" r:id="rId1"/>
    <sheet name="Summary-TrueUp" sheetId="11" r:id="rId2"/>
    <sheet name="WS1-RateBase" sheetId="2" r:id="rId3"/>
    <sheet name="WS2-AllocFactor" sheetId="4" r:id="rId4"/>
    <sheet name="WS3-RevCredits" sheetId="25" r:id="rId5"/>
    <sheet name="WS4-CostData" sheetId="3" r:id="rId6"/>
    <sheet name="WS5-BPUz" sheetId="26" r:id="rId7"/>
    <sheet name="WS6-BPUr" sheetId="27" r:id="rId8"/>
    <sheet name="WS7-BPUFac" sheetId="28" r:id="rId9"/>
    <sheet name="WS8-TranFac" sheetId="1" r:id="rId10"/>
    <sheet name="WS9-AI-Incl" sheetId="23" r:id="rId11"/>
    <sheet name="WS10-AI-Excl" sheetId="24" r:id="rId12"/>
    <sheet name="WS11-FacChanges" sheetId="22" r:id="rId13"/>
    <sheet name="WS12-SSCD" sheetId="6" r:id="rId14"/>
    <sheet name="WS13-SSCDFac" sheetId="5" r:id="rId15"/>
    <sheet name="WS14-Reg" sheetId="10" r:id="rId16"/>
    <sheet name="WS15-Res" sheetId="9" r:id="rId17"/>
  </sheets>
  <externalReferences>
    <externalReference r:id="rId18"/>
    <externalReference r:id="rId19"/>
  </externalReferences>
  <definedNames>
    <definedName name="Act14_ActRegRevRqmt" localSheetId="0">'[1]Input Sheet'!#REF!</definedName>
    <definedName name="Act14_ActRegRevRqmt" localSheetId="12">'[1]Input Sheet'!#REF!</definedName>
    <definedName name="Act14_ActRegRevRqmt" localSheetId="4">'[1]Input Sheet'!#REF!</definedName>
    <definedName name="Act14_ActRegRevRqmt" localSheetId="6">'[1]Input Sheet'!#REF!</definedName>
    <definedName name="Act14_ActRegRevRqmt" localSheetId="7">'[1]Input Sheet'!#REF!</definedName>
    <definedName name="Act14_ActRegRevRqmt" localSheetId="8">'[1]Input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0">#REF!</definedName>
    <definedName name="CUSTAR" localSheetId="12">#REF!</definedName>
    <definedName name="CUSTAR" localSheetId="13">#REF!</definedName>
    <definedName name="CUSTAR" localSheetId="15">#REF!</definedName>
    <definedName name="CUSTAR" localSheetId="16">#REF!</definedName>
    <definedName name="CUSTAR" localSheetId="2">#REF!</definedName>
    <definedName name="CUSTAR" localSheetId="4">#REF!</definedName>
    <definedName name="CUSTAR" localSheetId="6">#REF!</definedName>
    <definedName name="CUSTAR" localSheetId="7">#REF!</definedName>
    <definedName name="CUSTAR" localSheetId="8">#REF!</definedName>
    <definedName name="Custar1" localSheetId="0">#REF!</definedName>
    <definedName name="Custar1" localSheetId="12">#REF!</definedName>
    <definedName name="Custar1" localSheetId="13">#REF!</definedName>
    <definedName name="Custar1" localSheetId="15">#REF!</definedName>
    <definedName name="Custar1" localSheetId="16">#REF!</definedName>
    <definedName name="Custar1" localSheetId="4">#REF!</definedName>
    <definedName name="Custar1" localSheetId="6">#REF!</definedName>
    <definedName name="Custar1" localSheetId="7">#REF!</definedName>
    <definedName name="Custar1" localSheetId="8">#REF!</definedName>
    <definedName name="CUYAHOGA_FALLS" localSheetId="0">#REF!</definedName>
    <definedName name="CUYAHOGA_FALLS" localSheetId="12">#REF!</definedName>
    <definedName name="CUYAHOGA_FALLS" localSheetId="13">#REF!</definedName>
    <definedName name="CUYAHOGA_FALLS" localSheetId="15">#REF!</definedName>
    <definedName name="CUYAHOGA_FALLS" localSheetId="16">#REF!</definedName>
    <definedName name="CUYAHOGA_FALLS" localSheetId="2">#REF!</definedName>
    <definedName name="CUYAHOGA_FALLS" localSheetId="4">#REF!</definedName>
    <definedName name="CUYAHOGA_FALLS" localSheetId="6">#REF!</definedName>
    <definedName name="CUYAHOGA_FALLS" localSheetId="7">#REF!</definedName>
    <definedName name="CUYAHOGA_FALLS" localSheetId="8">#REF!</definedName>
    <definedName name="DETERMINATION_OF_PICK_SLOAN_MISSOURI_BASIN_PROGRAM__EASTERN_DIVISION" localSheetId="0">#REF!</definedName>
    <definedName name="DETERMINATION_OF_PICK_SLOAN_MISSOURI_BASIN_PROGRAM__EASTERN_DIVISION" localSheetId="12">#REF!</definedName>
    <definedName name="DETERMINATION_OF_PICK_SLOAN_MISSOURI_BASIN_PROGRAM__EASTERN_DIVISION" localSheetId="13">#REF!</definedName>
    <definedName name="DETERMINATION_OF_PICK_SLOAN_MISSOURI_BASIN_PROGRAM__EASTERN_DIVISION" localSheetId="15">#REF!</definedName>
    <definedName name="DETERMINATION_OF_PICK_SLOAN_MISSOURI_BASIN_PROGRAM__EASTERN_DIVISION" localSheetId="16">#REF!</definedName>
    <definedName name="DETERMINATION_OF_PICK_SLOAN_MISSOURI_BASIN_PROGRAM__EASTERN_DIVISION" localSheetId="2">#REF!</definedName>
    <definedName name="DETERMINATION_OF_PICK_SLOAN_MISSOURI_BASIN_PROGRAM__EASTERN_DIVISION" localSheetId="4">#REF!</definedName>
    <definedName name="DETERMINATION_OF_PICK_SLOAN_MISSOURI_BASIN_PROGRAM__EASTERN_DIVISION" localSheetId="6">#REF!</definedName>
    <definedName name="DETERMINATION_OF_PICK_SLOAN_MISSOURI_BASIN_PROGRAM__EASTERN_DIVISION" localSheetId="7">#REF!</definedName>
    <definedName name="DETERMINATION_OF_PICK_SLOAN_MISSOURI_BASIN_PROGRAM__EASTERN_DIVISION" localSheetId="8">#REF!</definedName>
    <definedName name="EDGERTON" localSheetId="0">#REF!</definedName>
    <definedName name="EDGERTON" localSheetId="12">#REF!</definedName>
    <definedName name="EDGERTON" localSheetId="13">#REF!</definedName>
    <definedName name="EDGERTON" localSheetId="15">#REF!</definedName>
    <definedName name="EDGERTON" localSheetId="16">#REF!</definedName>
    <definedName name="EDGERTON" localSheetId="2">#REF!</definedName>
    <definedName name="EDGERTON" localSheetId="4">#REF!</definedName>
    <definedName name="EDGERTON" localSheetId="6">#REF!</definedName>
    <definedName name="EDGERTON" localSheetId="7">#REF!</definedName>
    <definedName name="EDGERTON" localSheetId="8">#REF!</definedName>
    <definedName name="Ellwood_City" localSheetId="0">#REF!</definedName>
    <definedName name="Ellwood_City" localSheetId="12">#REF!</definedName>
    <definedName name="Ellwood_City" localSheetId="13">#REF!</definedName>
    <definedName name="Ellwood_City" localSheetId="15">#REF!</definedName>
    <definedName name="Ellwood_City" localSheetId="16">#REF!</definedName>
    <definedName name="Ellwood_City" localSheetId="2">#REF!</definedName>
    <definedName name="Ellwood_City" localSheetId="4">#REF!</definedName>
    <definedName name="Ellwood_City" localSheetId="6">#REF!</definedName>
    <definedName name="Ellwood_City" localSheetId="7">#REF!</definedName>
    <definedName name="Ellwood_City" localSheetId="8">#REF!</definedName>
    <definedName name="ELMORE" localSheetId="0">#REF!</definedName>
    <definedName name="ELMORE" localSheetId="12">#REF!</definedName>
    <definedName name="ELMORE" localSheetId="13">#REF!</definedName>
    <definedName name="ELMORE" localSheetId="15">#REF!</definedName>
    <definedName name="ELMORE" localSheetId="16">#REF!</definedName>
    <definedName name="ELMORE" localSheetId="2">#REF!</definedName>
    <definedName name="ELMORE" localSheetId="4">#REF!</definedName>
    <definedName name="ELMORE" localSheetId="6">#REF!</definedName>
    <definedName name="ELMORE" localSheetId="7">#REF!</definedName>
    <definedName name="ELMORE" localSheetId="8">#REF!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0">#REF!</definedName>
    <definedName name="GALION" localSheetId="12">#REF!</definedName>
    <definedName name="GALION" localSheetId="13">#REF!</definedName>
    <definedName name="GALION" localSheetId="15">#REF!</definedName>
    <definedName name="GALION" localSheetId="16">#REF!</definedName>
    <definedName name="GALION" localSheetId="2">#REF!</definedName>
    <definedName name="GALION" localSheetId="4">#REF!</definedName>
    <definedName name="GALION" localSheetId="6">#REF!</definedName>
    <definedName name="GALION" localSheetId="7">#REF!</definedName>
    <definedName name="GALION" localSheetId="8">#REF!</definedName>
    <definedName name="GENOA" localSheetId="0">#REF!</definedName>
    <definedName name="GENOA" localSheetId="12">#REF!</definedName>
    <definedName name="GENOA" localSheetId="13">#REF!</definedName>
    <definedName name="GENOA" localSheetId="15">#REF!</definedName>
    <definedName name="GENOA" localSheetId="16">#REF!</definedName>
    <definedName name="GENOA" localSheetId="2">#REF!</definedName>
    <definedName name="GENOA" localSheetId="4">#REF!</definedName>
    <definedName name="GENOA" localSheetId="6">#REF!</definedName>
    <definedName name="GENOA" localSheetId="7">#REF!</definedName>
    <definedName name="GENOA" localSheetId="8">#REF!</definedName>
    <definedName name="GENOA_NORTH" localSheetId="0">#REF!</definedName>
    <definedName name="GENOA_NORTH" localSheetId="12">#REF!</definedName>
    <definedName name="GENOA_NORTH" localSheetId="13">#REF!</definedName>
    <definedName name="GENOA_NORTH" localSheetId="15">#REF!</definedName>
    <definedName name="GENOA_NORTH" localSheetId="16">#REF!</definedName>
    <definedName name="GENOA_NORTH" localSheetId="2">#REF!</definedName>
    <definedName name="GENOA_NORTH" localSheetId="4">#REF!</definedName>
    <definedName name="GENOA_NORTH" localSheetId="6">#REF!</definedName>
    <definedName name="GENOA_NORTH" localSheetId="7">#REF!</definedName>
    <definedName name="GENOA_NORTH" localSheetId="8">#REF!</definedName>
    <definedName name="GENOA_SOUTH" localSheetId="0">#REF!</definedName>
    <definedName name="GENOA_SOUTH" localSheetId="12">#REF!</definedName>
    <definedName name="GENOA_SOUTH" localSheetId="13">#REF!</definedName>
    <definedName name="GENOA_SOUTH" localSheetId="15">#REF!</definedName>
    <definedName name="GENOA_SOUTH" localSheetId="16">#REF!</definedName>
    <definedName name="GENOA_SOUTH" localSheetId="2">#REF!</definedName>
    <definedName name="GENOA_SOUTH" localSheetId="4">#REF!</definedName>
    <definedName name="GENOA_SOUTH" localSheetId="6">#REF!</definedName>
    <definedName name="GENOA_SOUTH" localSheetId="7">#REF!</definedName>
    <definedName name="GENOA_SOUTH" localSheetId="8">#REF!</definedName>
    <definedName name="GRAFTON" localSheetId="0">#REF!</definedName>
    <definedName name="GRAFTON" localSheetId="12">#REF!</definedName>
    <definedName name="GRAFTON" localSheetId="13">#REF!</definedName>
    <definedName name="GRAFTON" localSheetId="15">#REF!</definedName>
    <definedName name="GRAFTON" localSheetId="16">#REF!</definedName>
    <definedName name="GRAFTON" localSheetId="2">#REF!</definedName>
    <definedName name="GRAFTON" localSheetId="4">#REF!</definedName>
    <definedName name="GRAFTON" localSheetId="6">#REF!</definedName>
    <definedName name="GRAFTON" localSheetId="7">#REF!</definedName>
    <definedName name="GRAFTON" localSheetId="8">#REF!</definedName>
    <definedName name="Grove_City" localSheetId="0">#REF!</definedName>
    <definedName name="Grove_City" localSheetId="12">#REF!</definedName>
    <definedName name="Grove_City" localSheetId="13">#REF!</definedName>
    <definedName name="Grove_City" localSheetId="15">#REF!</definedName>
    <definedName name="Grove_City" localSheetId="16">#REF!</definedName>
    <definedName name="Grove_City" localSheetId="2">#REF!</definedName>
    <definedName name="Grove_City" localSheetId="4">#REF!</definedName>
    <definedName name="Grove_City" localSheetId="6">#REF!</definedName>
    <definedName name="Grove_City" localSheetId="7">#REF!</definedName>
    <definedName name="Grove_City" localSheetId="8">#REF!</definedName>
    <definedName name="HASKINS" localSheetId="0">#REF!</definedName>
    <definedName name="HASKINS" localSheetId="12">#REF!</definedName>
    <definedName name="HASKINS" localSheetId="13">#REF!</definedName>
    <definedName name="HASKINS" localSheetId="15">#REF!</definedName>
    <definedName name="HASKINS" localSheetId="16">#REF!</definedName>
    <definedName name="HASKINS" localSheetId="2">#REF!</definedName>
    <definedName name="HASKINS" localSheetId="4">#REF!</definedName>
    <definedName name="HASKINS" localSheetId="6">#REF!</definedName>
    <definedName name="HASKINS" localSheetId="7">#REF!</definedName>
    <definedName name="HASKINS" localSheetId="8">#REF!</definedName>
    <definedName name="hourending" localSheetId="0">#REF!</definedName>
    <definedName name="hourending" localSheetId="12">#REF!</definedName>
    <definedName name="hourending" localSheetId="13">#REF!</definedName>
    <definedName name="hourending" localSheetId="15">#REF!</definedName>
    <definedName name="hourending" localSheetId="16">#REF!</definedName>
    <definedName name="hourending" localSheetId="2">#REF!</definedName>
    <definedName name="hourending" localSheetId="4">#REF!</definedName>
    <definedName name="hourending" localSheetId="6">#REF!</definedName>
    <definedName name="hourending" localSheetId="7">#REF!</definedName>
    <definedName name="hourending" localSheetId="8">#REF!</definedName>
    <definedName name="HUBBARD" localSheetId="0">#REF!</definedName>
    <definedName name="HUBBARD" localSheetId="12">#REF!</definedName>
    <definedName name="HUBBARD" localSheetId="13">#REF!</definedName>
    <definedName name="HUBBARD" localSheetId="15">#REF!</definedName>
    <definedName name="HUBBARD" localSheetId="16">#REF!</definedName>
    <definedName name="HUBBARD" localSheetId="2">#REF!</definedName>
    <definedName name="HUBBARD" localSheetId="4">#REF!</definedName>
    <definedName name="HUBBARD" localSheetId="6">#REF!</definedName>
    <definedName name="HUBBARD" localSheetId="7">#REF!</definedName>
    <definedName name="HUBBARD" localSheetId="8">#REF!</definedName>
    <definedName name="HUBBARD1" localSheetId="0">#REF!</definedName>
    <definedName name="HUBBARD1" localSheetId="12">#REF!</definedName>
    <definedName name="HUBBARD1" localSheetId="13">#REF!</definedName>
    <definedName name="HUBBARD1" localSheetId="15">#REF!</definedName>
    <definedName name="HUBBARD1" localSheetId="16">#REF!</definedName>
    <definedName name="HUBBARD1" localSheetId="4">#REF!</definedName>
    <definedName name="HUBBARD1" localSheetId="6">#REF!</definedName>
    <definedName name="HUBBARD1" localSheetId="7">#REF!</definedName>
    <definedName name="HUBBARD1" localSheetId="8">#REF!</definedName>
    <definedName name="LODI" localSheetId="0">#REF!</definedName>
    <definedName name="LODI" localSheetId="12">#REF!</definedName>
    <definedName name="LODI" localSheetId="13">#REF!</definedName>
    <definedName name="LODI" localSheetId="15">#REF!</definedName>
    <definedName name="LODI" localSheetId="16">#REF!</definedName>
    <definedName name="LODI" localSheetId="2">#REF!</definedName>
    <definedName name="LODI" localSheetId="4">#REF!</definedName>
    <definedName name="LODI" localSheetId="6">#REF!</definedName>
    <definedName name="LODI" localSheetId="7">#REF!</definedName>
    <definedName name="LODI" localSheetId="8">#REF!</definedName>
    <definedName name="LUCAS" localSheetId="0">#REF!</definedName>
    <definedName name="LUCAS" localSheetId="12">#REF!</definedName>
    <definedName name="LUCAS" localSheetId="13">#REF!</definedName>
    <definedName name="LUCAS" localSheetId="15">#REF!</definedName>
    <definedName name="LUCAS" localSheetId="16">#REF!</definedName>
    <definedName name="LUCAS" localSheetId="2">#REF!</definedName>
    <definedName name="LUCAS" localSheetId="4">#REF!</definedName>
    <definedName name="LUCAS" localSheetId="6">#REF!</definedName>
    <definedName name="LUCAS" localSheetId="7">#REF!</definedName>
    <definedName name="LUCAS" localSheetId="8">#REF!</definedName>
    <definedName name="MILAN" localSheetId="0">#REF!</definedName>
    <definedName name="MILAN" localSheetId="12">#REF!</definedName>
    <definedName name="MILAN" localSheetId="13">#REF!</definedName>
    <definedName name="MILAN" localSheetId="15">#REF!</definedName>
    <definedName name="MILAN" localSheetId="16">#REF!</definedName>
    <definedName name="MILAN" localSheetId="2">#REF!</definedName>
    <definedName name="MILAN" localSheetId="4">#REF!</definedName>
    <definedName name="MILAN" localSheetId="6">#REF!</definedName>
    <definedName name="MILAN" localSheetId="7">#REF!</definedName>
    <definedName name="MILAN" localSheetId="8">#REF!</definedName>
    <definedName name="MONROEVILLE" localSheetId="0">#REF!</definedName>
    <definedName name="MONROEVILLE" localSheetId="12">#REF!</definedName>
    <definedName name="MONROEVILLE" localSheetId="13">#REF!</definedName>
    <definedName name="MONROEVILLE" localSheetId="15">#REF!</definedName>
    <definedName name="MONROEVILLE" localSheetId="16">#REF!</definedName>
    <definedName name="MONROEVILLE" localSheetId="2">#REF!</definedName>
    <definedName name="MONROEVILLE" localSheetId="4">#REF!</definedName>
    <definedName name="MONROEVILLE" localSheetId="6">#REF!</definedName>
    <definedName name="MONROEVILLE" localSheetId="7">#REF!</definedName>
    <definedName name="MONROEVILLE" localSheetId="8">#REF!</definedName>
    <definedName name="NAPOLEON" localSheetId="0">#REF!</definedName>
    <definedName name="NAPOLEON" localSheetId="12">#REF!</definedName>
    <definedName name="NAPOLEON" localSheetId="13">#REF!</definedName>
    <definedName name="NAPOLEON" localSheetId="15">#REF!</definedName>
    <definedName name="NAPOLEON" localSheetId="16">#REF!</definedName>
    <definedName name="NAPOLEON" localSheetId="2">#REF!</definedName>
    <definedName name="NAPOLEON" localSheetId="4">#REF!</definedName>
    <definedName name="NAPOLEON" localSheetId="6">#REF!</definedName>
    <definedName name="NAPOLEON" localSheetId="7">#REF!</definedName>
    <definedName name="NAPOLEON" localSheetId="8">#REF!</definedName>
    <definedName name="NEASG" localSheetId="0">#REF!</definedName>
    <definedName name="NEASG" localSheetId="12">#REF!</definedName>
    <definedName name="NEASG" localSheetId="13">#REF!</definedName>
    <definedName name="NEASG" localSheetId="15">#REF!</definedName>
    <definedName name="NEASG" localSheetId="16">#REF!</definedName>
    <definedName name="NEASG" localSheetId="2">#REF!</definedName>
    <definedName name="NEASG" localSheetId="4">#REF!</definedName>
    <definedName name="NEASG" localSheetId="6">#REF!</definedName>
    <definedName name="NEASG" localSheetId="7">#REF!</definedName>
    <definedName name="NEASG" localSheetId="8">#REF!</definedName>
    <definedName name="New_Wilmington" localSheetId="0">#REF!</definedName>
    <definedName name="New_Wilmington" localSheetId="12">#REF!</definedName>
    <definedName name="New_Wilmington" localSheetId="13">#REF!</definedName>
    <definedName name="New_Wilmington" localSheetId="15">#REF!</definedName>
    <definedName name="New_Wilmington" localSheetId="16">#REF!</definedName>
    <definedName name="New_Wilmington" localSheetId="2">#REF!</definedName>
    <definedName name="New_Wilmington" localSheetId="4">#REF!</definedName>
    <definedName name="New_Wilmington" localSheetId="6">#REF!</definedName>
    <definedName name="New_Wilmington" localSheetId="7">#REF!</definedName>
    <definedName name="New_Wilmington" localSheetId="8">#REF!</definedName>
    <definedName name="NEWTON_FALLS" localSheetId="0">#REF!</definedName>
    <definedName name="NEWTON_FALLS" localSheetId="12">#REF!</definedName>
    <definedName name="NEWTON_FALLS" localSheetId="13">#REF!</definedName>
    <definedName name="NEWTON_FALLS" localSheetId="15">#REF!</definedName>
    <definedName name="NEWTON_FALLS" localSheetId="16">#REF!</definedName>
    <definedName name="NEWTON_FALLS" localSheetId="2">#REF!</definedName>
    <definedName name="NEWTON_FALLS" localSheetId="4">#REF!</definedName>
    <definedName name="NEWTON_FALLS" localSheetId="6">#REF!</definedName>
    <definedName name="NEWTON_FALLS" localSheetId="7">#REF!</definedName>
    <definedName name="NEWTON_FALLS" localSheetId="8">#REF!</definedName>
    <definedName name="NILES" localSheetId="0">#REF!</definedName>
    <definedName name="NILES" localSheetId="12">#REF!</definedName>
    <definedName name="NILES" localSheetId="13">#REF!</definedName>
    <definedName name="NILES" localSheetId="15">#REF!</definedName>
    <definedName name="NILES" localSheetId="16">#REF!</definedName>
    <definedName name="NILES" localSheetId="2">#REF!</definedName>
    <definedName name="NILES" localSheetId="4">#REF!</definedName>
    <definedName name="NILES" localSheetId="6">#REF!</definedName>
    <definedName name="NILES" localSheetId="7">#REF!</definedName>
    <definedName name="NILES" localSheetId="8">#REF!</definedName>
    <definedName name="NWASG" localSheetId="0">#REF!</definedName>
    <definedName name="NWASG" localSheetId="12">#REF!</definedName>
    <definedName name="NWASG" localSheetId="13">#REF!</definedName>
    <definedName name="NWASG" localSheetId="15">#REF!</definedName>
    <definedName name="NWASG" localSheetId="16">#REF!</definedName>
    <definedName name="NWASG" localSheetId="2">#REF!</definedName>
    <definedName name="NWASG" localSheetId="4">#REF!</definedName>
    <definedName name="NWASG" localSheetId="6">#REF!</definedName>
    <definedName name="NWASG" localSheetId="7">#REF!</definedName>
    <definedName name="NWASG" localSheetId="8">#REF!</definedName>
    <definedName name="OAK_HARBOR" localSheetId="0">#REF!</definedName>
    <definedName name="OAK_HARBOR" localSheetId="12">#REF!</definedName>
    <definedName name="OAK_HARBOR" localSheetId="13">#REF!</definedName>
    <definedName name="OAK_HARBOR" localSheetId="15">#REF!</definedName>
    <definedName name="OAK_HARBOR" localSheetId="16">#REF!</definedName>
    <definedName name="OAK_HARBOR" localSheetId="2">#REF!</definedName>
    <definedName name="OAK_HARBOR" localSheetId="4">#REF!</definedName>
    <definedName name="OAK_HARBOR" localSheetId="6">#REF!</definedName>
    <definedName name="OAK_HARBOR" localSheetId="7">#REF!</definedName>
    <definedName name="OAK_HARBOR" localSheetId="8">#REF!</definedName>
    <definedName name="OBERLIN" localSheetId="0">#REF!</definedName>
    <definedName name="OBERLIN" localSheetId="12">#REF!</definedName>
    <definedName name="OBERLIN" localSheetId="13">#REF!</definedName>
    <definedName name="OBERLIN" localSheetId="15">#REF!</definedName>
    <definedName name="OBERLIN" localSheetId="16">#REF!</definedName>
    <definedName name="OBERLIN" localSheetId="2">#REF!</definedName>
    <definedName name="OBERLIN" localSheetId="4">#REF!</definedName>
    <definedName name="OBERLIN" localSheetId="6">#REF!</definedName>
    <definedName name="OBERLIN" localSheetId="7">#REF!</definedName>
    <definedName name="OBERLIN" localSheetId="8">#REF!</definedName>
    <definedName name="PEMBERVILLE" localSheetId="0">#REF!</definedName>
    <definedName name="PEMBERVILLE" localSheetId="12">#REF!</definedName>
    <definedName name="PEMBERVILLE" localSheetId="13">#REF!</definedName>
    <definedName name="PEMBERVILLE" localSheetId="15">#REF!</definedName>
    <definedName name="PEMBERVILLE" localSheetId="16">#REF!</definedName>
    <definedName name="PEMBERVILLE" localSheetId="2">#REF!</definedName>
    <definedName name="PEMBERVILLE" localSheetId="4">#REF!</definedName>
    <definedName name="PEMBERVILLE" localSheetId="6">#REF!</definedName>
    <definedName name="PEMBERVILLE" localSheetId="7">#REF!</definedName>
    <definedName name="PEMBERVILLE" localSheetId="8">#REF!</definedName>
    <definedName name="PIONEER" localSheetId="0">#REF!</definedName>
    <definedName name="PIONEER" localSheetId="12">#REF!</definedName>
    <definedName name="PIONEER" localSheetId="13">#REF!</definedName>
    <definedName name="PIONEER" localSheetId="15">#REF!</definedName>
    <definedName name="PIONEER" localSheetId="16">#REF!</definedName>
    <definedName name="PIONEER" localSheetId="2">#REF!</definedName>
    <definedName name="PIONEER" localSheetId="4">#REF!</definedName>
    <definedName name="PIONEER" localSheetId="6">#REF!</definedName>
    <definedName name="PIONEER" localSheetId="7">#REF!</definedName>
    <definedName name="PIONEER" localSheetId="8">#REF!</definedName>
    <definedName name="_xlnm.Print_Area" localSheetId="0">'Cover Sheets'!$A$1:$D$33</definedName>
    <definedName name="_xlnm.Print_Area" localSheetId="1">'Summary-TrueUp'!$A$1:$F$54</definedName>
    <definedName name="_xlnm.Print_Area" localSheetId="12">'WS11-FacChanges'!$A$1:$B$18</definedName>
    <definedName name="_xlnm.Print_Area" localSheetId="13">'WS12-SSCD'!$A$1:$D$18</definedName>
    <definedName name="_xlnm.Print_Area" localSheetId="15">'WS14-Reg'!$A$1:$D$19</definedName>
    <definedName name="_xlnm.Print_Area" localSheetId="16">'WS15-Res'!$A$1:$D$23</definedName>
    <definedName name="_xlnm.Print_Area" localSheetId="2">'WS1-RateBase'!$A$1:$I$174</definedName>
    <definedName name="_xlnm.Print_Area" localSheetId="3">'WS2-AllocFactor'!$A$1:$H$36</definedName>
    <definedName name="_xlnm.Print_Area" localSheetId="6">'WS5-BPUz'!$A$1:$M$19</definedName>
    <definedName name="_xlnm.Print_Area" localSheetId="7">'WS6-BPUr'!$A$1:$M$19</definedName>
    <definedName name="_xlnm.Print_Area" localSheetId="9">'WS8-TranFac'!$A$1:$I$505</definedName>
    <definedName name="PROSPECT" localSheetId="0">#REF!</definedName>
    <definedName name="PROSPECT" localSheetId="12">#REF!</definedName>
    <definedName name="PROSPECT" localSheetId="13">#REF!</definedName>
    <definedName name="PROSPECT" localSheetId="15">#REF!</definedName>
    <definedName name="PROSPECT" localSheetId="16">#REF!</definedName>
    <definedName name="PROSPECT" localSheetId="2">#REF!</definedName>
    <definedName name="PROSPECT" localSheetId="4">#REF!</definedName>
    <definedName name="PROSPECT" localSheetId="6">#REF!</definedName>
    <definedName name="PROSPECT" localSheetId="7">#REF!</definedName>
    <definedName name="PROSPECT" localSheetId="8">#REF!</definedName>
    <definedName name="revreq" localSheetId="0">#REF!</definedName>
    <definedName name="revreq" localSheetId="12">#REF!</definedName>
    <definedName name="revreq" localSheetId="13">#REF!</definedName>
    <definedName name="revreq" localSheetId="15">#REF!</definedName>
    <definedName name="revreq" localSheetId="16">#REF!</definedName>
    <definedName name="revreq" localSheetId="2">#REF!</definedName>
    <definedName name="revreq" localSheetId="4">#REF!</definedName>
    <definedName name="revreq" localSheetId="6">#REF!</definedName>
    <definedName name="revreq" localSheetId="7">#REF!</definedName>
    <definedName name="revreq" localSheetId="8">#REF!</definedName>
    <definedName name="SEVILLE" localSheetId="0">#REF!</definedName>
    <definedName name="SEVILLE" localSheetId="12">#REF!</definedName>
    <definedName name="SEVILLE" localSheetId="13">#REF!</definedName>
    <definedName name="SEVILLE" localSheetId="15">#REF!</definedName>
    <definedName name="SEVILLE" localSheetId="16">#REF!</definedName>
    <definedName name="SEVILLE" localSheetId="2">#REF!</definedName>
    <definedName name="SEVILLE" localSheetId="4">#REF!</definedName>
    <definedName name="SEVILLE" localSheetId="6">#REF!</definedName>
    <definedName name="SEVILLE" localSheetId="7">#REF!</definedName>
    <definedName name="SEVILLE" localSheetId="8">#REF!</definedName>
    <definedName name="SOUTH_VIENNA" localSheetId="0">#REF!</definedName>
    <definedName name="SOUTH_VIENNA" localSheetId="12">#REF!</definedName>
    <definedName name="SOUTH_VIENNA" localSheetId="13">#REF!</definedName>
    <definedName name="SOUTH_VIENNA" localSheetId="15">#REF!</definedName>
    <definedName name="SOUTH_VIENNA" localSheetId="16">#REF!</definedName>
    <definedName name="SOUTH_VIENNA" localSheetId="2">#REF!</definedName>
    <definedName name="SOUTH_VIENNA" localSheetId="4">#REF!</definedName>
    <definedName name="SOUTH_VIENNA" localSheetId="6">#REF!</definedName>
    <definedName name="SOUTH_VIENNA" localSheetId="7">#REF!</definedName>
    <definedName name="SOUTH_VIENNA" localSheetId="8">#REF!</definedName>
    <definedName name="TOTAL_COLUMBIANA" localSheetId="0">#REF!</definedName>
    <definedName name="TOTAL_COLUMBIANA" localSheetId="12">#REF!</definedName>
    <definedName name="TOTAL_COLUMBIANA" localSheetId="13">#REF!</definedName>
    <definedName name="TOTAL_COLUMBIANA" localSheetId="15">#REF!</definedName>
    <definedName name="TOTAL_COLUMBIANA" localSheetId="16">#REF!</definedName>
    <definedName name="TOTAL_COLUMBIANA" localSheetId="2">#REF!</definedName>
    <definedName name="TOTAL_COLUMBIANA" localSheetId="4">#REF!</definedName>
    <definedName name="TOTAL_COLUMBIANA" localSheetId="6">#REF!</definedName>
    <definedName name="TOTAL_COLUMBIANA" localSheetId="7">#REF!</definedName>
    <definedName name="TOTAL_COLUMBIANA" localSheetId="8">#REF!</definedName>
    <definedName name="Total_Grove_City" localSheetId="0">#REF!</definedName>
    <definedName name="Total_Grove_City" localSheetId="12">#REF!</definedName>
    <definedName name="Total_Grove_City" localSheetId="13">#REF!</definedName>
    <definedName name="Total_Grove_City" localSheetId="15">#REF!</definedName>
    <definedName name="Total_Grove_City" localSheetId="16">#REF!</definedName>
    <definedName name="Total_Grove_City" localSheetId="2">#REF!</definedName>
    <definedName name="Total_Grove_City" localSheetId="4">#REF!</definedName>
    <definedName name="Total_Grove_City" localSheetId="6">#REF!</definedName>
    <definedName name="Total_Grove_City" localSheetId="7">#REF!</definedName>
    <definedName name="Total_Grove_City" localSheetId="8">#REF!</definedName>
    <definedName name="TOTAL_HUDSON" localSheetId="0">#REF!</definedName>
    <definedName name="TOTAL_HUDSON" localSheetId="12">#REF!</definedName>
    <definedName name="TOTAL_HUDSON" localSheetId="13">#REF!</definedName>
    <definedName name="TOTAL_HUDSON" localSheetId="15">#REF!</definedName>
    <definedName name="TOTAL_HUDSON" localSheetId="16">#REF!</definedName>
    <definedName name="TOTAL_HUDSON" localSheetId="2">#REF!</definedName>
    <definedName name="TOTAL_HUDSON" localSheetId="4">#REF!</definedName>
    <definedName name="TOTAL_HUDSON" localSheetId="6">#REF!</definedName>
    <definedName name="TOTAL_HUDSON" localSheetId="7">#REF!</definedName>
    <definedName name="TOTAL_HUDSON" localSheetId="8">#REF!</definedName>
    <definedName name="TOTAL_MONTPELIER" localSheetId="0">#REF!</definedName>
    <definedName name="TOTAL_MONTPELIER" localSheetId="12">#REF!</definedName>
    <definedName name="TOTAL_MONTPELIER" localSheetId="13">#REF!</definedName>
    <definedName name="TOTAL_MONTPELIER" localSheetId="15">#REF!</definedName>
    <definedName name="TOTAL_MONTPELIER" localSheetId="16">#REF!</definedName>
    <definedName name="TOTAL_MONTPELIER" localSheetId="2">#REF!</definedName>
    <definedName name="TOTAL_MONTPELIER" localSheetId="4">#REF!</definedName>
    <definedName name="TOTAL_MONTPELIER" localSheetId="6">#REF!</definedName>
    <definedName name="TOTAL_MONTPELIER" localSheetId="7">#REF!</definedName>
    <definedName name="TOTAL_MONTPELIER" localSheetId="8">#REF!</definedName>
    <definedName name="TOTAL_WOODVILLE" localSheetId="0">#REF!</definedName>
    <definedName name="TOTAL_WOODVILLE" localSheetId="12">#REF!</definedName>
    <definedName name="TOTAL_WOODVILLE" localSheetId="13">#REF!</definedName>
    <definedName name="TOTAL_WOODVILLE" localSheetId="15">#REF!</definedName>
    <definedName name="TOTAL_WOODVILLE" localSheetId="16">#REF!</definedName>
    <definedName name="TOTAL_WOODVILLE" localSheetId="2">#REF!</definedName>
    <definedName name="TOTAL_WOODVILLE" localSheetId="4">#REF!</definedName>
    <definedName name="TOTAL_WOODVILLE" localSheetId="6">#REF!</definedName>
    <definedName name="TOTAL_WOODVILLE" localSheetId="7">#REF!</definedName>
    <definedName name="TOTAL_WOODVILLE" localSheetId="8">#REF!</definedName>
    <definedName name="WADSWORTH" localSheetId="0">#REF!</definedName>
    <definedName name="WADSWORTH" localSheetId="12">#REF!</definedName>
    <definedName name="WADSWORTH" localSheetId="13">#REF!</definedName>
    <definedName name="WADSWORTH" localSheetId="15">#REF!</definedName>
    <definedName name="WADSWORTH" localSheetId="16">#REF!</definedName>
    <definedName name="WADSWORTH" localSheetId="2">#REF!</definedName>
    <definedName name="WADSWORTH" localSheetId="4">#REF!</definedName>
    <definedName name="WADSWORTH" localSheetId="6">#REF!</definedName>
    <definedName name="WADSWORTH" localSheetId="7">#REF!</definedName>
    <definedName name="WADSWORTH" localSheetId="8">#REF!</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1" hidden="1">{#N/A,#N/A,FALSE,"FXCH-GEN Net";#N/A,#N/A,FALSE,"S&amp;D-net";#N/A,#N/A,FALSE,"Reactive-net";#N/A,#N/A,FALSE,"Reactive-IS-net";#N/A,#N/A,FALSE,"Regulation-net";#N/A,#N/A,FALSE,"Reserves-net";#N/A,#N/A,FALSE,"FXCH-COE Net"}</definedName>
    <definedName name="wrn.Ancillary._.Services._.1996." localSheetId="12" hidden="1">{#N/A,#N/A,FALSE,"FXCH-GEN Net";#N/A,#N/A,FALSE,"S&amp;D-net";#N/A,#N/A,FALSE,"Reactive-net";#N/A,#N/A,FALSE,"Reactive-IS-net";#N/A,#N/A,FALSE,"Regulation-net";#N/A,#N/A,FALSE,"Reserves-net";#N/A,#N/A,FALSE,"FXCH-COE Net"}</definedName>
    <definedName name="wrn.Ancillary._.Services._.1996." localSheetId="13" hidden="1">{#N/A,#N/A,FALSE,"FXCH-GEN Net";#N/A,#N/A,FALSE,"S&amp;D-net";#N/A,#N/A,FALSE,"Reactive-net";#N/A,#N/A,FALSE,"Reactive-IS-net";#N/A,#N/A,FALSE,"Regulation-net";#N/A,#N/A,FALSE,"Reserves-net";#N/A,#N/A,FALSE,"FXCH-COE Net"}</definedName>
    <definedName name="wrn.Ancillary._.Services._.1996." localSheetId="14" hidden="1">{#N/A,#N/A,FALSE,"FXCH-GEN Net";#N/A,#N/A,FALSE,"S&amp;D-net";#N/A,#N/A,FALSE,"Reactive-net";#N/A,#N/A,FALSE,"Reactive-IS-net";#N/A,#N/A,FALSE,"Regulation-net";#N/A,#N/A,FALSE,"Reserves-net";#N/A,#N/A,FALSE,"FXCH-COE Net"}</definedName>
    <definedName name="wrn.Ancillary._.Services._.1996." localSheetId="15" hidden="1">{#N/A,#N/A,FALSE,"FXCH-GEN Net";#N/A,#N/A,FALSE,"S&amp;D-net";#N/A,#N/A,FALSE,"Reactive-net";#N/A,#N/A,FALSE,"Reactive-IS-net";#N/A,#N/A,FALSE,"Regulation-net";#N/A,#N/A,FALSE,"Reserves-net";#N/A,#N/A,FALSE,"FXCH-COE Net"}</definedName>
    <definedName name="wrn.Ancillary._.Services._.1996." localSheetId="16"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localSheetId="9"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1" hidden="1">{#N/A,#N/A,FALSE,"FXCH-GEN Net";#N/A,#N/A,FALSE,"S&amp;D-net";#N/A,#N/A,FALSE,"Reactive-net";#N/A,#N/A,FALSE,"Reactive-IS-net";#N/A,#N/A,FALSE,"Regulation-net";#N/A,#N/A,FALSE,"Reserves-net";#N/A,#N/A,FALSE,"FXCH-COE Net"}</definedName>
    <definedName name="wrn.Ancillary._.Services._.1996._1" localSheetId="12" hidden="1">{#N/A,#N/A,FALSE,"FXCH-GEN Net";#N/A,#N/A,FALSE,"S&amp;D-net";#N/A,#N/A,FALSE,"Reactive-net";#N/A,#N/A,FALSE,"Reactive-IS-net";#N/A,#N/A,FALSE,"Regulation-net";#N/A,#N/A,FALSE,"Reserves-net";#N/A,#N/A,FALSE,"FXCH-COE Net"}</definedName>
    <definedName name="wrn.Ancillary._.Services._.1996._1" localSheetId="13" hidden="1">{#N/A,#N/A,FALSE,"FXCH-GEN Net";#N/A,#N/A,FALSE,"S&amp;D-net";#N/A,#N/A,FALSE,"Reactive-net";#N/A,#N/A,FALSE,"Reactive-IS-net";#N/A,#N/A,FALSE,"Regulation-net";#N/A,#N/A,FALSE,"Reserves-net";#N/A,#N/A,FALSE,"FXCH-COE Net"}</definedName>
    <definedName name="wrn.Ancillary._.Services._.1996._1" localSheetId="14" hidden="1">{#N/A,#N/A,FALSE,"FXCH-GEN Net";#N/A,#N/A,FALSE,"S&amp;D-net";#N/A,#N/A,FALSE,"Reactive-net";#N/A,#N/A,FALSE,"Reactive-IS-net";#N/A,#N/A,FALSE,"Regulation-net";#N/A,#N/A,FALSE,"Reserves-net";#N/A,#N/A,FALSE,"FXCH-COE Net"}</definedName>
    <definedName name="wrn.Ancillary._.Services._.1996._1" localSheetId="15" hidden="1">{#N/A,#N/A,FALSE,"FXCH-GEN Net";#N/A,#N/A,FALSE,"S&amp;D-net";#N/A,#N/A,FALSE,"Reactive-net";#N/A,#N/A,FALSE,"Reactive-IS-net";#N/A,#N/A,FALSE,"Regulation-net";#N/A,#N/A,FALSE,"Reserves-net";#N/A,#N/A,FALSE,"FXCH-COE Net"}</definedName>
    <definedName name="wrn.Ancillary._.Services._.1996._1" localSheetId="16"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localSheetId="9" hidden="1">{#N/A,#N/A,FALSE,"FXCH-GEN Net";#N/A,#N/A,FALSE,"S&amp;D-net";#N/A,#N/A,FALSE,"Reactive-net";#N/A,#N/A,FALSE,"Reactive-IS-net";#N/A,#N/A,FALSE,"Regulation-net";#N/A,#N/A,FALSE,"Reserves-net";#N/A,#N/A,FALSE,"FXCH-COE Net"}</definedName>
  </definedNames>
  <calcPr calcId="152511"/>
</workbook>
</file>

<file path=xl/calcChain.xml><?xml version="1.0" encoding="utf-8"?>
<calcChain xmlns="http://schemas.openxmlformats.org/spreadsheetml/2006/main">
  <c r="A1" i="4" l="1"/>
  <c r="A1" i="25"/>
  <c r="K117" i="3" l="1"/>
  <c r="C122" i="3"/>
  <c r="C11" i="2" l="1"/>
  <c r="A9" i="2"/>
  <c r="A8" i="2"/>
  <c r="A3" i="9" l="1"/>
  <c r="A1" i="9"/>
  <c r="A3" i="10"/>
  <c r="A1" i="10"/>
  <c r="A3" i="5"/>
  <c r="A1" i="5"/>
  <c r="A3" i="6"/>
  <c r="A1" i="6"/>
  <c r="A3" i="22"/>
  <c r="A1" i="22"/>
  <c r="A3" i="24"/>
  <c r="A1" i="24"/>
  <c r="B3" i="23"/>
  <c r="A3" i="1"/>
  <c r="A1" i="1"/>
  <c r="A3" i="28"/>
  <c r="A1" i="28"/>
  <c r="A3" i="27"/>
  <c r="A1" i="27"/>
  <c r="A3" i="26"/>
  <c r="A1" i="26"/>
  <c r="A3" i="3"/>
  <c r="A1" i="3"/>
  <c r="A3" i="25" l="1"/>
  <c r="A1" i="2" l="1"/>
  <c r="A1" i="11"/>
  <c r="F35" i="4" l="1"/>
  <c r="G16" i="4"/>
  <c r="F13" i="4"/>
  <c r="F17" i="4" s="1"/>
  <c r="G35" i="4"/>
  <c r="F8" i="4"/>
  <c r="F10" i="4" s="1"/>
  <c r="F26" i="4" s="1"/>
  <c r="G8" i="4"/>
  <c r="G10" i="4" s="1"/>
  <c r="G26" i="4" s="1"/>
  <c r="I21" i="28"/>
  <c r="E21" i="28"/>
  <c r="I20" i="28"/>
  <c r="G20" i="28"/>
  <c r="I19" i="28"/>
  <c r="G19" i="28"/>
  <c r="I18" i="28"/>
  <c r="G18" i="28"/>
  <c r="I17" i="28"/>
  <c r="G17" i="28"/>
  <c r="I16" i="28"/>
  <c r="G16" i="28"/>
  <c r="I15" i="28"/>
  <c r="G15" i="28"/>
  <c r="I14" i="28"/>
  <c r="G14" i="28"/>
  <c r="I13" i="28"/>
  <c r="G13" i="28"/>
  <c r="I12" i="28"/>
  <c r="G12" i="28"/>
  <c r="I11" i="28"/>
  <c r="G11" i="28"/>
  <c r="I10" i="28"/>
  <c r="G10" i="28"/>
  <c r="I9" i="28"/>
  <c r="G9" i="28"/>
  <c r="I8" i="28"/>
  <c r="G8" i="28"/>
  <c r="G21" i="28" s="1"/>
  <c r="I5" i="28" s="1"/>
  <c r="I6" i="28" s="1"/>
  <c r="G6" i="28"/>
  <c r="F6" i="28"/>
  <c r="E6" i="28"/>
  <c r="A7" i="27"/>
  <c r="A8" i="27" s="1"/>
  <c r="A9" i="27" s="1"/>
  <c r="A10" i="27" s="1"/>
  <c r="A11" i="27" s="1"/>
  <c r="A12" i="27" s="1"/>
  <c r="A13" i="27" s="1"/>
  <c r="A14" i="27" s="1"/>
  <c r="A15" i="27" s="1"/>
  <c r="A16" i="27" s="1"/>
  <c r="A17" i="27" s="1"/>
  <c r="A18" i="27" s="1"/>
  <c r="A19" i="27" s="1"/>
  <c r="A7" i="26"/>
  <c r="A8" i="26" s="1"/>
  <c r="A9" i="26" s="1"/>
  <c r="A10" i="26" s="1"/>
  <c r="A11" i="26" s="1"/>
  <c r="A12" i="26" s="1"/>
  <c r="A13" i="26" s="1"/>
  <c r="A14" i="26" s="1"/>
  <c r="A15" i="26" s="1"/>
  <c r="A16" i="26" s="1"/>
  <c r="A17" i="26" s="1"/>
  <c r="A18" i="26" s="1"/>
  <c r="A19" i="26" s="1"/>
  <c r="F14" i="4" l="1"/>
  <c r="F27" i="4" s="1"/>
  <c r="F18" i="4"/>
  <c r="F28" i="4" s="1"/>
  <c r="G13" i="4"/>
  <c r="G17" i="4" s="1"/>
  <c r="G18" i="4" s="1"/>
  <c r="G28" i="4" s="1"/>
  <c r="G14" i="4" l="1"/>
  <c r="G27" i="4" s="1"/>
  <c r="C121" i="3" l="1"/>
  <c r="L6" i="26" l="1"/>
  <c r="M6" i="26" s="1"/>
  <c r="L6" i="27"/>
  <c r="M6" i="27" s="1"/>
  <c r="H284" i="1" l="1"/>
  <c r="H502" i="1" s="1"/>
  <c r="H503" i="1" s="1"/>
  <c r="H283" i="1"/>
  <c r="I283" i="1" s="1"/>
  <c r="H282" i="1"/>
  <c r="I282" i="1" s="1"/>
  <c r="H281" i="1"/>
  <c r="I281" i="1" s="1"/>
  <c r="E17" i="25"/>
  <c r="E16" i="25"/>
  <c r="E15" i="25"/>
  <c r="E14" i="25"/>
  <c r="E13" i="25"/>
  <c r="E12" i="25"/>
  <c r="E11" i="25"/>
  <c r="E10" i="25"/>
  <c r="E9" i="25"/>
  <c r="E8" i="25"/>
  <c r="E7" i="25"/>
  <c r="E6" i="25"/>
  <c r="H145" i="25"/>
  <c r="H131" i="25"/>
  <c r="H117" i="25"/>
  <c r="H103" i="25"/>
  <c r="H47" i="25"/>
  <c r="E145" i="25" l="1"/>
  <c r="H144" i="25"/>
  <c r="H143" i="25"/>
  <c r="H142" i="25"/>
  <c r="H141" i="25"/>
  <c r="H140" i="25"/>
  <c r="H139" i="25"/>
  <c r="G139" i="25"/>
  <c r="H138" i="25"/>
  <c r="H137" i="25"/>
  <c r="H136" i="25"/>
  <c r="H135" i="25"/>
  <c r="H134" i="25"/>
  <c r="H133" i="25"/>
  <c r="H132" i="25"/>
  <c r="E131" i="25"/>
  <c r="H130" i="25"/>
  <c r="H129" i="25"/>
  <c r="H128" i="25"/>
  <c r="H127" i="25"/>
  <c r="H126" i="25"/>
  <c r="H125" i="25"/>
  <c r="G125" i="25"/>
  <c r="H124" i="25"/>
  <c r="H123" i="25"/>
  <c r="H122" i="25"/>
  <c r="H121" i="25"/>
  <c r="H120" i="25"/>
  <c r="H119" i="25"/>
  <c r="H118" i="25"/>
  <c r="E117" i="25"/>
  <c r="H116" i="25"/>
  <c r="H115" i="25"/>
  <c r="H114" i="25"/>
  <c r="H113" i="25"/>
  <c r="H112" i="25"/>
  <c r="H111" i="25"/>
  <c r="G111" i="25"/>
  <c r="H110" i="25"/>
  <c r="H109" i="25"/>
  <c r="H108" i="25"/>
  <c r="H107" i="25"/>
  <c r="H106" i="25"/>
  <c r="H105" i="25"/>
  <c r="H104" i="25"/>
  <c r="E59" i="25" l="1"/>
  <c r="E58" i="25"/>
  <c r="E57" i="25"/>
  <c r="E56" i="25"/>
  <c r="H56" i="25" s="1"/>
  <c r="E55" i="25"/>
  <c r="E54" i="25"/>
  <c r="E53" i="25"/>
  <c r="H53" i="25" s="1"/>
  <c r="E52" i="25"/>
  <c r="H52" i="25" s="1"/>
  <c r="E51" i="25"/>
  <c r="E50" i="25"/>
  <c r="E49" i="25"/>
  <c r="H49" i="25" s="1"/>
  <c r="E48" i="25"/>
  <c r="H48" i="25" s="1"/>
  <c r="H60" i="25"/>
  <c r="H59" i="25"/>
  <c r="H58" i="25"/>
  <c r="H57" i="25"/>
  <c r="H55" i="25"/>
  <c r="G55" i="25"/>
  <c r="F55" i="25"/>
  <c r="H54" i="25"/>
  <c r="H51" i="25"/>
  <c r="H50" i="25"/>
  <c r="E47" i="25"/>
  <c r="H46" i="25"/>
  <c r="H45" i="25"/>
  <c r="H44" i="25"/>
  <c r="H43" i="25"/>
  <c r="H42" i="25"/>
  <c r="H41" i="25"/>
  <c r="G41" i="25"/>
  <c r="F41" i="25"/>
  <c r="H40" i="25"/>
  <c r="H39" i="25"/>
  <c r="H38" i="25"/>
  <c r="H37" i="25"/>
  <c r="H36" i="25"/>
  <c r="H35" i="25"/>
  <c r="H34" i="25"/>
  <c r="E33" i="25"/>
  <c r="H32" i="25"/>
  <c r="H31" i="25"/>
  <c r="H30" i="25"/>
  <c r="H29" i="25"/>
  <c r="H28" i="25"/>
  <c r="H27" i="25"/>
  <c r="G27" i="25"/>
  <c r="F27" i="25"/>
  <c r="H26" i="25"/>
  <c r="H25" i="25"/>
  <c r="H24" i="25"/>
  <c r="H23" i="25"/>
  <c r="H22" i="25"/>
  <c r="H21" i="25"/>
  <c r="H20" i="25"/>
  <c r="H17" i="25"/>
  <c r="H16" i="25"/>
  <c r="H15" i="25"/>
  <c r="H14" i="25"/>
  <c r="H13" i="25"/>
  <c r="H12" i="25"/>
  <c r="H11" i="25"/>
  <c r="H10" i="25"/>
  <c r="H9" i="25"/>
  <c r="H8" i="25"/>
  <c r="H7" i="25"/>
  <c r="H18" i="25"/>
  <c r="G13" i="25"/>
  <c r="E89" i="25"/>
  <c r="H88" i="25"/>
  <c r="H87" i="25"/>
  <c r="H86" i="25"/>
  <c r="H85" i="25"/>
  <c r="H84" i="25"/>
  <c r="H83" i="25"/>
  <c r="G83" i="25"/>
  <c r="F83" i="25"/>
  <c r="H82" i="25"/>
  <c r="H81" i="25"/>
  <c r="H80" i="25"/>
  <c r="H79" i="25"/>
  <c r="H78" i="25"/>
  <c r="H77" i="25"/>
  <c r="H76" i="25"/>
  <c r="E75" i="25"/>
  <c r="H102" i="25"/>
  <c r="H63" i="25"/>
  <c r="H64" i="25"/>
  <c r="H65" i="25"/>
  <c r="H66" i="25"/>
  <c r="H67" i="25"/>
  <c r="H68" i="25"/>
  <c r="H69" i="25"/>
  <c r="H70" i="25"/>
  <c r="H71" i="25"/>
  <c r="H72" i="25"/>
  <c r="H73" i="25"/>
  <c r="H74" i="25"/>
  <c r="H62" i="25"/>
  <c r="E19" i="25" l="1"/>
  <c r="H75" i="25"/>
  <c r="H61" i="25"/>
  <c r="E61" i="25"/>
  <c r="H89" i="25"/>
  <c r="H6" i="25"/>
  <c r="H33" i="25"/>
  <c r="H19" i="25"/>
  <c r="E103" i="25" l="1"/>
  <c r="H91" i="25"/>
  <c r="H92" i="25"/>
  <c r="H93" i="25"/>
  <c r="H94" i="25"/>
  <c r="H95" i="25"/>
  <c r="H96" i="25"/>
  <c r="H97" i="25"/>
  <c r="H98" i="25"/>
  <c r="H99" i="25"/>
  <c r="H100" i="25"/>
  <c r="H101" i="25"/>
  <c r="H90" i="25"/>
  <c r="G69" i="25"/>
  <c r="G97" i="25"/>
  <c r="F97" i="25"/>
  <c r="E130" i="5" l="1"/>
  <c r="I111" i="5" l="1"/>
  <c r="I112" i="5"/>
  <c r="I113" i="5"/>
  <c r="G111" i="5"/>
  <c r="G112" i="5"/>
  <c r="I109" i="5"/>
  <c r="I110" i="5"/>
  <c r="G109" i="5"/>
  <c r="G110" i="5"/>
  <c r="I50" i="5"/>
  <c r="G50" i="5"/>
  <c r="G51" i="5"/>
  <c r="I51" i="5"/>
  <c r="C11" i="9" l="1"/>
  <c r="D45" i="11" l="1"/>
  <c r="I59" i="3" l="1"/>
  <c r="G59" i="3"/>
  <c r="E59" i="3" l="1"/>
  <c r="C59" i="3"/>
  <c r="E501" i="1" l="1"/>
  <c r="I57" i="3" l="1"/>
  <c r="G57" i="3"/>
  <c r="E57" i="3"/>
  <c r="C57" i="3"/>
  <c r="C114" i="3" l="1"/>
  <c r="C112" i="3"/>
  <c r="I7" i="3" l="1"/>
  <c r="C120" i="3" l="1"/>
  <c r="C119" i="3"/>
  <c r="E120" i="3"/>
  <c r="E119" i="3"/>
  <c r="C116" i="3"/>
  <c r="G112" i="3" l="1"/>
  <c r="E115" i="3"/>
  <c r="C115" i="3"/>
  <c r="E114" i="3"/>
  <c r="E112" i="3"/>
  <c r="C90" i="3"/>
  <c r="C89" i="3"/>
  <c r="C88" i="3"/>
  <c r="C87" i="3"/>
  <c r="C86" i="3"/>
  <c r="C85" i="3"/>
  <c r="C84" i="3"/>
  <c r="C83" i="3"/>
  <c r="E94" i="3"/>
  <c r="E93" i="3"/>
  <c r="E89" i="3"/>
  <c r="E88" i="3"/>
  <c r="E87" i="3"/>
  <c r="E86" i="3"/>
  <c r="E85" i="3"/>
  <c r="E84" i="3"/>
  <c r="E83" i="3"/>
  <c r="E38" i="3" l="1"/>
  <c r="C38" i="3"/>
  <c r="C14" i="3"/>
  <c r="E14" i="3"/>
  <c r="I112" i="3" l="1"/>
  <c r="A6" i="24" l="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B7" i="23"/>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83" i="23" s="1"/>
  <c r="B84" i="23" s="1"/>
  <c r="B85" i="23" s="1"/>
  <c r="B86" i="23" s="1"/>
  <c r="B87" i="23" s="1"/>
  <c r="B88" i="23" s="1"/>
  <c r="B89" i="23" s="1"/>
  <c r="B90" i="23" s="1"/>
  <c r="B91" i="23" s="1"/>
  <c r="B92" i="23" s="1"/>
  <c r="B93" i="23" s="1"/>
  <c r="B94" i="23" s="1"/>
  <c r="B95" i="23" s="1"/>
  <c r="B96" i="23" s="1"/>
  <c r="B97" i="23" s="1"/>
  <c r="B98" i="23" s="1"/>
  <c r="B99" i="23" s="1"/>
  <c r="B100" i="23" s="1"/>
  <c r="B101" i="23" s="1"/>
  <c r="B102" i="23" s="1"/>
  <c r="B103" i="23" s="1"/>
  <c r="B104" i="23" s="1"/>
  <c r="B105" i="23" s="1"/>
  <c r="B106" i="23" s="1"/>
  <c r="B107" i="23" s="1"/>
  <c r="B108" i="23" s="1"/>
  <c r="B109" i="23" s="1"/>
  <c r="B110" i="23" s="1"/>
  <c r="B111" i="23" s="1"/>
  <c r="B112" i="23" s="1"/>
  <c r="B113" i="23" s="1"/>
  <c r="B114" i="23" s="1"/>
  <c r="B115" i="23" s="1"/>
  <c r="B116" i="23" s="1"/>
  <c r="B117" i="23" s="1"/>
  <c r="B118" i="23" s="1"/>
  <c r="B119" i="23" s="1"/>
  <c r="B120" i="23" s="1"/>
  <c r="B121" i="23" s="1"/>
  <c r="B122" i="23" s="1"/>
  <c r="B123" i="23" s="1"/>
  <c r="B124" i="23" s="1"/>
  <c r="B125" i="23" s="1"/>
  <c r="B126" i="23" s="1"/>
  <c r="B127" i="23" s="1"/>
  <c r="B128" i="23" s="1"/>
  <c r="B129" i="23" s="1"/>
  <c r="B130" i="23" s="1"/>
  <c r="B131" i="23" s="1"/>
  <c r="B132" i="23" s="1"/>
  <c r="B133" i="23" s="1"/>
  <c r="B134" i="23" s="1"/>
  <c r="B135" i="23" s="1"/>
  <c r="B136" i="23" s="1"/>
  <c r="B137" i="23" s="1"/>
  <c r="B138" i="23" s="1"/>
  <c r="B139" i="23" s="1"/>
  <c r="B140" i="23" s="1"/>
  <c r="B141" i="23" s="1"/>
  <c r="B142" i="23" s="1"/>
  <c r="B143" i="23" s="1"/>
  <c r="B144" i="23" s="1"/>
  <c r="B145" i="23" s="1"/>
  <c r="B146" i="23" s="1"/>
  <c r="B147" i="23" s="1"/>
  <c r="B148" i="23" s="1"/>
  <c r="B149" i="23" s="1"/>
  <c r="B150" i="23" s="1"/>
  <c r="B151" i="23" s="1"/>
  <c r="B152" i="23" s="1"/>
  <c r="B153" i="23" s="1"/>
  <c r="B154" i="23" s="1"/>
  <c r="B155" i="23" s="1"/>
  <c r="B156" i="23" s="1"/>
  <c r="B157" i="23" s="1"/>
  <c r="B158" i="23" s="1"/>
  <c r="B159" i="23" s="1"/>
  <c r="B160" i="23" s="1"/>
  <c r="B161" i="23" s="1"/>
  <c r="B162" i="23" s="1"/>
  <c r="B163" i="23" s="1"/>
  <c r="B164" i="23" s="1"/>
  <c r="B165" i="23" s="1"/>
  <c r="B166" i="23" s="1"/>
  <c r="B167" i="23" s="1"/>
  <c r="B168" i="23" s="1"/>
  <c r="B169" i="23" s="1"/>
  <c r="B170" i="23" s="1"/>
  <c r="B171" i="23" s="1"/>
  <c r="B172" i="23" s="1"/>
  <c r="B173" i="23" s="1"/>
  <c r="B174" i="23" s="1"/>
  <c r="B175" i="23" s="1"/>
  <c r="B176" i="23" s="1"/>
  <c r="B177" i="23" s="1"/>
  <c r="B178" i="23" s="1"/>
  <c r="B179" i="23" s="1"/>
  <c r="B180" i="23" s="1"/>
  <c r="B181" i="23" s="1"/>
  <c r="B182" i="23" s="1"/>
  <c r="B183" i="23" s="1"/>
  <c r="B184" i="23" s="1"/>
  <c r="B185" i="23" s="1"/>
  <c r="B186" i="23" s="1"/>
  <c r="B187" i="23" s="1"/>
  <c r="B188" i="23" s="1"/>
  <c r="B189" i="23" s="1"/>
  <c r="B190" i="23" s="1"/>
  <c r="B191" i="23" s="1"/>
  <c r="B192" i="23" s="1"/>
  <c r="B193" i="23" s="1"/>
  <c r="B194" i="23" s="1"/>
  <c r="B195" i="23" s="1"/>
  <c r="B196" i="23" s="1"/>
  <c r="B197" i="23" s="1"/>
  <c r="B198" i="23" s="1"/>
  <c r="B199" i="23" s="1"/>
  <c r="B200" i="23" s="1"/>
  <c r="B201" i="23" s="1"/>
  <c r="B202" i="23" s="1"/>
  <c r="B203" i="23" s="1"/>
  <c r="B204" i="23" s="1"/>
  <c r="B205" i="23" s="1"/>
  <c r="B206" i="23" s="1"/>
  <c r="B207" i="23" s="1"/>
  <c r="B208" i="23" s="1"/>
  <c r="B209" i="23" s="1"/>
  <c r="B210" i="23" s="1"/>
  <c r="B211" i="23" s="1"/>
  <c r="B212" i="23" s="1"/>
  <c r="B213" i="23" s="1"/>
  <c r="B214" i="23" s="1"/>
  <c r="B215" i="23" s="1"/>
  <c r="B216" i="23" s="1"/>
  <c r="B217" i="23" s="1"/>
  <c r="B218" i="23" s="1"/>
  <c r="B219" i="23" s="1"/>
  <c r="B220" i="23" s="1"/>
  <c r="B221" i="23" s="1"/>
  <c r="B222" i="23" s="1"/>
  <c r="B223" i="23" s="1"/>
  <c r="B224" i="23" s="1"/>
  <c r="B225" i="23" s="1"/>
  <c r="B226" i="23" s="1"/>
  <c r="B227" i="23" s="1"/>
  <c r="B228" i="23" s="1"/>
  <c r="B229" i="23" s="1"/>
  <c r="B230" i="23" s="1"/>
  <c r="B231" i="23" s="1"/>
  <c r="B232" i="23" s="1"/>
  <c r="B233" i="23" s="1"/>
  <c r="B234" i="23" s="1"/>
  <c r="B235" i="23" s="1"/>
  <c r="B236" i="23" s="1"/>
  <c r="B237" i="23" s="1"/>
  <c r="B238" i="23" s="1"/>
  <c r="B239" i="23" s="1"/>
  <c r="B240" i="23" s="1"/>
  <c r="B241" i="23" s="1"/>
  <c r="B242" i="23" s="1"/>
  <c r="B243" i="23" s="1"/>
  <c r="B244" i="23" s="1"/>
  <c r="B245" i="23" s="1"/>
  <c r="B246" i="23" s="1"/>
  <c r="B247" i="23" s="1"/>
  <c r="B248" i="23" s="1"/>
  <c r="B249" i="23" s="1"/>
  <c r="B250" i="23" s="1"/>
  <c r="B251" i="23" s="1"/>
  <c r="B252" i="23" s="1"/>
  <c r="B253" i="23" s="1"/>
  <c r="B254" i="23" s="1"/>
  <c r="B255" i="23" s="1"/>
  <c r="B256" i="23" s="1"/>
  <c r="B257" i="23" s="1"/>
  <c r="B258" i="23" s="1"/>
  <c r="B259" i="23" s="1"/>
  <c r="B260" i="23" s="1"/>
  <c r="B261" i="23" s="1"/>
  <c r="B262" i="23" s="1"/>
  <c r="B263" i="23" s="1"/>
  <c r="B264" i="23" s="1"/>
  <c r="B265" i="23" s="1"/>
  <c r="B266" i="23" s="1"/>
  <c r="B267" i="23" s="1"/>
  <c r="B268" i="23" s="1"/>
  <c r="B269" i="23" s="1"/>
  <c r="B270" i="23" s="1"/>
  <c r="B271" i="23" s="1"/>
  <c r="B272" i="23" s="1"/>
  <c r="B273" i="23" s="1"/>
  <c r="B274" i="23" s="1"/>
  <c r="B275" i="23" s="1"/>
  <c r="B276" i="23" s="1"/>
  <c r="B277" i="23" s="1"/>
  <c r="B278" i="23" s="1"/>
  <c r="B279" i="23" s="1"/>
  <c r="B280" i="23" s="1"/>
  <c r="B281" i="23" s="1"/>
  <c r="B282" i="23" s="1"/>
  <c r="B283" i="23" s="1"/>
  <c r="B284" i="23" s="1"/>
  <c r="B285" i="23" s="1"/>
  <c r="B286" i="23" s="1"/>
  <c r="B287" i="23" s="1"/>
  <c r="B288" i="23" s="1"/>
  <c r="B289" i="23" s="1"/>
  <c r="B290" i="23" s="1"/>
  <c r="B291" i="23" s="1"/>
  <c r="B292" i="23" s="1"/>
  <c r="B293" i="23" s="1"/>
  <c r="B294" i="23" s="1"/>
  <c r="B295" i="23" s="1"/>
  <c r="B296" i="23" s="1"/>
  <c r="B297" i="23" s="1"/>
  <c r="B298" i="23" s="1"/>
  <c r="B299" i="23" s="1"/>
  <c r="B300" i="23" s="1"/>
  <c r="B301" i="23" s="1"/>
  <c r="B302" i="23" s="1"/>
  <c r="B303" i="23" s="1"/>
  <c r="B304" i="23" s="1"/>
  <c r="B305" i="23" s="1"/>
  <c r="B306" i="23" s="1"/>
  <c r="B307" i="23" s="1"/>
  <c r="B308" i="23" s="1"/>
  <c r="B309" i="23" s="1"/>
  <c r="B310" i="23" s="1"/>
  <c r="B311" i="23" s="1"/>
  <c r="B312" i="23" s="1"/>
  <c r="B313" i="23" s="1"/>
  <c r="B314" i="23" s="1"/>
  <c r="B315" i="23" s="1"/>
  <c r="B316" i="23" s="1"/>
  <c r="B317" i="23" s="1"/>
  <c r="B318" i="23" s="1"/>
  <c r="B319" i="23" s="1"/>
  <c r="B320" i="23" s="1"/>
  <c r="B321" i="23" s="1"/>
  <c r="B322" i="23" s="1"/>
  <c r="B323" i="23" s="1"/>
  <c r="B324" i="23" s="1"/>
  <c r="B325" i="23" s="1"/>
  <c r="B326" i="23" s="1"/>
  <c r="B327" i="23" s="1"/>
  <c r="B328" i="23" s="1"/>
  <c r="B329" i="23" s="1"/>
  <c r="B330" i="23" s="1"/>
  <c r="B331" i="23" s="1"/>
  <c r="B332" i="23" s="1"/>
  <c r="B333" i="23" s="1"/>
  <c r="B334" i="23" s="1"/>
  <c r="B335" i="23" s="1"/>
  <c r="B336" i="23" s="1"/>
  <c r="B337" i="23" s="1"/>
  <c r="B338" i="23" s="1"/>
  <c r="B339" i="23" s="1"/>
  <c r="B341" i="23" s="1"/>
  <c r="B342" i="23" s="1"/>
  <c r="B343" i="23" s="1"/>
  <c r="B344" i="23" s="1"/>
  <c r="B345" i="23" s="1"/>
  <c r="B346" i="23" s="1"/>
  <c r="B347" i="23" s="1"/>
  <c r="B348" i="23" s="1"/>
  <c r="B349" i="23" s="1"/>
  <c r="B350" i="23" s="1"/>
  <c r="B351" i="23" s="1"/>
  <c r="B352" i="23" s="1"/>
  <c r="B356" i="23" s="1"/>
  <c r="B357" i="23" s="1"/>
  <c r="B358" i="23" s="1"/>
  <c r="B359" i="23" s="1"/>
  <c r="B360" i="23" s="1"/>
  <c r="B361" i="23" s="1"/>
  <c r="B362" i="23" s="1"/>
  <c r="B363" i="23" s="1"/>
  <c r="B364" i="23" s="1"/>
  <c r="B365" i="23" s="1"/>
  <c r="B366" i="23" s="1"/>
  <c r="B367" i="23" s="1"/>
  <c r="B368" i="23" s="1"/>
  <c r="B369" i="23" s="1"/>
  <c r="B370" i="23" s="1"/>
  <c r="B371" i="23" s="1"/>
  <c r="B372" i="23" s="1"/>
  <c r="B373" i="23" s="1"/>
  <c r="B374" i="23" s="1"/>
  <c r="B375" i="23" s="1"/>
  <c r="B376" i="23" s="1"/>
  <c r="B377" i="23" s="1"/>
  <c r="B378" i="23" s="1"/>
  <c r="B379" i="23" s="1"/>
  <c r="B380" i="23" s="1"/>
  <c r="B381" i="23" s="1"/>
  <c r="B382" i="23" s="1"/>
  <c r="B383" i="23" s="1"/>
  <c r="B384" i="23" s="1"/>
  <c r="B385" i="23" s="1"/>
  <c r="B386" i="23" s="1"/>
  <c r="B387" i="23" s="1"/>
  <c r="B388" i="23" s="1"/>
  <c r="B389" i="23" s="1"/>
  <c r="B390" i="23" s="1"/>
  <c r="B391" i="23" s="1"/>
  <c r="B392" i="23" s="1"/>
  <c r="B393" i="23" s="1"/>
  <c r="B394" i="23" s="1"/>
  <c r="B395" i="23" s="1"/>
  <c r="B396" i="23" s="1"/>
  <c r="B397" i="23" s="1"/>
  <c r="B398" i="23" s="1"/>
  <c r="B400" i="23" s="1"/>
  <c r="B401" i="23" s="1"/>
  <c r="B402" i="23" s="1"/>
  <c r="B403" i="23" s="1"/>
  <c r="B404" i="23" s="1"/>
  <c r="B405" i="23" s="1"/>
  <c r="B406" i="23" s="1"/>
  <c r="B407" i="23" s="1"/>
  <c r="B408" i="23" s="1"/>
  <c r="B409" i="23" s="1"/>
  <c r="B410" i="23" s="1"/>
  <c r="B411" i="23" s="1"/>
  <c r="B412" i="23" s="1"/>
  <c r="B413" i="23" s="1"/>
  <c r="B414" i="23" s="1"/>
  <c r="B415" i="23" s="1"/>
  <c r="B416" i="23" s="1"/>
  <c r="B417" i="23" s="1"/>
  <c r="B418" i="23" s="1"/>
  <c r="B419" i="23" s="1"/>
  <c r="B420" i="23" s="1"/>
  <c r="B421" i="23" s="1"/>
  <c r="B422" i="23" s="1"/>
  <c r="B423" i="23" s="1"/>
  <c r="B424" i="23" s="1"/>
  <c r="B425" i="23" s="1"/>
  <c r="B426" i="23" s="1"/>
  <c r="B427" i="23" s="1"/>
  <c r="B428" i="23" s="1"/>
  <c r="B429" i="23" s="1"/>
  <c r="B430" i="23" s="1"/>
  <c r="B431" i="23" s="1"/>
  <c r="B432" i="23" s="1"/>
  <c r="B433" i="23" s="1"/>
  <c r="B434" i="23" s="1"/>
  <c r="B435" i="23" s="1"/>
  <c r="B436" i="23" s="1"/>
  <c r="B437" i="23" s="1"/>
  <c r="B438" i="23" s="1"/>
  <c r="B439" i="23" s="1"/>
  <c r="B440" i="23" s="1"/>
  <c r="B441" i="23" s="1"/>
  <c r="B442" i="23" s="1"/>
  <c r="B443" i="23" s="1"/>
  <c r="B444" i="23" s="1"/>
  <c r="B445" i="23" s="1"/>
  <c r="B446" i="23" s="1"/>
  <c r="B447" i="23" s="1"/>
  <c r="B448" i="23" s="1"/>
  <c r="B449" i="23" s="1"/>
  <c r="B450" i="23" s="1"/>
  <c r="B451" i="23" s="1"/>
  <c r="B452" i="23" s="1"/>
  <c r="B453" i="23" s="1"/>
  <c r="B454" i="23" s="1"/>
  <c r="B455" i="23" s="1"/>
  <c r="B456" i="23" s="1"/>
  <c r="B457" i="23" s="1"/>
  <c r="B458" i="23" s="1"/>
  <c r="B459" i="23" s="1"/>
  <c r="B460" i="23" s="1"/>
  <c r="B461" i="23" s="1"/>
  <c r="B462" i="23" s="1"/>
  <c r="B463" i="23" s="1"/>
  <c r="B464" i="23" s="1"/>
  <c r="B465" i="23" s="1"/>
  <c r="B466" i="23" s="1"/>
  <c r="B467" i="23" s="1"/>
  <c r="B468" i="23" s="1"/>
  <c r="B469" i="23" s="1"/>
  <c r="B470" i="23" s="1"/>
  <c r="B471" i="23" s="1"/>
  <c r="B472" i="23" s="1"/>
  <c r="B473" i="23" s="1"/>
  <c r="B474" i="23" s="1"/>
  <c r="B475" i="23" s="1"/>
  <c r="B476" i="23" s="1"/>
  <c r="B477" i="23" s="1"/>
  <c r="B478" i="23" s="1"/>
  <c r="B479" i="23" s="1"/>
  <c r="B480" i="23" s="1"/>
  <c r="B481" i="23" s="1"/>
  <c r="B482" i="23" s="1"/>
  <c r="B483" i="23" s="1"/>
  <c r="B484" i="23" s="1"/>
  <c r="B485" i="23" s="1"/>
  <c r="B486" i="23" s="1"/>
  <c r="B487" i="23" s="1"/>
  <c r="B488" i="23" s="1"/>
  <c r="B489" i="23" s="1"/>
  <c r="B490" i="23" s="1"/>
  <c r="B491" i="23" s="1"/>
  <c r="B492" i="23" s="1"/>
  <c r="B493" i="23" s="1"/>
  <c r="B494" i="23" s="1"/>
  <c r="B495" i="23" s="1"/>
  <c r="B496" i="23" s="1"/>
  <c r="B497" i="23" s="1"/>
  <c r="B498" i="23" s="1"/>
  <c r="B499" i="23" s="1"/>
  <c r="B500" i="23" s="1"/>
  <c r="B501" i="23" s="1"/>
  <c r="B502" i="23" s="1"/>
  <c r="B503" i="23" s="1"/>
  <c r="B504" i="23" s="1"/>
  <c r="B505" i="23" s="1"/>
  <c r="B506" i="23" s="1"/>
  <c r="B507" i="23" s="1"/>
  <c r="B508" i="23" s="1"/>
  <c r="B509" i="23" s="1"/>
  <c r="B510" i="23" s="1"/>
  <c r="B511" i="23" s="1"/>
  <c r="B512" i="23" s="1"/>
  <c r="B513" i="23" s="1"/>
  <c r="B514" i="23" s="1"/>
  <c r="B515" i="23" s="1"/>
  <c r="B516" i="23" s="1"/>
  <c r="B517" i="23" s="1"/>
  <c r="B518" i="23" s="1"/>
  <c r="B519" i="23" s="1"/>
  <c r="B520" i="23" s="1"/>
  <c r="B521" i="23" s="1"/>
  <c r="B522" i="23" s="1"/>
  <c r="B523" i="23" s="1"/>
  <c r="B524" i="23" s="1"/>
  <c r="B525" i="23" s="1"/>
  <c r="B526" i="23" s="1"/>
  <c r="B527" i="23" s="1"/>
  <c r="B528" i="23" s="1"/>
  <c r="B529" i="23" s="1"/>
  <c r="B530" i="23" s="1"/>
  <c r="B531" i="23" s="1"/>
  <c r="B532" i="23" s="1"/>
  <c r="B533" i="23" s="1"/>
  <c r="B534" i="23" s="1"/>
  <c r="B535" i="23" s="1"/>
  <c r="B536" i="23" s="1"/>
  <c r="B537" i="23" s="1"/>
  <c r="B538" i="23" s="1"/>
  <c r="B539" i="23" s="1"/>
  <c r="B540" i="23" s="1"/>
  <c r="B541" i="23" s="1"/>
  <c r="B542" i="23" s="1"/>
  <c r="B543" i="23" s="1"/>
  <c r="B544" i="23" s="1"/>
  <c r="B545" i="23" s="1"/>
  <c r="B546" i="23" s="1"/>
  <c r="B547" i="23" s="1"/>
  <c r="B548" i="23" s="1"/>
  <c r="B549" i="23" s="1"/>
  <c r="B550" i="23" s="1"/>
  <c r="B551" i="23" s="1"/>
  <c r="B552" i="23" s="1"/>
  <c r="B553" i="23" s="1"/>
  <c r="B554" i="23" s="1"/>
  <c r="B555" i="23" s="1"/>
  <c r="B556" i="23" s="1"/>
  <c r="B557" i="23" s="1"/>
  <c r="B558" i="23" s="1"/>
  <c r="B559" i="23" s="1"/>
  <c r="B560" i="23" s="1"/>
  <c r="B561" i="23" s="1"/>
  <c r="B562" i="23" s="1"/>
  <c r="B563" i="23" s="1"/>
  <c r="B564" i="23" s="1"/>
  <c r="B565" i="23" s="1"/>
  <c r="B566" i="23" s="1"/>
  <c r="B567" i="23" s="1"/>
  <c r="B568" i="23" s="1"/>
  <c r="B569" i="23" s="1"/>
  <c r="B570" i="23" s="1"/>
  <c r="B571" i="23" s="1"/>
  <c r="B572" i="23" s="1"/>
  <c r="B573" i="23" s="1"/>
  <c r="B574" i="23" s="1"/>
  <c r="B575" i="23" s="1"/>
  <c r="B576" i="23" s="1"/>
  <c r="B577" i="23" s="1"/>
  <c r="B578" i="23" s="1"/>
  <c r="B579" i="23" s="1"/>
  <c r="B580" i="23" s="1"/>
  <c r="B581" i="23" s="1"/>
  <c r="B582" i="23" s="1"/>
  <c r="B583" i="23" s="1"/>
  <c r="B584" i="23" s="1"/>
  <c r="B585" i="23" s="1"/>
  <c r="B586" i="23" s="1"/>
  <c r="B587" i="23" s="1"/>
  <c r="B588" i="23" s="1"/>
  <c r="B589" i="23" s="1"/>
  <c r="B590" i="23" s="1"/>
  <c r="B591" i="23" s="1"/>
  <c r="B592" i="23" s="1"/>
  <c r="B593" i="23" s="1"/>
  <c r="B594" i="23" s="1"/>
  <c r="B595" i="23" s="1"/>
  <c r="B596" i="23" s="1"/>
  <c r="B597" i="23" s="1"/>
  <c r="B598" i="23" s="1"/>
  <c r="B599" i="23" s="1"/>
  <c r="B600" i="23" s="1"/>
  <c r="B601" i="23" s="1"/>
  <c r="B602" i="23" s="1"/>
  <c r="B603" i="23" s="1"/>
  <c r="B604" i="23" s="1"/>
  <c r="B605" i="23" s="1"/>
  <c r="B606" i="23" s="1"/>
  <c r="B607" i="23" s="1"/>
  <c r="B608" i="23" s="1"/>
  <c r="B609" i="23" s="1"/>
  <c r="B610" i="23" s="1"/>
  <c r="B611" i="23" s="1"/>
  <c r="B612" i="23" s="1"/>
  <c r="B613" i="23" s="1"/>
  <c r="B614" i="23" s="1"/>
  <c r="B615" i="23" s="1"/>
  <c r="B616" i="23" s="1"/>
  <c r="B617" i="23" s="1"/>
  <c r="B618" i="23" s="1"/>
  <c r="B619" i="23" s="1"/>
  <c r="B620" i="23" s="1"/>
  <c r="B621" i="23" s="1"/>
  <c r="B622" i="23" s="1"/>
  <c r="B623" i="23" s="1"/>
  <c r="B624" i="23" s="1"/>
  <c r="B625" i="23" s="1"/>
  <c r="B626" i="23" s="1"/>
  <c r="B627" i="23" s="1"/>
  <c r="B628" i="23" s="1"/>
  <c r="B629" i="23" s="1"/>
  <c r="B630" i="23" s="1"/>
  <c r="B631" i="23" s="1"/>
  <c r="B632" i="23" s="1"/>
  <c r="B633" i="23" s="1"/>
  <c r="B634" i="23" s="1"/>
  <c r="B635" i="23" s="1"/>
  <c r="B636" i="23" s="1"/>
  <c r="B637" i="23" s="1"/>
  <c r="B638" i="23" s="1"/>
  <c r="B639" i="23" s="1"/>
  <c r="B640" i="23" s="1"/>
  <c r="B641" i="23" s="1"/>
  <c r="B642" i="23" s="1"/>
  <c r="B643" i="23" s="1"/>
  <c r="B644" i="23" s="1"/>
  <c r="B645" i="23" s="1"/>
  <c r="B646" i="23" s="1"/>
  <c r="B647" i="23" s="1"/>
  <c r="B648" i="23" s="1"/>
  <c r="B649" i="23" s="1"/>
  <c r="B650" i="23" s="1"/>
  <c r="B651" i="23" s="1"/>
  <c r="B652" i="23" s="1"/>
  <c r="B653" i="23" s="1"/>
  <c r="B654" i="23" s="1"/>
  <c r="B655" i="23" s="1"/>
  <c r="B656" i="23" s="1"/>
  <c r="B657" i="23" s="1"/>
  <c r="B658" i="23" s="1"/>
  <c r="B659" i="23" s="1"/>
  <c r="B660" i="23" s="1"/>
  <c r="B661" i="23" s="1"/>
  <c r="B662" i="23" s="1"/>
  <c r="B663" i="23" s="1"/>
  <c r="B664" i="23" s="1"/>
  <c r="B665" i="23" s="1"/>
  <c r="B666" i="23" s="1"/>
  <c r="B667" i="23" s="1"/>
  <c r="B668" i="23" s="1"/>
  <c r="B669" i="23" s="1"/>
  <c r="B670" i="23" s="1"/>
  <c r="B671" i="23" s="1"/>
  <c r="B672" i="23" s="1"/>
  <c r="B673" i="23" s="1"/>
  <c r="B674" i="23" s="1"/>
  <c r="B675" i="23" s="1"/>
  <c r="B676" i="23" s="1"/>
  <c r="B677" i="23" s="1"/>
  <c r="B678" i="23" s="1"/>
  <c r="B679" i="23" s="1"/>
  <c r="B680" i="23" s="1"/>
  <c r="B681" i="23" s="1"/>
  <c r="B682" i="23" s="1"/>
  <c r="B683" i="23" s="1"/>
  <c r="B684" i="23" s="1"/>
  <c r="B685" i="23" s="1"/>
  <c r="B686" i="23" s="1"/>
  <c r="B687" i="23" s="1"/>
  <c r="B688" i="23" s="1"/>
  <c r="B689" i="23" s="1"/>
  <c r="B690" i="23" s="1"/>
  <c r="B691" i="23" s="1"/>
  <c r="B692" i="23" s="1"/>
  <c r="B693" i="23" s="1"/>
  <c r="B694" i="23" s="1"/>
  <c r="B695" i="23" s="1"/>
  <c r="B696" i="23" s="1"/>
  <c r="B697" i="23" s="1"/>
  <c r="B698" i="23" s="1"/>
  <c r="B699" i="23" s="1"/>
  <c r="B700" i="23" s="1"/>
  <c r="B701" i="23" s="1"/>
  <c r="B702" i="23" s="1"/>
  <c r="B703" i="23" s="1"/>
  <c r="B704" i="23" s="1"/>
  <c r="B705" i="23" s="1"/>
  <c r="B706" i="23" s="1"/>
  <c r="B707" i="23" s="1"/>
  <c r="B708" i="23" s="1"/>
  <c r="B709" i="23" s="1"/>
  <c r="B710" i="23" s="1"/>
  <c r="B711" i="23" s="1"/>
  <c r="B712" i="23" s="1"/>
  <c r="B713" i="23" s="1"/>
  <c r="B714" i="23" s="1"/>
  <c r="B715" i="23" s="1"/>
  <c r="B716" i="23" s="1"/>
  <c r="B717" i="23" s="1"/>
  <c r="B718" i="23" s="1"/>
  <c r="B719" i="23" s="1"/>
  <c r="B720" i="23" s="1"/>
  <c r="B721" i="23" s="1"/>
  <c r="B722" i="23" s="1"/>
  <c r="B723" i="23" s="1"/>
  <c r="B724" i="23" s="1"/>
  <c r="B725" i="23" s="1"/>
  <c r="B726" i="23" s="1"/>
  <c r="B727" i="23" s="1"/>
  <c r="B728" i="23" s="1"/>
  <c r="B729" i="23" s="1"/>
  <c r="B730" i="23" s="1"/>
  <c r="B731" i="23" s="1"/>
  <c r="B732" i="23" s="1"/>
  <c r="B733" i="23" s="1"/>
  <c r="B734" i="23" s="1"/>
  <c r="B735" i="23" s="1"/>
  <c r="B736" i="23" s="1"/>
  <c r="B737" i="23" s="1"/>
  <c r="B738" i="23" s="1"/>
  <c r="B739" i="23" s="1"/>
  <c r="B740" i="23" s="1"/>
  <c r="B741" i="23" s="1"/>
  <c r="B742" i="23" s="1"/>
  <c r="B743" i="23" s="1"/>
  <c r="B744" i="23" s="1"/>
  <c r="B745" i="23" s="1"/>
  <c r="B746" i="23" s="1"/>
  <c r="B747" i="23" s="1"/>
  <c r="B748" i="23" s="1"/>
  <c r="B749" i="23" s="1"/>
  <c r="B750" i="23" s="1"/>
  <c r="B751" i="23" s="1"/>
  <c r="B752" i="23" s="1"/>
  <c r="B753" i="23" s="1"/>
  <c r="B754" i="23" s="1"/>
  <c r="B755" i="23" s="1"/>
  <c r="B756" i="23" s="1"/>
  <c r="B757" i="23" s="1"/>
  <c r="B758" i="23" s="1"/>
  <c r="B759" i="23" s="1"/>
  <c r="B760" i="23" s="1"/>
  <c r="B761" i="23" s="1"/>
  <c r="B762" i="23" s="1"/>
  <c r="B763" i="23" s="1"/>
  <c r="B764" i="23" s="1"/>
  <c r="B765" i="23" s="1"/>
  <c r="B766" i="23" s="1"/>
  <c r="B767" i="23" s="1"/>
  <c r="B768" i="23" s="1"/>
  <c r="B769" i="23" s="1"/>
  <c r="B770" i="23" s="1"/>
  <c r="B771" i="23" s="1"/>
  <c r="B772" i="23" s="1"/>
  <c r="B773" i="23" s="1"/>
  <c r="B774" i="23" s="1"/>
  <c r="B775" i="23" s="1"/>
  <c r="B776" i="23" s="1"/>
  <c r="B777" i="23" s="1"/>
  <c r="B778" i="23" s="1"/>
  <c r="B779" i="23" s="1"/>
  <c r="B780" i="23" s="1"/>
  <c r="B781" i="23" s="1"/>
  <c r="B782" i="23" s="1"/>
  <c r="B783" i="23" s="1"/>
  <c r="B784" i="23" s="1"/>
  <c r="B785" i="23" s="1"/>
  <c r="B786" i="23" s="1"/>
  <c r="B787" i="23" s="1"/>
  <c r="B788" i="23" s="1"/>
  <c r="A166" i="1" l="1"/>
  <c r="A167" i="1"/>
  <c r="A168" i="1"/>
  <c r="A169" i="1"/>
  <c r="A170" i="1" s="1"/>
  <c r="G361" i="1"/>
  <c r="I361" i="1" s="1"/>
  <c r="C18" i="11" l="1"/>
  <c r="D51" i="11" l="1"/>
  <c r="D48" i="11"/>
  <c r="D18" i="11" l="1"/>
  <c r="E280" i="1" l="1"/>
  <c r="E118" i="1"/>
  <c r="G38" i="3" l="1"/>
  <c r="G14" i="3"/>
  <c r="G7" i="3"/>
  <c r="E510" i="1" l="1"/>
  <c r="E508" i="1"/>
  <c r="E173" i="1"/>
  <c r="E463" i="1"/>
  <c r="E316" i="1"/>
  <c r="E289" i="1"/>
  <c r="E299" i="1" s="1"/>
  <c r="E281" i="1"/>
  <c r="E284" i="1" s="1"/>
  <c r="E214" i="1" l="1"/>
  <c r="E198" i="1"/>
  <c r="E181" i="1"/>
  <c r="E179" i="1"/>
  <c r="E135" i="1"/>
  <c r="I232" i="1" l="1"/>
  <c r="I178" i="1" l="1"/>
  <c r="G365" i="1"/>
  <c r="I365" i="1" s="1"/>
  <c r="G357" i="1"/>
  <c r="I357" i="1" s="1"/>
  <c r="C16" i="11" l="1"/>
  <c r="C8" i="11"/>
  <c r="G501" i="1" l="1"/>
  <c r="F501" i="1"/>
  <c r="I496" i="1"/>
  <c r="I497" i="1"/>
  <c r="I498" i="1"/>
  <c r="I501" i="1" s="1"/>
  <c r="I499" i="1"/>
  <c r="I500" i="1"/>
  <c r="E129" i="5" l="1"/>
  <c r="E128" i="5"/>
  <c r="E127" i="5"/>
  <c r="E126" i="5"/>
  <c r="E125" i="5"/>
  <c r="E124" i="5"/>
  <c r="E123" i="5"/>
  <c r="E122" i="5"/>
  <c r="E121" i="5"/>
  <c r="E120" i="5"/>
  <c r="E119" i="5"/>
  <c r="E118" i="5"/>
  <c r="E117" i="5"/>
  <c r="E116" i="5"/>
  <c r="E115" i="5"/>
  <c r="E114" i="5"/>
  <c r="E113" i="5"/>
  <c r="E108" i="5"/>
  <c r="E107" i="5"/>
  <c r="E106" i="5"/>
  <c r="E105" i="5"/>
  <c r="E104" i="5"/>
  <c r="E103" i="5"/>
  <c r="E102" i="5"/>
  <c r="E101" i="5"/>
  <c r="E100" i="5"/>
  <c r="E99" i="5"/>
  <c r="E98"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49" i="5"/>
  <c r="E53" i="5" s="1"/>
  <c r="E47" i="5"/>
  <c r="E46" i="5"/>
  <c r="E45" i="5"/>
  <c r="E44" i="5"/>
  <c r="E43" i="5"/>
  <c r="E42"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C13" i="9"/>
  <c r="C12" i="9"/>
  <c r="G113" i="5" l="1"/>
  <c r="E48" i="5"/>
  <c r="E97" i="5"/>
  <c r="C11" i="10"/>
  <c r="C15" i="11" l="1"/>
  <c r="I97" i="1" l="1"/>
  <c r="I199" i="1" l="1"/>
  <c r="I200" i="1"/>
  <c r="I315" i="1" l="1"/>
  <c r="I45" i="5" l="1"/>
  <c r="I46" i="5"/>
  <c r="G45" i="5"/>
  <c r="G46" i="5"/>
  <c r="G16" i="5"/>
  <c r="G17" i="5"/>
  <c r="G18" i="5"/>
  <c r="I17" i="5"/>
  <c r="I18" i="5"/>
  <c r="I19" i="5"/>
  <c r="G377" i="1" l="1"/>
  <c r="I377" i="1" s="1"/>
  <c r="A10" i="2" l="1"/>
  <c r="G260" i="1"/>
  <c r="A11" i="2" l="1"/>
  <c r="E41" i="5"/>
  <c r="I96" i="5"/>
  <c r="I95" i="5"/>
  <c r="G96" i="5"/>
  <c r="G95" i="5"/>
  <c r="I47" i="5"/>
  <c r="I44" i="5"/>
  <c r="G47" i="5"/>
  <c r="G44" i="5"/>
  <c r="I40" i="5"/>
  <c r="I39" i="5"/>
  <c r="G40" i="5"/>
  <c r="G39" i="5"/>
  <c r="F18" i="11" l="1"/>
  <c r="E260" i="1" l="1"/>
  <c r="I493" i="1" l="1"/>
  <c r="I489" i="1"/>
  <c r="E491" i="1" l="1"/>
  <c r="E494" i="1" s="1"/>
  <c r="F490" i="1"/>
  <c r="F491" i="1" l="1"/>
  <c r="I491" i="1" s="1"/>
  <c r="I490" i="1"/>
  <c r="F492" i="1"/>
  <c r="F494" i="1" s="1"/>
  <c r="D16" i="11" l="1"/>
  <c r="F16" i="11" s="1"/>
  <c r="F11" i="11" l="1"/>
  <c r="F10" i="11"/>
  <c r="F9" i="11"/>
  <c r="I16" i="5" l="1"/>
  <c r="I15" i="5"/>
  <c r="G15" i="5"/>
  <c r="G19" i="5"/>
  <c r="G20" i="5"/>
  <c r="K91" i="3" l="1"/>
  <c r="I189" i="1" l="1"/>
  <c r="I190" i="1"/>
  <c r="I191" i="1"/>
  <c r="I192" i="1"/>
  <c r="I202" i="1"/>
  <c r="I203" i="1"/>
  <c r="I209" i="1"/>
  <c r="I210" i="1"/>
  <c r="I211" i="1"/>
  <c r="I212" i="1"/>
  <c r="I213" i="1"/>
  <c r="I208" i="1"/>
  <c r="I222" i="1"/>
  <c r="I227" i="1"/>
  <c r="I231" i="1"/>
  <c r="I233" i="1"/>
  <c r="I234" i="1"/>
  <c r="I235" i="1"/>
  <c r="I238" i="1"/>
  <c r="I255" i="1"/>
  <c r="I258" i="1"/>
  <c r="I230" i="1"/>
  <c r="I182" i="1"/>
  <c r="I179" i="1"/>
  <c r="I154" i="1"/>
  <c r="I153" i="1"/>
  <c r="I152" i="1"/>
  <c r="I148" i="1"/>
  <c r="I139" i="1"/>
  <c r="I136" i="1"/>
  <c r="I125" i="1"/>
  <c r="I123" i="1"/>
  <c r="I119" i="1"/>
  <c r="I181" i="1"/>
  <c r="I183" i="1"/>
  <c r="I173" i="1"/>
  <c r="I135" i="1"/>
  <c r="I21" i="1" l="1"/>
  <c r="C17" i="11" l="1"/>
  <c r="C19" i="11"/>
  <c r="I236" i="1"/>
  <c r="I188" i="1"/>
  <c r="F260" i="1" l="1"/>
  <c r="F8" i="5"/>
  <c r="G8" i="5"/>
  <c r="I465" i="1" l="1"/>
  <c r="I466" i="1"/>
  <c r="C14" i="9" l="1"/>
  <c r="A7" i="6"/>
  <c r="A8" i="6" s="1"/>
  <c r="A9" i="6" s="1"/>
  <c r="A10" i="6" s="1"/>
  <c r="A11" i="6" s="1"/>
  <c r="A12" i="6" s="1"/>
  <c r="A13" i="6" s="1"/>
  <c r="A14" i="6" s="1"/>
  <c r="A15" i="6" s="1"/>
  <c r="A16" i="6" s="1"/>
  <c r="A17" i="6" s="1"/>
  <c r="A18" i="6" s="1"/>
  <c r="I129" i="5"/>
  <c r="G129" i="5"/>
  <c r="I128" i="5"/>
  <c r="G128" i="5"/>
  <c r="I127" i="5"/>
  <c r="G127" i="5"/>
  <c r="I126" i="5"/>
  <c r="G126" i="5"/>
  <c r="I125" i="5"/>
  <c r="G125" i="5"/>
  <c r="I124" i="5"/>
  <c r="G124" i="5"/>
  <c r="I123" i="5"/>
  <c r="G123" i="5"/>
  <c r="I122" i="5"/>
  <c r="G122" i="5"/>
  <c r="I121" i="5"/>
  <c r="G121" i="5"/>
  <c r="I120" i="5"/>
  <c r="G120" i="5"/>
  <c r="I119" i="5"/>
  <c r="G119" i="5"/>
  <c r="I118" i="5"/>
  <c r="G118" i="5"/>
  <c r="I117" i="5"/>
  <c r="G117" i="5"/>
  <c r="I116" i="5"/>
  <c r="G116" i="5"/>
  <c r="I115" i="5"/>
  <c r="G115" i="5"/>
  <c r="I114" i="5"/>
  <c r="G114" i="5"/>
  <c r="I108" i="5"/>
  <c r="G108" i="5"/>
  <c r="I107" i="5"/>
  <c r="G107" i="5"/>
  <c r="I106" i="5"/>
  <c r="G106" i="5"/>
  <c r="I105" i="5"/>
  <c r="G105" i="5"/>
  <c r="I104" i="5"/>
  <c r="G104" i="5"/>
  <c r="I103" i="5"/>
  <c r="G103" i="5"/>
  <c r="I102" i="5"/>
  <c r="G102" i="5"/>
  <c r="I101" i="5"/>
  <c r="G101" i="5"/>
  <c r="I100" i="5"/>
  <c r="G100" i="5"/>
  <c r="I99" i="5"/>
  <c r="G99" i="5"/>
  <c r="I98" i="5"/>
  <c r="G98" i="5"/>
  <c r="I94" i="5"/>
  <c r="G94" i="5"/>
  <c r="I93" i="5"/>
  <c r="G93" i="5"/>
  <c r="I92" i="5"/>
  <c r="G92" i="5"/>
  <c r="I91" i="5"/>
  <c r="G91" i="5"/>
  <c r="I90" i="5"/>
  <c r="G90" i="5"/>
  <c r="I89" i="5"/>
  <c r="G89" i="5"/>
  <c r="I88" i="5"/>
  <c r="G88" i="5"/>
  <c r="I87" i="5"/>
  <c r="G87" i="5"/>
  <c r="I86" i="5"/>
  <c r="G86" i="5"/>
  <c r="I85" i="5"/>
  <c r="G85" i="5"/>
  <c r="I84" i="5"/>
  <c r="G84" i="5"/>
  <c r="I83" i="5"/>
  <c r="G83" i="5"/>
  <c r="I82" i="5"/>
  <c r="G82" i="5"/>
  <c r="I81" i="5"/>
  <c r="G81" i="5"/>
  <c r="I80" i="5"/>
  <c r="G80" i="5"/>
  <c r="I79" i="5"/>
  <c r="G79" i="5"/>
  <c r="I78" i="5"/>
  <c r="G78" i="5"/>
  <c r="I77" i="5"/>
  <c r="G77" i="5"/>
  <c r="I76" i="5"/>
  <c r="G76" i="5"/>
  <c r="I75" i="5"/>
  <c r="G75" i="5"/>
  <c r="I74" i="5"/>
  <c r="G74" i="5"/>
  <c r="I73" i="5"/>
  <c r="G73" i="5"/>
  <c r="I72" i="5"/>
  <c r="G72" i="5"/>
  <c r="I71" i="5"/>
  <c r="G71" i="5"/>
  <c r="I70" i="5"/>
  <c r="G70" i="5"/>
  <c r="I69" i="5"/>
  <c r="G69" i="5"/>
  <c r="I68" i="5"/>
  <c r="G68" i="5"/>
  <c r="I67" i="5"/>
  <c r="G67" i="5"/>
  <c r="I66" i="5"/>
  <c r="G66" i="5"/>
  <c r="I65" i="5"/>
  <c r="G65" i="5"/>
  <c r="I64" i="5"/>
  <c r="G64" i="5"/>
  <c r="I63" i="5"/>
  <c r="G63" i="5"/>
  <c r="I62" i="5"/>
  <c r="G62" i="5"/>
  <c r="I61" i="5"/>
  <c r="G61" i="5"/>
  <c r="I60" i="5"/>
  <c r="G60" i="5"/>
  <c r="I59" i="5"/>
  <c r="G59" i="5"/>
  <c r="I58" i="5"/>
  <c r="G58" i="5"/>
  <c r="I57" i="5"/>
  <c r="G57" i="5"/>
  <c r="I56" i="5"/>
  <c r="G56" i="5"/>
  <c r="I55" i="5"/>
  <c r="G55" i="5"/>
  <c r="I54" i="5"/>
  <c r="G54" i="5"/>
  <c r="I52" i="5"/>
  <c r="G52" i="5"/>
  <c r="I49" i="5"/>
  <c r="G49" i="5"/>
  <c r="I43" i="5"/>
  <c r="G43" i="5"/>
  <c r="I42" i="5"/>
  <c r="G42" i="5"/>
  <c r="E5" i="5"/>
  <c r="I38" i="5"/>
  <c r="G38" i="5"/>
  <c r="I37" i="5"/>
  <c r="G37" i="5"/>
  <c r="I36" i="5"/>
  <c r="G36" i="5"/>
  <c r="I35" i="5"/>
  <c r="G35" i="5"/>
  <c r="I34" i="5"/>
  <c r="G34" i="5"/>
  <c r="I33" i="5"/>
  <c r="G33" i="5"/>
  <c r="I32" i="5"/>
  <c r="G32" i="5"/>
  <c r="I31" i="5"/>
  <c r="G31" i="5"/>
  <c r="I30" i="5"/>
  <c r="G30" i="5"/>
  <c r="I29" i="5"/>
  <c r="G29" i="5"/>
  <c r="I28" i="5"/>
  <c r="G28" i="5"/>
  <c r="I27" i="5"/>
  <c r="G27" i="5"/>
  <c r="I26" i="5"/>
  <c r="G26" i="5"/>
  <c r="I25" i="5"/>
  <c r="G25" i="5"/>
  <c r="I24" i="5"/>
  <c r="G24" i="5"/>
  <c r="I23" i="5"/>
  <c r="G23" i="5"/>
  <c r="I22" i="5"/>
  <c r="G22" i="5"/>
  <c r="I21" i="5"/>
  <c r="G21" i="5"/>
  <c r="I20" i="5"/>
  <c r="I14" i="5"/>
  <c r="G14" i="5"/>
  <c r="I13" i="5"/>
  <c r="G13" i="5"/>
  <c r="I12" i="5"/>
  <c r="G12" i="5"/>
  <c r="I11" i="5"/>
  <c r="G11" i="5"/>
  <c r="I10" i="5"/>
  <c r="G10" i="5"/>
  <c r="A6" i="4"/>
  <c r="A7" i="4"/>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7" i="3"/>
  <c r="A8" i="3" s="1"/>
  <c r="A9" i="3" s="1"/>
  <c r="A10" i="3" s="1"/>
  <c r="A11" i="3" s="1"/>
  <c r="A12" i="3" s="1"/>
  <c r="A13" i="3" s="1"/>
  <c r="A14" i="3" s="1"/>
  <c r="A15" i="3" s="1"/>
  <c r="A16" i="3" s="1"/>
  <c r="A17" i="3" s="1"/>
  <c r="A18" i="3" s="1"/>
  <c r="A19" i="3" s="1"/>
  <c r="E196" i="2"/>
  <c r="I12" i="3"/>
  <c r="E11" i="3"/>
  <c r="E16" i="3" s="1"/>
  <c r="D206" i="2" s="1"/>
  <c r="E205" i="2"/>
  <c r="A34" i="3"/>
  <c r="A38" i="3"/>
  <c r="A39" i="3" s="1"/>
  <c r="A40" i="3" s="1"/>
  <c r="A52" i="3"/>
  <c r="A56" i="3"/>
  <c r="A57" i="3" s="1"/>
  <c r="A58" i="3" s="1"/>
  <c r="A59" i="3" s="1"/>
  <c r="A60" i="3" s="1"/>
  <c r="A61" i="3" s="1"/>
  <c r="A62" i="3" s="1"/>
  <c r="A63" i="3" s="1"/>
  <c r="A64" i="3" s="1"/>
  <c r="A65" i="3" s="1"/>
  <c r="A66" i="3" s="1"/>
  <c r="A67" i="3" s="1"/>
  <c r="A68" i="3" s="1"/>
  <c r="A69" i="3" s="1"/>
  <c r="A70" i="3" s="1"/>
  <c r="A71" i="3" s="1"/>
  <c r="A72" i="3" s="1"/>
  <c r="A73" i="3" s="1"/>
  <c r="A74" i="3" s="1"/>
  <c r="A75" i="3" s="1"/>
  <c r="A76" i="3" s="1"/>
  <c r="A77" i="3" s="1"/>
  <c r="D214" i="2"/>
  <c r="E214" i="2"/>
  <c r="I60" i="3"/>
  <c r="A78" i="3"/>
  <c r="A82" i="3"/>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K83" i="3"/>
  <c r="K84" i="3"/>
  <c r="K85" i="3"/>
  <c r="K86" i="3"/>
  <c r="K87" i="3"/>
  <c r="K88" i="3"/>
  <c r="K89" i="3"/>
  <c r="K90" i="3"/>
  <c r="K92" i="3"/>
  <c r="K93" i="3"/>
  <c r="K94" i="3"/>
  <c r="E95" i="3"/>
  <c r="E122" i="3" s="1"/>
  <c r="G95" i="3"/>
  <c r="I95" i="3"/>
  <c r="G97" i="3"/>
  <c r="E12" i="4" s="1"/>
  <c r="A107" i="3"/>
  <c r="A111" i="3"/>
  <c r="A112" i="3"/>
  <c r="A113" i="3" s="1"/>
  <c r="A114" i="3" s="1"/>
  <c r="A115" i="3" s="1"/>
  <c r="A116" i="3" s="1"/>
  <c r="A118" i="3" s="1"/>
  <c r="A119" i="3" s="1"/>
  <c r="A120" i="3" s="1"/>
  <c r="A121" i="3" s="1"/>
  <c r="A122" i="3" s="1"/>
  <c r="A123" i="3" s="1"/>
  <c r="A124" i="3" s="1"/>
  <c r="A125" i="3" s="1"/>
  <c r="A126" i="3" s="1"/>
  <c r="A127" i="3" s="1"/>
  <c r="A128" i="3" s="1"/>
  <c r="A129" i="3" s="1"/>
  <c r="A130" i="3" s="1"/>
  <c r="A131" i="3" s="1"/>
  <c r="A132" i="3" s="1"/>
  <c r="A133" i="3" s="1"/>
  <c r="A134" i="3" s="1"/>
  <c r="G122" i="3"/>
  <c r="E177" i="2" s="1"/>
  <c r="E187" i="2" s="1"/>
  <c r="D52" i="2" s="1"/>
  <c r="I122" i="3"/>
  <c r="K116" i="3"/>
  <c r="K119" i="3"/>
  <c r="K120" i="3"/>
  <c r="K121" i="3"/>
  <c r="C6" i="6" s="1"/>
  <c r="F14" i="11"/>
  <c r="B21" i="2"/>
  <c r="B28" i="2" s="1"/>
  <c r="E21" i="2"/>
  <c r="F21" i="2"/>
  <c r="B22" i="2"/>
  <c r="B29" i="2" s="1"/>
  <c r="E22" i="2"/>
  <c r="E41" i="2" s="1"/>
  <c r="B23" i="2"/>
  <c r="B30" i="2" s="1"/>
  <c r="E23" i="2"/>
  <c r="F23" i="2"/>
  <c r="B24" i="2"/>
  <c r="B31" i="2" s="1"/>
  <c r="E24" i="2"/>
  <c r="B25" i="2"/>
  <c r="B32" i="2" s="1"/>
  <c r="E25" i="2"/>
  <c r="D31" i="2"/>
  <c r="D32" i="2"/>
  <c r="E38" i="2"/>
  <c r="D40" i="2"/>
  <c r="H53" i="2"/>
  <c r="E55" i="2"/>
  <c r="E56" i="2"/>
  <c r="E58" i="2"/>
  <c r="H61" i="2"/>
  <c r="B64" i="2"/>
  <c r="E65" i="2"/>
  <c r="D66" i="2"/>
  <c r="E66" i="2"/>
  <c r="B69" i="2"/>
  <c r="E74" i="2"/>
  <c r="E78" i="2"/>
  <c r="D80" i="2"/>
  <c r="D82" i="2"/>
  <c r="D85" i="2" s="1"/>
  <c r="D88" i="2" s="1"/>
  <c r="H102" i="2"/>
  <c r="H103" i="2"/>
  <c r="F108" i="2"/>
  <c r="F110" i="2"/>
  <c r="F111" i="2"/>
  <c r="D129" i="2"/>
  <c r="F127" i="2" s="1"/>
  <c r="F135" i="2"/>
  <c r="H144" i="2"/>
  <c r="B149" i="2"/>
  <c r="H149" i="2"/>
  <c r="F178" i="2"/>
  <c r="F179" i="2"/>
  <c r="F180" i="2"/>
  <c r="F181" i="2"/>
  <c r="F182" i="2"/>
  <c r="F183" i="2"/>
  <c r="F184" i="2"/>
  <c r="F185" i="2"/>
  <c r="F186" i="2"/>
  <c r="E189" i="2"/>
  <c r="D196" i="2"/>
  <c r="D197" i="2"/>
  <c r="F200" i="2"/>
  <c r="F201" i="2"/>
  <c r="F202" i="2"/>
  <c r="D205" i="2"/>
  <c r="E229" i="2"/>
  <c r="D231" i="2"/>
  <c r="C233" i="2"/>
  <c r="C235" i="2" s="1"/>
  <c r="C250" i="2"/>
  <c r="D250" i="2"/>
  <c r="E250" i="2"/>
  <c r="F250" i="2"/>
  <c r="I495" i="1"/>
  <c r="G494" i="1"/>
  <c r="I488" i="1"/>
  <c r="I487" i="1"/>
  <c r="I486" i="1"/>
  <c r="G485" i="1"/>
  <c r="F485" i="1"/>
  <c r="E485" i="1"/>
  <c r="I484" i="1"/>
  <c r="I483" i="1"/>
  <c r="I482" i="1"/>
  <c r="I481" i="1"/>
  <c r="I480" i="1"/>
  <c r="I479" i="1"/>
  <c r="I478" i="1"/>
  <c r="I477" i="1"/>
  <c r="I476" i="1"/>
  <c r="I475" i="1"/>
  <c r="I474" i="1"/>
  <c r="I473" i="1"/>
  <c r="I472" i="1"/>
  <c r="I471" i="1"/>
  <c r="I470" i="1"/>
  <c r="I469" i="1"/>
  <c r="I468" i="1"/>
  <c r="I467" i="1"/>
  <c r="G467" i="1"/>
  <c r="F467" i="1"/>
  <c r="E467" i="1"/>
  <c r="F464" i="1"/>
  <c r="E464" i="1"/>
  <c r="G463" i="1"/>
  <c r="I463" i="1" s="1"/>
  <c r="G462" i="1"/>
  <c r="I462" i="1" s="1"/>
  <c r="G461" i="1"/>
  <c r="I461" i="1" s="1"/>
  <c r="G460" i="1"/>
  <c r="I460" i="1" s="1"/>
  <c r="G459" i="1"/>
  <c r="I459" i="1" s="1"/>
  <c r="G458" i="1"/>
  <c r="I458" i="1" s="1"/>
  <c r="G457" i="1"/>
  <c r="I457" i="1" s="1"/>
  <c r="G456" i="1"/>
  <c r="I456" i="1" s="1"/>
  <c r="G455" i="1"/>
  <c r="I455" i="1" s="1"/>
  <c r="G454" i="1"/>
  <c r="I454" i="1" s="1"/>
  <c r="G453" i="1"/>
  <c r="I453" i="1" s="1"/>
  <c r="G452" i="1"/>
  <c r="I452" i="1" s="1"/>
  <c r="G451" i="1"/>
  <c r="I451" i="1" s="1"/>
  <c r="G450" i="1"/>
  <c r="I450" i="1" s="1"/>
  <c r="G449" i="1"/>
  <c r="I449" i="1" s="1"/>
  <c r="G448" i="1"/>
  <c r="I448" i="1" s="1"/>
  <c r="G447" i="1"/>
  <c r="I447" i="1" s="1"/>
  <c r="G446" i="1"/>
  <c r="I446" i="1" s="1"/>
  <c r="G445" i="1"/>
  <c r="I445" i="1" s="1"/>
  <c r="G444" i="1"/>
  <c r="I444" i="1" s="1"/>
  <c r="G443" i="1"/>
  <c r="I443" i="1" s="1"/>
  <c r="G442" i="1"/>
  <c r="I442" i="1" s="1"/>
  <c r="G441" i="1"/>
  <c r="I441" i="1" s="1"/>
  <c r="G440" i="1"/>
  <c r="I440" i="1" s="1"/>
  <c r="G439" i="1"/>
  <c r="I439" i="1" s="1"/>
  <c r="G438" i="1"/>
  <c r="I438" i="1" s="1"/>
  <c r="G437" i="1"/>
  <c r="I437" i="1" s="1"/>
  <c r="G436" i="1"/>
  <c r="I436" i="1" s="1"/>
  <c r="G435" i="1"/>
  <c r="I435" i="1" s="1"/>
  <c r="G434" i="1"/>
  <c r="I434" i="1" s="1"/>
  <c r="G433" i="1"/>
  <c r="I433" i="1" s="1"/>
  <c r="G432" i="1"/>
  <c r="I432" i="1" s="1"/>
  <c r="G431" i="1"/>
  <c r="I431" i="1" s="1"/>
  <c r="G430" i="1"/>
  <c r="I430" i="1" s="1"/>
  <c r="G429" i="1"/>
  <c r="I429" i="1" s="1"/>
  <c r="G428" i="1"/>
  <c r="I428" i="1" s="1"/>
  <c r="G427" i="1"/>
  <c r="I427" i="1" s="1"/>
  <c r="G426" i="1"/>
  <c r="I426" i="1" s="1"/>
  <c r="G425" i="1"/>
  <c r="I425" i="1" s="1"/>
  <c r="G424" i="1"/>
  <c r="I424" i="1" s="1"/>
  <c r="G423" i="1"/>
  <c r="I423" i="1" s="1"/>
  <c r="G422" i="1"/>
  <c r="I422" i="1" s="1"/>
  <c r="G421" i="1"/>
  <c r="I421" i="1" s="1"/>
  <c r="G420" i="1"/>
  <c r="I420" i="1" s="1"/>
  <c r="G419" i="1"/>
  <c r="I419" i="1" s="1"/>
  <c r="G418" i="1"/>
  <c r="I418" i="1" s="1"/>
  <c r="G417" i="1"/>
  <c r="I417" i="1" s="1"/>
  <c r="G416" i="1"/>
  <c r="I416" i="1" s="1"/>
  <c r="G415" i="1"/>
  <c r="I415" i="1" s="1"/>
  <c r="G414" i="1"/>
  <c r="I414" i="1" s="1"/>
  <c r="G413" i="1"/>
  <c r="I413" i="1" s="1"/>
  <c r="G412" i="1"/>
  <c r="I412" i="1" s="1"/>
  <c r="G411" i="1"/>
  <c r="I411" i="1" s="1"/>
  <c r="G410" i="1"/>
  <c r="I410" i="1" s="1"/>
  <c r="G409" i="1"/>
  <c r="I409" i="1" s="1"/>
  <c r="G408" i="1"/>
  <c r="I408" i="1" s="1"/>
  <c r="G407" i="1"/>
  <c r="I407" i="1" s="1"/>
  <c r="G406" i="1"/>
  <c r="I406" i="1" s="1"/>
  <c r="G405" i="1"/>
  <c r="I405" i="1" s="1"/>
  <c r="G404" i="1"/>
  <c r="I404" i="1" s="1"/>
  <c r="G403" i="1"/>
  <c r="I403" i="1" s="1"/>
  <c r="G402" i="1"/>
  <c r="I402" i="1" s="1"/>
  <c r="G401" i="1"/>
  <c r="I401" i="1" s="1"/>
  <c r="G400" i="1"/>
  <c r="I400" i="1" s="1"/>
  <c r="G399" i="1"/>
  <c r="I399" i="1" s="1"/>
  <c r="G398" i="1"/>
  <c r="I398" i="1" s="1"/>
  <c r="G397" i="1"/>
  <c r="I397" i="1" s="1"/>
  <c r="G396" i="1"/>
  <c r="I396" i="1" s="1"/>
  <c r="G395" i="1"/>
  <c r="I395" i="1" s="1"/>
  <c r="G394" i="1"/>
  <c r="I394" i="1" s="1"/>
  <c r="G393" i="1"/>
  <c r="I393" i="1" s="1"/>
  <c r="G392" i="1"/>
  <c r="I392" i="1" s="1"/>
  <c r="G391" i="1"/>
  <c r="I391" i="1" s="1"/>
  <c r="G390" i="1"/>
  <c r="I390" i="1" s="1"/>
  <c r="G389" i="1"/>
  <c r="I389" i="1" s="1"/>
  <c r="G388" i="1"/>
  <c r="I388" i="1" s="1"/>
  <c r="G387" i="1"/>
  <c r="I387" i="1" s="1"/>
  <c r="G386" i="1"/>
  <c r="I386" i="1" s="1"/>
  <c r="G385" i="1"/>
  <c r="I385" i="1" s="1"/>
  <c r="G384" i="1"/>
  <c r="I384" i="1" s="1"/>
  <c r="G383" i="1"/>
  <c r="I383" i="1" s="1"/>
  <c r="G382" i="1"/>
  <c r="I382" i="1" s="1"/>
  <c r="G381" i="1"/>
  <c r="I381" i="1" s="1"/>
  <c r="G380" i="1"/>
  <c r="I380" i="1" s="1"/>
  <c r="G379" i="1"/>
  <c r="I379" i="1" s="1"/>
  <c r="G378" i="1"/>
  <c r="I378" i="1" s="1"/>
  <c r="G376" i="1"/>
  <c r="I376" i="1" s="1"/>
  <c r="G375" i="1"/>
  <c r="I375" i="1" s="1"/>
  <c r="G374" i="1"/>
  <c r="I374" i="1" s="1"/>
  <c r="G373" i="1"/>
  <c r="I373" i="1" s="1"/>
  <c r="G372" i="1"/>
  <c r="I372" i="1" s="1"/>
  <c r="G371" i="1"/>
  <c r="I371" i="1" s="1"/>
  <c r="G370" i="1"/>
  <c r="I370" i="1" s="1"/>
  <c r="G369" i="1"/>
  <c r="I369" i="1" s="1"/>
  <c r="G368" i="1"/>
  <c r="I368" i="1" s="1"/>
  <c r="G367" i="1"/>
  <c r="I367" i="1" s="1"/>
  <c r="G366" i="1"/>
  <c r="I366" i="1" s="1"/>
  <c r="G364" i="1"/>
  <c r="I364" i="1" s="1"/>
  <c r="G363" i="1"/>
  <c r="I363" i="1" s="1"/>
  <c r="G362" i="1"/>
  <c r="I362" i="1" s="1"/>
  <c r="G360" i="1"/>
  <c r="I360" i="1" s="1"/>
  <c r="G359" i="1"/>
  <c r="I359" i="1" s="1"/>
  <c r="G358" i="1"/>
  <c r="I358" i="1" s="1"/>
  <c r="G356" i="1"/>
  <c r="I356" i="1" s="1"/>
  <c r="G355" i="1"/>
  <c r="I355" i="1" s="1"/>
  <c r="G354" i="1"/>
  <c r="I354" i="1" s="1"/>
  <c r="G353" i="1"/>
  <c r="I353" i="1" s="1"/>
  <c r="G352" i="1"/>
  <c r="I352" i="1" s="1"/>
  <c r="G351" i="1"/>
  <c r="I351" i="1" s="1"/>
  <c r="G350" i="1"/>
  <c r="I350" i="1" s="1"/>
  <c r="G349" i="1"/>
  <c r="I349" i="1" s="1"/>
  <c r="G348" i="1"/>
  <c r="I348" i="1" s="1"/>
  <c r="G347" i="1"/>
  <c r="I347" i="1" s="1"/>
  <c r="G346" i="1"/>
  <c r="I346" i="1" s="1"/>
  <c r="G345" i="1"/>
  <c r="I345" i="1" s="1"/>
  <c r="G344" i="1"/>
  <c r="I344" i="1" s="1"/>
  <c r="G343" i="1"/>
  <c r="I343" i="1" s="1"/>
  <c r="G342" i="1"/>
  <c r="I342" i="1" s="1"/>
  <c r="G341" i="1"/>
  <c r="I341" i="1" s="1"/>
  <c r="G340" i="1"/>
  <c r="I340" i="1" s="1"/>
  <c r="G339" i="1"/>
  <c r="I339" i="1" s="1"/>
  <c r="G338" i="1"/>
  <c r="I338" i="1" s="1"/>
  <c r="G337" i="1"/>
  <c r="I337" i="1" s="1"/>
  <c r="G336" i="1"/>
  <c r="I336" i="1" s="1"/>
  <c r="G335" i="1"/>
  <c r="I335" i="1" s="1"/>
  <c r="G334" i="1"/>
  <c r="I334" i="1" s="1"/>
  <c r="G333" i="1"/>
  <c r="I333" i="1" s="1"/>
  <c r="G332" i="1"/>
  <c r="I332" i="1" s="1"/>
  <c r="G331" i="1"/>
  <c r="I331" i="1" s="1"/>
  <c r="G330" i="1"/>
  <c r="I330" i="1" s="1"/>
  <c r="G329" i="1"/>
  <c r="I329" i="1" s="1"/>
  <c r="G328" i="1"/>
  <c r="I328" i="1" s="1"/>
  <c r="G327" i="1"/>
  <c r="I327" i="1" s="1"/>
  <c r="G326" i="1"/>
  <c r="I326" i="1" s="1"/>
  <c r="G325" i="1"/>
  <c r="I325" i="1" s="1"/>
  <c r="G324" i="1"/>
  <c r="I324" i="1" s="1"/>
  <c r="G323" i="1"/>
  <c r="I323" i="1" s="1"/>
  <c r="G322" i="1"/>
  <c r="I322" i="1" s="1"/>
  <c r="G321" i="1"/>
  <c r="I321" i="1" s="1"/>
  <c r="G320" i="1"/>
  <c r="I320" i="1" s="1"/>
  <c r="G319" i="1"/>
  <c r="I319" i="1" s="1"/>
  <c r="G318" i="1"/>
  <c r="I318" i="1" s="1"/>
  <c r="G317" i="1"/>
  <c r="I317" i="1" s="1"/>
  <c r="G316" i="1"/>
  <c r="I316" i="1" s="1"/>
  <c r="G314" i="1"/>
  <c r="I314" i="1" s="1"/>
  <c r="G313" i="1"/>
  <c r="I313" i="1" s="1"/>
  <c r="G312" i="1"/>
  <c r="I312" i="1" s="1"/>
  <c r="G311" i="1"/>
  <c r="I311" i="1" s="1"/>
  <c r="G310" i="1"/>
  <c r="I310" i="1" s="1"/>
  <c r="G309" i="1"/>
  <c r="I309" i="1" s="1"/>
  <c r="G308" i="1"/>
  <c r="I308" i="1" s="1"/>
  <c r="G307" i="1"/>
  <c r="I307" i="1" s="1"/>
  <c r="G306" i="1"/>
  <c r="I306" i="1" s="1"/>
  <c r="G305" i="1"/>
  <c r="G304" i="1"/>
  <c r="F304" i="1"/>
  <c r="E304" i="1"/>
  <c r="I303" i="1"/>
  <c r="I302" i="1"/>
  <c r="I301" i="1"/>
  <c r="I300" i="1"/>
  <c r="G299" i="1"/>
  <c r="F299" i="1"/>
  <c r="I298" i="1"/>
  <c r="I297" i="1"/>
  <c r="I296" i="1"/>
  <c r="I295" i="1"/>
  <c r="I294" i="1"/>
  <c r="I293" i="1"/>
  <c r="I292" i="1"/>
  <c r="I291" i="1"/>
  <c r="I290" i="1"/>
  <c r="I289" i="1"/>
  <c r="I288" i="1"/>
  <c r="I287" i="1"/>
  <c r="I286" i="1"/>
  <c r="I285" i="1"/>
  <c r="F284" i="1"/>
  <c r="G280" i="1"/>
  <c r="F280" i="1"/>
  <c r="I279" i="1"/>
  <c r="I278" i="1"/>
  <c r="I277" i="1"/>
  <c r="I276" i="1"/>
  <c r="I275" i="1"/>
  <c r="I274" i="1"/>
  <c r="I273" i="1"/>
  <c r="I272" i="1"/>
  <c r="I271" i="1"/>
  <c r="I270" i="1"/>
  <c r="I269" i="1"/>
  <c r="I268" i="1"/>
  <c r="I267" i="1"/>
  <c r="I266" i="1"/>
  <c r="I265" i="1"/>
  <c r="I264" i="1"/>
  <c r="I263" i="1"/>
  <c r="I262" i="1"/>
  <c r="I261" i="1"/>
  <c r="I259" i="1"/>
  <c r="I257" i="1"/>
  <c r="I256" i="1"/>
  <c r="I254" i="1"/>
  <c r="I253" i="1"/>
  <c r="I252" i="1"/>
  <c r="I251" i="1"/>
  <c r="I250" i="1"/>
  <c r="I249" i="1"/>
  <c r="I248" i="1"/>
  <c r="I247" i="1"/>
  <c r="I246" i="1"/>
  <c r="I245" i="1"/>
  <c r="I244" i="1"/>
  <c r="I243" i="1"/>
  <c r="I242" i="1"/>
  <c r="I241" i="1"/>
  <c r="I240" i="1"/>
  <c r="I239" i="1"/>
  <c r="I237" i="1"/>
  <c r="I229" i="1"/>
  <c r="I228" i="1"/>
  <c r="I226" i="1"/>
  <c r="I225" i="1"/>
  <c r="I224" i="1"/>
  <c r="I223" i="1"/>
  <c r="I221" i="1"/>
  <c r="I220" i="1"/>
  <c r="I219" i="1"/>
  <c r="I218" i="1"/>
  <c r="I217" i="1"/>
  <c r="I216" i="1"/>
  <c r="I215" i="1"/>
  <c r="I214" i="1"/>
  <c r="I207" i="1"/>
  <c r="I206" i="1"/>
  <c r="I205" i="1"/>
  <c r="I204" i="1"/>
  <c r="I201" i="1"/>
  <c r="I198" i="1"/>
  <c r="I197" i="1"/>
  <c r="I196" i="1"/>
  <c r="I195" i="1"/>
  <c r="I194" i="1"/>
  <c r="I193" i="1"/>
  <c r="I187" i="1"/>
  <c r="I186" i="1"/>
  <c r="I185" i="1"/>
  <c r="I184" i="1"/>
  <c r="I180" i="1"/>
  <c r="I177" i="1"/>
  <c r="I176" i="1"/>
  <c r="I175" i="1"/>
  <c r="I174" i="1"/>
  <c r="I172" i="1"/>
  <c r="I171" i="1"/>
  <c r="I170" i="1"/>
  <c r="I169" i="1"/>
  <c r="I168" i="1"/>
  <c r="I167" i="1"/>
  <c r="I166" i="1"/>
  <c r="I165" i="1"/>
  <c r="I164" i="1"/>
  <c r="I163" i="1"/>
  <c r="I162" i="1"/>
  <c r="I161" i="1"/>
  <c r="I160" i="1"/>
  <c r="I159" i="1"/>
  <c r="I158" i="1"/>
  <c r="I157" i="1"/>
  <c r="I156" i="1"/>
  <c r="I155" i="1"/>
  <c r="I151" i="1"/>
  <c r="I150" i="1"/>
  <c r="I149" i="1"/>
  <c r="I147" i="1"/>
  <c r="I146" i="1"/>
  <c r="I145" i="1"/>
  <c r="I144" i="1"/>
  <c r="I143" i="1"/>
  <c r="I142" i="1"/>
  <c r="I141" i="1"/>
  <c r="I140" i="1"/>
  <c r="I138" i="1"/>
  <c r="I137" i="1"/>
  <c r="I134" i="1"/>
  <c r="I133" i="1"/>
  <c r="I132" i="1"/>
  <c r="I131" i="1"/>
  <c r="I130" i="1"/>
  <c r="I129" i="1"/>
  <c r="I128" i="1"/>
  <c r="I127" i="1"/>
  <c r="I126" i="1"/>
  <c r="I124" i="1"/>
  <c r="I122" i="1"/>
  <c r="I121" i="1"/>
  <c r="I120" i="1"/>
  <c r="G118" i="1"/>
  <c r="F118" i="1"/>
  <c r="I117" i="1"/>
  <c r="I116" i="1"/>
  <c r="I115" i="1"/>
  <c r="I114" i="1"/>
  <c r="I113" i="1"/>
  <c r="I112" i="1"/>
  <c r="I111" i="1"/>
  <c r="I110" i="1"/>
  <c r="I109" i="1"/>
  <c r="I108" i="1"/>
  <c r="I107" i="1"/>
  <c r="I106" i="1"/>
  <c r="I105" i="1"/>
  <c r="I104" i="1"/>
  <c r="I103" i="1"/>
  <c r="I102" i="1"/>
  <c r="I101" i="1"/>
  <c r="I100" i="1"/>
  <c r="I99" i="1"/>
  <c r="I98"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19" i="1"/>
  <c r="I18" i="1"/>
  <c r="I17" i="1"/>
  <c r="I16" i="1"/>
  <c r="I15" i="1"/>
  <c r="I14" i="1"/>
  <c r="I13" i="1"/>
  <c r="I12" i="1"/>
  <c r="I11" i="1"/>
  <c r="I10" i="1"/>
  <c r="I9" i="1"/>
  <c r="I8" i="1"/>
  <c r="I7" i="1"/>
  <c r="I6"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I5" i="1"/>
  <c r="A47" i="1" l="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F502" i="1"/>
  <c r="G8" i="3"/>
  <c r="I48" i="5"/>
  <c r="I53" i="5"/>
  <c r="I97" i="5"/>
  <c r="G130" i="5"/>
  <c r="G48" i="5"/>
  <c r="G41" i="5"/>
  <c r="I130" i="5"/>
  <c r="G53" i="5"/>
  <c r="G97" i="5"/>
  <c r="I41" i="5"/>
  <c r="I5" i="5" s="1"/>
  <c r="H5" i="5" s="1"/>
  <c r="D189" i="2"/>
  <c r="D56" i="2" s="1"/>
  <c r="I260" i="1"/>
  <c r="E6" i="5"/>
  <c r="I304" i="1"/>
  <c r="C60" i="3"/>
  <c r="F251" i="2"/>
  <c r="D109" i="2" s="1"/>
  <c r="D112" i="2" s="1"/>
  <c r="K38" i="3"/>
  <c r="I299" i="1"/>
  <c r="K112" i="3"/>
  <c r="D65" i="2"/>
  <c r="K57" i="3"/>
  <c r="C95" i="3"/>
  <c r="E7" i="5"/>
  <c r="K114" i="3"/>
  <c r="C214" i="2"/>
  <c r="F214" i="2" s="1"/>
  <c r="E60" i="3"/>
  <c r="K14" i="3"/>
  <c r="D177" i="2"/>
  <c r="D187" i="2" s="1"/>
  <c r="D51" i="2" s="1"/>
  <c r="I39" i="3"/>
  <c r="I15" i="3"/>
  <c r="I18" i="3" s="1"/>
  <c r="I123" i="3"/>
  <c r="A41" i="3"/>
  <c r="A42" i="3"/>
  <c r="A43" i="3" s="1"/>
  <c r="A44" i="3" s="1"/>
  <c r="A45" i="3" s="1"/>
  <c r="A46" i="3" s="1"/>
  <c r="A47" i="3" s="1"/>
  <c r="A48" i="3" s="1"/>
  <c r="A49" i="3" s="1"/>
  <c r="A50" i="3" s="1"/>
  <c r="A51" i="3" s="1"/>
  <c r="E216" i="2"/>
  <c r="D122" i="2"/>
  <c r="A20" i="3"/>
  <c r="A21" i="3"/>
  <c r="A22" i="3" s="1"/>
  <c r="A23" i="3" s="1"/>
  <c r="A24" i="3" s="1"/>
  <c r="A25" i="3" s="1"/>
  <c r="A26" i="3" s="1"/>
  <c r="A27" i="3" s="1"/>
  <c r="A28" i="3" s="1"/>
  <c r="A29" i="3" s="1"/>
  <c r="A30" i="3" s="1"/>
  <c r="A31" i="3" s="1"/>
  <c r="A32" i="3" s="1"/>
  <c r="A33" i="3" s="1"/>
  <c r="K59" i="3"/>
  <c r="C205" i="2"/>
  <c r="F205" i="2" s="1"/>
  <c r="I9" i="3"/>
  <c r="G60" i="3"/>
  <c r="D67" i="2"/>
  <c r="D119" i="2"/>
  <c r="D216" i="2"/>
  <c r="B172" i="2"/>
  <c r="I20" i="1"/>
  <c r="I118" i="1" s="1"/>
  <c r="G464" i="1"/>
  <c r="I305" i="1"/>
  <c r="I464" i="1" s="1"/>
  <c r="I485" i="1"/>
  <c r="I280" i="1"/>
  <c r="I492" i="1"/>
  <c r="E198" i="2" l="1"/>
  <c r="E218" i="2" s="1"/>
  <c r="E221" i="2" s="1"/>
  <c r="E237" i="2" s="1"/>
  <c r="G12" i="3"/>
  <c r="G39" i="3" s="1"/>
  <c r="G40" i="3" s="1"/>
  <c r="E16" i="4" s="1"/>
  <c r="G9" i="3"/>
  <c r="E197" i="2" s="1"/>
  <c r="E217" i="2" s="1"/>
  <c r="E502" i="1"/>
  <c r="E503" i="1" s="1"/>
  <c r="E509" i="1" s="1"/>
  <c r="E511" i="1" s="1"/>
  <c r="F503" i="1"/>
  <c r="E8" i="5"/>
  <c r="I494" i="1"/>
  <c r="I6" i="5"/>
  <c r="H6" i="5" s="1"/>
  <c r="D70" i="2"/>
  <c r="K95" i="3"/>
  <c r="C189" i="2"/>
  <c r="D55" i="2" s="1"/>
  <c r="A125" i="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I7" i="5"/>
  <c r="H7" i="5" s="1"/>
  <c r="C10" i="3"/>
  <c r="I11" i="3"/>
  <c r="A14" i="2"/>
  <c r="D121" i="2" l="1"/>
  <c r="H123" i="2" s="1"/>
  <c r="F52" i="2" s="1"/>
  <c r="H52" i="2" s="1"/>
  <c r="G123" i="3"/>
  <c r="G15" i="3"/>
  <c r="E207" i="2" s="1"/>
  <c r="G11" i="3"/>
  <c r="G124" i="3" s="1"/>
  <c r="E6" i="4" s="1"/>
  <c r="E8" i="4" s="1"/>
  <c r="E199" i="2"/>
  <c r="E203" i="2" s="1"/>
  <c r="F506" i="1"/>
  <c r="E8" i="3"/>
  <c r="D198" i="2" s="1"/>
  <c r="D118" i="2" s="1"/>
  <c r="H120" i="2" s="1"/>
  <c r="F51" i="2" s="1"/>
  <c r="F66" i="2" s="1"/>
  <c r="H66" i="2" s="1"/>
  <c r="G284" i="1"/>
  <c r="G502" i="1" s="1"/>
  <c r="H8" i="5"/>
  <c r="I8" i="5"/>
  <c r="K115" i="3"/>
  <c r="K122" i="3" s="1"/>
  <c r="C177" i="2"/>
  <c r="F177" i="2" s="1"/>
  <c r="F187" i="2" s="1"/>
  <c r="F189" i="2"/>
  <c r="C7" i="3"/>
  <c r="C196" i="2" s="1"/>
  <c r="D116" i="2" s="1"/>
  <c r="A148" i="1"/>
  <c r="A149" i="1" s="1"/>
  <c r="A150" i="1" s="1"/>
  <c r="A151" i="1" s="1"/>
  <c r="A152" i="1" s="1"/>
  <c r="A153" i="1" s="1"/>
  <c r="A154" i="1" s="1"/>
  <c r="A155" i="1" s="1"/>
  <c r="A156" i="1" s="1"/>
  <c r="A157" i="1" s="1"/>
  <c r="A158" i="1" s="1"/>
  <c r="A159" i="1" s="1"/>
  <c r="A160" i="1" s="1"/>
  <c r="A161" i="1" s="1"/>
  <c r="A162" i="1" s="1"/>
  <c r="A163" i="1" s="1"/>
  <c r="A164" i="1" s="1"/>
  <c r="A165" i="1" s="1"/>
  <c r="F67" i="2"/>
  <c r="H67" i="2" s="1"/>
  <c r="E223" i="2"/>
  <c r="I16" i="3"/>
  <c r="I19" i="3" s="1"/>
  <c r="I40" i="3"/>
  <c r="I124" i="3"/>
  <c r="A15" i="2"/>
  <c r="E12" i="3" l="1"/>
  <c r="G18" i="3"/>
  <c r="G16" i="3"/>
  <c r="E206" i="2" s="1"/>
  <c r="E209" i="2" s="1"/>
  <c r="A171" i="1"/>
  <c r="A172" i="1" s="1"/>
  <c r="A173" i="1" s="1"/>
  <c r="A174" i="1" s="1"/>
  <c r="A175" i="1" s="1"/>
  <c r="G503" i="1"/>
  <c r="H51" i="2"/>
  <c r="F56" i="2"/>
  <c r="H56" i="2" s="1"/>
  <c r="D203" i="2"/>
  <c r="D218" i="2"/>
  <c r="D221" i="2" s="1"/>
  <c r="D237" i="2" s="1"/>
  <c r="I284" i="1"/>
  <c r="I502" i="1" s="1"/>
  <c r="E15" i="3"/>
  <c r="E123" i="3"/>
  <c r="E39" i="3"/>
  <c r="E96" i="3"/>
  <c r="C187" i="2"/>
  <c r="D50" i="2" s="1"/>
  <c r="D62" i="2" s="1"/>
  <c r="F190" i="2"/>
  <c r="C216" i="2"/>
  <c r="F216" i="2" s="1"/>
  <c r="C13" i="3"/>
  <c r="C17" i="3" s="1"/>
  <c r="F196" i="2"/>
  <c r="K7" i="3"/>
  <c r="A16" i="2"/>
  <c r="C94" i="2"/>
  <c r="G19" i="3" l="1"/>
  <c r="E9" i="4" s="1"/>
  <c r="E35" i="4" s="1"/>
  <c r="A176" i="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C9" i="3"/>
  <c r="D223" i="2"/>
  <c r="I503" i="1"/>
  <c r="D207" i="2"/>
  <c r="E18" i="3"/>
  <c r="C98" i="3"/>
  <c r="K98" i="3" s="1"/>
  <c r="C7" i="6" s="1"/>
  <c r="C41" i="3"/>
  <c r="K41" i="3" s="1"/>
  <c r="C8" i="6" s="1"/>
  <c r="E10" i="4"/>
  <c r="E26" i="4" s="1"/>
  <c r="C20" i="3"/>
  <c r="K17" i="3"/>
  <c r="E13" i="4"/>
  <c r="E14" i="4" s="1"/>
  <c r="E27" i="4" s="1"/>
  <c r="C7" i="10"/>
  <c r="C7" i="9"/>
  <c r="D43" i="2"/>
  <c r="D46" i="2" s="1"/>
  <c r="F192" i="2"/>
  <c r="A17" i="2"/>
  <c r="A232" i="1" l="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C63" i="3"/>
  <c r="K9" i="3"/>
  <c r="C11" i="3"/>
  <c r="G63" i="3"/>
  <c r="C197" i="2"/>
  <c r="I63" i="3"/>
  <c r="I506" i="1"/>
  <c r="C20" i="6" s="1"/>
  <c r="C8" i="3"/>
  <c r="E17" i="4"/>
  <c r="E18" i="4" s="1"/>
  <c r="E28" i="4" s="1"/>
  <c r="C13" i="6"/>
  <c r="K20" i="3"/>
  <c r="A18" i="2"/>
  <c r="A361" i="1" l="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K64" i="3"/>
  <c r="E24" i="4" s="1"/>
  <c r="E31" i="4" s="1"/>
  <c r="E32" i="4" s="1"/>
  <c r="E34" i="4" s="1"/>
  <c r="C6" i="9" s="1"/>
  <c r="C8" i="9" s="1"/>
  <c r="C10" i="9" s="1"/>
  <c r="C16" i="9" s="1"/>
  <c r="F197" i="2"/>
  <c r="D14" i="2" s="1"/>
  <c r="C217" i="2"/>
  <c r="F217" i="2" s="1"/>
  <c r="C40" i="3"/>
  <c r="K40" i="3" s="1"/>
  <c r="D16" i="4" s="1"/>
  <c r="C124" i="3"/>
  <c r="K124" i="3" s="1"/>
  <c r="D6" i="4" s="1"/>
  <c r="D8" i="4" s="1"/>
  <c r="C97" i="3"/>
  <c r="K97" i="3" s="1"/>
  <c r="D12" i="4" s="1"/>
  <c r="C16" i="3"/>
  <c r="C61" i="3"/>
  <c r="C198" i="2"/>
  <c r="K8" i="3"/>
  <c r="E61" i="3"/>
  <c r="C12" i="3"/>
  <c r="G61" i="3"/>
  <c r="A19" i="2"/>
  <c r="C19" i="2"/>
  <c r="D24" i="4" l="1"/>
  <c r="D31" i="4" s="1"/>
  <c r="C206" i="2"/>
  <c r="F206" i="2" s="1"/>
  <c r="D21" i="2" s="1"/>
  <c r="D28" i="2" s="1"/>
  <c r="K16" i="3"/>
  <c r="C19" i="3"/>
  <c r="K19" i="3" s="1"/>
  <c r="D9" i="4" s="1"/>
  <c r="E36" i="4"/>
  <c r="C6" i="10"/>
  <c r="C8" i="10" s="1"/>
  <c r="C10" i="10" s="1"/>
  <c r="C12" i="10" s="1"/>
  <c r="C14" i="10" s="1"/>
  <c r="D47" i="11" s="1"/>
  <c r="D49" i="11" s="1"/>
  <c r="C199" i="2"/>
  <c r="F198" i="2"/>
  <c r="D15" i="2" s="1"/>
  <c r="H94" i="2" s="1"/>
  <c r="H97" i="2" s="1"/>
  <c r="H98" i="2" s="1"/>
  <c r="H104" i="2" s="1"/>
  <c r="D115" i="2"/>
  <c r="H117" i="2" s="1"/>
  <c r="F50" i="2" s="1"/>
  <c r="C218" i="2"/>
  <c r="C39" i="3"/>
  <c r="K39" i="3" s="1"/>
  <c r="C16" i="4" s="1"/>
  <c r="C15" i="3"/>
  <c r="C96" i="3"/>
  <c r="K96" i="3" s="1"/>
  <c r="C12" i="4" s="1"/>
  <c r="C123" i="3"/>
  <c r="K123" i="3" s="1"/>
  <c r="C6" i="4" s="1"/>
  <c r="C8" i="4" s="1"/>
  <c r="K62" i="3"/>
  <c r="G203" i="2"/>
  <c r="A21" i="2"/>
  <c r="D10" i="4" l="1"/>
  <c r="D26" i="4" s="1"/>
  <c r="D35" i="4"/>
  <c r="D13" i="4"/>
  <c r="C18" i="3"/>
  <c r="K18" i="3" s="1"/>
  <c r="C9" i="4" s="1"/>
  <c r="K15" i="3"/>
  <c r="C207" i="2"/>
  <c r="E109" i="2"/>
  <c r="F109" i="2" s="1"/>
  <c r="F112" i="2" s="1"/>
  <c r="H112" i="2" s="1"/>
  <c r="F15" i="2"/>
  <c r="H15" i="2" s="1"/>
  <c r="H105" i="2"/>
  <c r="F22" i="2"/>
  <c r="F41" i="2" s="1"/>
  <c r="H41" i="2" s="1"/>
  <c r="F218" i="2"/>
  <c r="C221" i="2"/>
  <c r="F65" i="2"/>
  <c r="H65" i="2" s="1"/>
  <c r="H50" i="2"/>
  <c r="F55" i="2"/>
  <c r="H55" i="2" s="1"/>
  <c r="C24" i="4"/>
  <c r="C12" i="6"/>
  <c r="C14" i="6" s="1"/>
  <c r="C16" i="6" s="1"/>
  <c r="D12" i="11" s="1"/>
  <c r="F12" i="11" s="1"/>
  <c r="C203" i="2"/>
  <c r="F203" i="2" s="1"/>
  <c r="F199" i="2"/>
  <c r="D16" i="2" s="1"/>
  <c r="C219" i="2"/>
  <c r="F219" i="2" s="1"/>
  <c r="D50" i="11"/>
  <c r="D52" i="11" s="1"/>
  <c r="A22" i="2"/>
  <c r="C28" i="2"/>
  <c r="C31" i="4" l="1"/>
  <c r="F24" i="4"/>
  <c r="D14" i="4"/>
  <c r="D27" i="4" s="1"/>
  <c r="D17" i="4"/>
  <c r="D18" i="4" s="1"/>
  <c r="D28" i="4" s="1"/>
  <c r="C17" i="6"/>
  <c r="C18" i="6" s="1"/>
  <c r="D44" i="11" s="1"/>
  <c r="D46" i="11" s="1"/>
  <c r="C223" i="2"/>
  <c r="F223" i="2" s="1"/>
  <c r="C237" i="2"/>
  <c r="F237" i="2" s="1"/>
  <c r="D134" i="2" s="1"/>
  <c r="D136" i="2" s="1"/>
  <c r="F59" i="2"/>
  <c r="H59" i="2" s="1"/>
  <c r="F44" i="2"/>
  <c r="H44" i="2" s="1"/>
  <c r="D19" i="2"/>
  <c r="C13" i="4"/>
  <c r="C35" i="4"/>
  <c r="F207" i="2"/>
  <c r="C208" i="2"/>
  <c r="F208" i="2" s="1"/>
  <c r="D23" i="2" s="1"/>
  <c r="D30" i="2" s="1"/>
  <c r="C10" i="4"/>
  <c r="C26" i="4" s="1"/>
  <c r="F57" i="2"/>
  <c r="H57" i="2" s="1"/>
  <c r="F17" i="2"/>
  <c r="F58" i="2"/>
  <c r="H58" i="2" s="1"/>
  <c r="H127" i="2"/>
  <c r="I125" i="2" s="1"/>
  <c r="F68" i="2"/>
  <c r="A23" i="2"/>
  <c r="C29" i="2"/>
  <c r="G24" i="4" l="1"/>
  <c r="G31" i="4" s="1"/>
  <c r="G32" i="4" s="1"/>
  <c r="G34" i="4" s="1"/>
  <c r="G36" i="4" s="1"/>
  <c r="F31" i="4"/>
  <c r="F32" i="4" s="1"/>
  <c r="F34" i="4" s="1"/>
  <c r="F36" i="4" s="1"/>
  <c r="D32" i="4"/>
  <c r="D34" i="4" s="1"/>
  <c r="D36" i="4" s="1"/>
  <c r="C209" i="2"/>
  <c r="C17" i="4"/>
  <c r="C18" i="4" s="1"/>
  <c r="C28" i="4" s="1"/>
  <c r="C14" i="4"/>
  <c r="C27" i="4" s="1"/>
  <c r="H68" i="2"/>
  <c r="F73" i="2"/>
  <c r="E136" i="2"/>
  <c r="E134" i="2"/>
  <c r="E135" i="2"/>
  <c r="H135" i="2" s="1"/>
  <c r="H17" i="2"/>
  <c r="F24" i="2"/>
  <c r="H24" i="2" s="1"/>
  <c r="F60" i="2"/>
  <c r="F18" i="2"/>
  <c r="D22" i="2"/>
  <c r="F209" i="2"/>
  <c r="D131" i="2"/>
  <c r="F134" i="2" s="1"/>
  <c r="F239" i="2"/>
  <c r="A24" i="2"/>
  <c r="C30" i="2"/>
  <c r="H134" i="2" l="1"/>
  <c r="H136" i="2" s="1"/>
  <c r="H138" i="2" s="1"/>
  <c r="F13" i="11"/>
  <c r="F15" i="11" s="1"/>
  <c r="D15" i="11"/>
  <c r="H8" i="2" s="1"/>
  <c r="C32" i="4"/>
  <c r="C34" i="4" s="1"/>
  <c r="C36" i="4" s="1"/>
  <c r="H31" i="2"/>
  <c r="H73" i="2"/>
  <c r="F74" i="2"/>
  <c r="H74" i="2" s="1"/>
  <c r="H60" i="2"/>
  <c r="H62" i="2" s="1"/>
  <c r="F69" i="2"/>
  <c r="H69" i="2" s="1"/>
  <c r="H70" i="2" s="1"/>
  <c r="F25" i="2"/>
  <c r="H25" i="2" s="1"/>
  <c r="H18" i="2"/>
  <c r="H19" i="2" s="1"/>
  <c r="F19" i="2" s="1"/>
  <c r="F45" i="2" s="1"/>
  <c r="H45" i="2" s="1"/>
  <c r="H46" i="2" s="1"/>
  <c r="D26" i="2"/>
  <c r="F211" i="2" s="1"/>
  <c r="D29" i="2"/>
  <c r="D33" i="2" s="1"/>
  <c r="D47" i="2" s="1"/>
  <c r="H22" i="2"/>
  <c r="H29" i="2" s="1"/>
  <c r="A25" i="2"/>
  <c r="C31" i="2"/>
  <c r="D90" i="2" l="1"/>
  <c r="D83" i="2"/>
  <c r="F76" i="2"/>
  <c r="F78" i="2" s="1"/>
  <c r="H32" i="2"/>
  <c r="H33" i="2" s="1"/>
  <c r="F33" i="2" s="1"/>
  <c r="H26" i="2"/>
  <c r="A26" i="2"/>
  <c r="C32" i="2"/>
  <c r="C26" i="2"/>
  <c r="D87" i="2" l="1"/>
  <c r="D89" i="2" s="1"/>
  <c r="D91" i="2" s="1"/>
  <c r="H76" i="2"/>
  <c r="F88" i="2"/>
  <c r="H88" i="2" s="1"/>
  <c r="F36" i="2"/>
  <c r="F79" i="2"/>
  <c r="H79" i="2" s="1"/>
  <c r="H78" i="2"/>
  <c r="A28" i="2"/>
  <c r="E211" i="2"/>
  <c r="F37" i="2" l="1"/>
  <c r="H36" i="2"/>
  <c r="H80" i="2"/>
  <c r="A29" i="2"/>
  <c r="A30" i="2" s="1"/>
  <c r="A31" i="2" s="1"/>
  <c r="A32" i="2" s="1"/>
  <c r="A33" i="2" s="1"/>
  <c r="F39" i="2" l="1"/>
  <c r="H39" i="2" s="1"/>
  <c r="H37" i="2"/>
  <c r="F38" i="2"/>
  <c r="H38" i="2" s="1"/>
  <c r="A35" i="2"/>
  <c r="C33" i="2"/>
  <c r="H40" i="2" l="1"/>
  <c r="H47" i="2" s="1"/>
  <c r="H90" i="2" s="1"/>
  <c r="H87" i="2" s="1"/>
  <c r="H89" i="2" s="1"/>
  <c r="A36" i="2"/>
  <c r="A37" i="2" s="1"/>
  <c r="A38" i="2" s="1"/>
  <c r="A39" i="2" s="1"/>
  <c r="A40" i="2" s="1"/>
  <c r="C40" i="2" l="1"/>
  <c r="H91" i="2"/>
  <c r="H7" i="2" s="1"/>
  <c r="H11" i="2" s="1"/>
  <c r="A41" i="2"/>
  <c r="A43" i="2" s="1"/>
  <c r="D8" i="11" l="1"/>
  <c r="F8" i="11" s="1"/>
  <c r="A44" i="2"/>
  <c r="A45" i="2" s="1"/>
  <c r="A46" i="2" s="1"/>
  <c r="D17" i="11" l="1"/>
  <c r="F17" i="11" s="1"/>
  <c r="F19" i="11" s="1"/>
  <c r="D19" i="11"/>
  <c r="A47" i="2"/>
  <c r="C47" i="2"/>
  <c r="C46" i="2"/>
  <c r="A50" i="2" l="1"/>
  <c r="A51" i="2" l="1"/>
  <c r="A52" i="2" s="1"/>
  <c r="A53" i="2" s="1"/>
  <c r="A55" i="2" s="1"/>
  <c r="A56" i="2" s="1"/>
  <c r="A57" i="2" s="1"/>
  <c r="A58" i="2" s="1"/>
  <c r="C100" i="2"/>
  <c r="A59" i="2" l="1"/>
  <c r="A60" i="2" l="1"/>
  <c r="A61" i="2" s="1"/>
  <c r="A62" i="2" s="1"/>
  <c r="C62" i="2"/>
  <c r="B158" i="2"/>
  <c r="A64" i="2" l="1"/>
  <c r="E192" i="2"/>
  <c r="B155" i="2"/>
  <c r="A65" i="2" l="1"/>
  <c r="A66" i="2" s="1"/>
  <c r="A67" i="2" s="1"/>
  <c r="A68" i="2" s="1"/>
  <c r="A69" i="2" s="1"/>
  <c r="A70" i="2" s="1"/>
  <c r="A73" i="2" l="1"/>
  <c r="C70" i="2"/>
  <c r="A74" i="2" l="1"/>
  <c r="A76" i="2" s="1"/>
  <c r="A77" i="2" s="1"/>
  <c r="A78" i="2" s="1"/>
  <c r="A79" i="2" s="1"/>
  <c r="A80" i="2" s="1"/>
  <c r="C80" i="2" l="1"/>
  <c r="A82" i="2"/>
  <c r="A83" i="2" l="1"/>
  <c r="B85" i="2"/>
  <c r="A85" i="2" l="1"/>
  <c r="A86" i="2" l="1"/>
  <c r="A87" i="2" s="1"/>
  <c r="C88" i="2"/>
  <c r="A88" i="2" l="1"/>
  <c r="A89" i="2" s="1"/>
  <c r="C89" i="2"/>
  <c r="A90" i="2" l="1"/>
  <c r="C91" i="2" s="1"/>
  <c r="A91" i="2" l="1"/>
  <c r="C87" i="2"/>
  <c r="C7" i="2" l="1"/>
  <c r="A94" i="2"/>
  <c r="A95" i="2" l="1"/>
  <c r="A96" i="2" s="1"/>
  <c r="A97" i="2" s="1"/>
  <c r="C97" i="2"/>
  <c r="C98" i="2" l="1"/>
  <c r="A98" i="2"/>
  <c r="A100" i="2" l="1"/>
  <c r="C104" i="2"/>
  <c r="A101" i="2" l="1"/>
  <c r="A102" i="2" s="1"/>
  <c r="A103" i="2" l="1"/>
  <c r="A104" i="2" s="1"/>
  <c r="C103" i="2"/>
  <c r="C102" i="2"/>
  <c r="A105" i="2" l="1"/>
  <c r="A108" i="2" s="1"/>
  <c r="C105" i="2"/>
  <c r="A109" i="2" l="1"/>
  <c r="A110" i="2" s="1"/>
  <c r="A111" i="2" s="1"/>
  <c r="A112" i="2" s="1"/>
  <c r="C112" i="2" l="1"/>
  <c r="A115" i="2"/>
  <c r="H126" i="2"/>
  <c r="A116" i="2" l="1"/>
  <c r="A117" i="2" s="1"/>
  <c r="A118" i="2" s="1"/>
  <c r="C117" i="2"/>
  <c r="A119" i="2" l="1"/>
  <c r="A120" i="2" s="1"/>
  <c r="A121" i="2" s="1"/>
  <c r="C120" i="2"/>
  <c r="A122" i="2" l="1"/>
  <c r="A123" i="2" s="1"/>
  <c r="A126" i="2" s="1"/>
  <c r="C123" i="2"/>
  <c r="A127" i="2" l="1"/>
  <c r="A128" i="2" s="1"/>
  <c r="A129" i="2" s="1"/>
  <c r="A131" i="2" s="1"/>
  <c r="C129" i="2"/>
  <c r="F126" i="2"/>
  <c r="A134" i="2" l="1"/>
  <c r="F224" i="2"/>
  <c r="C90" i="2"/>
  <c r="A135" i="2" l="1"/>
  <c r="A136" i="2" s="1"/>
  <c r="A137" i="2" s="1"/>
  <c r="A138" i="2" s="1"/>
  <c r="A142" i="2" s="1"/>
  <c r="G237" i="2"/>
  <c r="B169" i="2"/>
  <c r="C136" i="2" l="1"/>
  <c r="B170" i="2"/>
  <c r="A143" i="2"/>
  <c r="A144" i="2" s="1"/>
  <c r="A145" i="2" s="1"/>
  <c r="B84" i="2"/>
  <c r="A146" i="2" l="1"/>
  <c r="A147" i="2" s="1"/>
  <c r="A148" i="2" s="1"/>
  <c r="A149" i="2" s="1"/>
</calcChain>
</file>

<file path=xl/comments1.xml><?xml version="1.0" encoding="utf-8"?>
<comments xmlns="http://schemas.openxmlformats.org/spreadsheetml/2006/main">
  <authors>
    <author>Baker, Sara</author>
    <author>Linda Cady-Hoffman</author>
  </authors>
  <commentList>
    <comment ref="I14" authorId="0" shapeId="0">
      <text>
        <r>
          <rPr>
            <b/>
            <sz val="9"/>
            <color indexed="81"/>
            <rFont val="Tahoma"/>
            <family val="2"/>
          </rPr>
          <t>Baker, Sara:</t>
        </r>
        <r>
          <rPr>
            <sz val="9"/>
            <color indexed="81"/>
            <rFont val="Tahoma"/>
            <family val="2"/>
          </rPr>
          <t xml:space="preserve">
Per call 4/1/19 w/ CSO Finance, using Combos for BOR data</t>
        </r>
      </text>
    </comment>
    <comment ref="E120" authorId="1" shapeId="0">
      <text>
        <r>
          <rPr>
            <sz val="8"/>
            <color indexed="81"/>
            <rFont val="Tahoma"/>
            <family val="2"/>
          </rPr>
          <t>ROOS Schedule 5</t>
        </r>
      </text>
    </comment>
  </commentList>
</comments>
</file>

<file path=xl/comments2.xml><?xml version="1.0" encoding="utf-8"?>
<comments xmlns="http://schemas.openxmlformats.org/spreadsheetml/2006/main">
  <authors>
    <author>Baker, Sara</author>
  </authors>
  <commentList>
    <comment ref="F494" authorId="0" shapeId="0">
      <text>
        <r>
          <rPr>
            <b/>
            <sz val="9"/>
            <color indexed="81"/>
            <rFont val="Tahoma"/>
            <family val="2"/>
          </rPr>
          <t>Baker, Sara:</t>
        </r>
        <r>
          <rPr>
            <sz val="9"/>
            <color indexed="81"/>
            <rFont val="Tahoma"/>
            <family val="2"/>
          </rPr>
          <t xml:space="preserve">
Kass still needs to review these AI adjustments for RMR as of 4/15/19</t>
        </r>
      </text>
    </comment>
  </commentList>
</comments>
</file>

<file path=xl/sharedStrings.xml><?xml version="1.0" encoding="utf-8"?>
<sst xmlns="http://schemas.openxmlformats.org/spreadsheetml/2006/main" count="6189" uniqueCount="2617">
  <si>
    <t>Line No.</t>
  </si>
  <si>
    <t>FID</t>
  </si>
  <si>
    <t>DESCRIPTION</t>
  </si>
  <si>
    <t>SPP</t>
  </si>
  <si>
    <t>PRIOR YEAR FACILITY TOTALS ($)</t>
  </si>
  <si>
    <t>ATTACHMENT AI ADJUSTMENTS</t>
  </si>
  <si>
    <t>GENERATION ADJUSTMENTS</t>
  </si>
  <si>
    <t>NOTES</t>
  </si>
  <si>
    <t>TL</t>
  </si>
  <si>
    <t>AUR BR</t>
  </si>
  <si>
    <t>AURORA- BROOKINGS 115-KV T/L</t>
  </si>
  <si>
    <t>E</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</si>
  <si>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</si>
  <si>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</si>
  <si>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</si>
  <si>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</si>
  <si>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</si>
  <si>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</si>
  <si>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</si>
  <si>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</si>
  <si>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</si>
  <si>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</si>
  <si>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</si>
  <si>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</si>
  <si>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</si>
  <si>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</si>
  <si>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</si>
  <si>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</si>
  <si>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</si>
  <si>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</si>
  <si>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</si>
  <si>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</si>
  <si>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</si>
  <si>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</si>
  <si>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</si>
  <si>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</si>
  <si>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W</t>
  </si>
  <si>
    <t>CF EH B</t>
  </si>
  <si>
    <t>CANYON FERRY-EAST HELENA "B"</t>
  </si>
  <si>
    <t>CA JT</t>
  </si>
  <si>
    <t>CARRINGTON-JAMESTOWN</t>
  </si>
  <si>
    <t>WC BU</t>
  </si>
  <si>
    <t>CHARLIE CREEK - WATFORD CITY</t>
  </si>
  <si>
    <t>CCRBEF</t>
  </si>
  <si>
    <t>CHARLIE CREEK-BELFIELD</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</si>
  <si>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</si>
  <si>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</si>
  <si>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</si>
  <si>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</si>
  <si>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</si>
  <si>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</si>
  <si>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</si>
  <si>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</si>
  <si>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</si>
  <si>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</si>
  <si>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</si>
  <si>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</si>
  <si>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</si>
  <si>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</si>
  <si>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</si>
  <si>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</si>
  <si>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</si>
  <si>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</si>
  <si>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</si>
  <si>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</si>
  <si>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</si>
  <si>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</si>
  <si>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</si>
  <si>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</si>
  <si>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</si>
  <si>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</si>
  <si>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</si>
  <si>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</si>
  <si>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</si>
  <si>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</si>
  <si>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</si>
  <si>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</si>
  <si>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</si>
  <si>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</si>
  <si>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</si>
  <si>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</si>
  <si>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</si>
  <si>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</si>
  <si>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</si>
  <si>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</si>
  <si>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</si>
  <si>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</si>
  <si>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</si>
  <si>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</si>
  <si>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</si>
  <si>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</si>
  <si>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</si>
  <si>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</si>
  <si>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</si>
  <si>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</si>
  <si>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</si>
  <si>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</si>
  <si>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</si>
  <si>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</si>
  <si>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</si>
  <si>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</si>
  <si>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</si>
  <si>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</si>
  <si>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</si>
  <si>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</si>
  <si>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</si>
  <si>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</si>
  <si>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</si>
  <si>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</si>
  <si>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</si>
  <si>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</si>
  <si>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</si>
  <si>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</si>
  <si>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</si>
  <si>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</si>
  <si>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</si>
  <si>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</si>
  <si>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</si>
  <si>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</si>
  <si>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</si>
  <si>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</si>
  <si>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</si>
  <si>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</si>
  <si>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</si>
  <si>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</si>
  <si>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</si>
  <si>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</si>
  <si>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</si>
  <si>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</si>
  <si>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</si>
  <si>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</si>
  <si>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</si>
  <si>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</si>
  <si>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</si>
  <si>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</si>
  <si>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</si>
  <si>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</si>
  <si>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</si>
  <si>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</si>
  <si>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</si>
  <si>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</si>
  <si>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</si>
  <si>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</si>
  <si>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</si>
  <si>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</si>
  <si>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</si>
  <si>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</si>
  <si>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</si>
  <si>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</si>
  <si>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</si>
  <si>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</si>
  <si>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</si>
  <si>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</si>
  <si>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</si>
  <si>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</si>
  <si>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</si>
  <si>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</si>
  <si>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</si>
  <si>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</si>
  <si>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</si>
  <si>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</si>
  <si>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</si>
  <si>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</si>
  <si>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</si>
  <si>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</si>
  <si>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</si>
  <si>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</si>
  <si>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</si>
  <si>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</si>
  <si>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</si>
  <si>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</si>
  <si>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</si>
  <si>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</si>
  <si>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</si>
  <si>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</si>
  <si>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</si>
  <si>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</si>
  <si>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</si>
  <si>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</si>
  <si>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</si>
  <si>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</si>
  <si>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</si>
  <si>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</si>
  <si>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</si>
  <si>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</si>
  <si>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</si>
  <si>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</si>
  <si>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</si>
  <si>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</si>
  <si>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</si>
  <si>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</si>
  <si>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</si>
  <si>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</si>
  <si>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</si>
  <si>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</si>
  <si>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ELCRC</t>
  </si>
  <si>
    <t>RAPID CITY-ELK CREEK 115-kV T/L</t>
  </si>
  <si>
    <t>RG LE</t>
  </si>
  <si>
    <t>RUGBY-LEEDS</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</si>
  <si>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</si>
  <si>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</si>
  <si>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</si>
  <si>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</si>
  <si>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</si>
  <si>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</si>
  <si>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</si>
  <si>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</si>
  <si>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</si>
  <si>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</si>
  <si>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</si>
  <si>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</si>
  <si>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</si>
  <si>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</si>
  <si>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</si>
  <si>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</si>
  <si>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</si>
  <si>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</si>
  <si>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</si>
  <si>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</si>
  <si>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</si>
  <si>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</si>
  <si>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</si>
  <si>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</si>
  <si>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</si>
  <si>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</si>
  <si>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</si>
  <si>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</si>
  <si>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</si>
  <si>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</si>
  <si>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</si>
  <si>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</si>
  <si>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</si>
  <si>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</si>
  <si>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</si>
  <si>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</si>
  <si>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SUB</t>
  </si>
  <si>
    <t>APD</t>
  </si>
  <si>
    <t>APPELDORN SUBSTATION</t>
  </si>
  <si>
    <t>AR</t>
  </si>
  <si>
    <t>ARMOUR SUBSTATION</t>
  </si>
  <si>
    <t xml:space="preserve"> </t>
  </si>
  <si>
    <t>AHS</t>
  </si>
  <si>
    <t>ASH SUBSTATION</t>
  </si>
  <si>
    <t>AUR</t>
  </si>
  <si>
    <t>AURORA SUBSTATION</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</si>
  <si>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</si>
  <si>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</si>
  <si>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</si>
  <si>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</si>
  <si>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</si>
  <si>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</si>
  <si>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</si>
  <si>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</si>
  <si>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</si>
  <si>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</si>
  <si>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</si>
  <si>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</si>
  <si>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</si>
  <si>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</si>
  <si>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</si>
  <si>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</si>
  <si>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</si>
  <si>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</si>
  <si>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CRP</t>
  </si>
  <si>
    <t>CARPENTER SUBSTATION</t>
  </si>
  <si>
    <t xml:space="preserve">CA </t>
  </si>
  <si>
    <t>CARRINGTON SUBSTATION</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</si>
  <si>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</si>
  <si>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</si>
  <si>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</si>
  <si>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</si>
  <si>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</si>
  <si>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</si>
  <si>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</si>
  <si>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</si>
  <si>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</si>
  <si>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</si>
  <si>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</si>
  <si>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</si>
  <si>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</si>
  <si>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</si>
  <si>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</si>
  <si>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</si>
  <si>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
  </si>
  <si>
    <t>DENISON SUBSTATION</t>
  </si>
  <si>
    <t>DV</t>
  </si>
  <si>
    <t>DEVAUL SUBSTATION</t>
  </si>
  <si>
    <t>DL</t>
  </si>
  <si>
    <t>DEVILS LAKE SUBSTATION</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</si>
  <si>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</si>
  <si>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</si>
  <si>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</si>
  <si>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</si>
  <si>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</si>
  <si>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</si>
  <si>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</si>
  <si>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</si>
  <si>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</si>
  <si>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</si>
  <si>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</si>
  <si>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</si>
  <si>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</si>
  <si>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</si>
  <si>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</si>
  <si>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</si>
  <si>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</si>
  <si>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</si>
  <si>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</si>
  <si>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</si>
  <si>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</si>
  <si>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</si>
  <si>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</si>
  <si>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</si>
  <si>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</si>
  <si>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</si>
  <si>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</si>
  <si>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</si>
  <si>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</si>
  <si>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</si>
  <si>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</si>
  <si>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</si>
  <si>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</si>
  <si>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</si>
  <si>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</si>
  <si>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</si>
  <si>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GF</t>
  </si>
  <si>
    <t>GRANITE FALLS SUBSTATION</t>
  </si>
  <si>
    <t>GTF</t>
  </si>
  <si>
    <t xml:space="preserve">GREAT FALLS SUB </t>
  </si>
  <si>
    <t>GY</t>
  </si>
  <si>
    <t>GREGORY SUBSTATION</t>
  </si>
  <si>
    <t>GR</t>
  </si>
  <si>
    <t>GROTON SUBSTATION</t>
  </si>
  <si>
    <t>HV</t>
  </si>
  <si>
    <t>HAVRE SUBSTATION</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</si>
  <si>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</si>
  <si>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</si>
  <si>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</si>
  <si>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</si>
  <si>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</si>
  <si>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</si>
  <si>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</si>
  <si>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</si>
  <si>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</si>
  <si>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</si>
  <si>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</si>
  <si>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</si>
  <si>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</si>
  <si>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</si>
  <si>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MDN</t>
  </si>
  <si>
    <t>MANDAN SUBSTATION</t>
  </si>
  <si>
    <t>MR</t>
  </si>
  <si>
    <t>MARTIN SUBSTATION</t>
  </si>
  <si>
    <t>MA</t>
  </si>
  <si>
    <t>MAURINE SUBSTATION</t>
  </si>
  <si>
    <t>MD</t>
  </si>
  <si>
    <t>MIDLAND SUBSTATION</t>
  </si>
  <si>
    <t>MC2</t>
  </si>
  <si>
    <t>MILES CITY SUB #2</t>
  </si>
  <si>
    <t>MC3</t>
  </si>
  <si>
    <t>MILES CITY SUB #3</t>
  </si>
  <si>
    <t>MC</t>
  </si>
  <si>
    <t>MILES CITY SUBSTATION</t>
  </si>
  <si>
    <t>MS</t>
  </si>
  <si>
    <t>MISSION SUBSTATION</t>
  </si>
  <si>
    <t>MO</t>
  </si>
  <si>
    <t>MORRIS SUBSTATION</t>
  </si>
  <si>
    <t>MV</t>
  </si>
  <si>
    <t>MT VERNON SUBSTATION</t>
  </si>
  <si>
    <t>NEL</t>
  </si>
  <si>
    <t>NELSON SUBSTATION</t>
  </si>
  <si>
    <t>NU</t>
  </si>
  <si>
    <t>NEW UNDERWOOD SUBSTATION</t>
  </si>
  <si>
    <t>NL</t>
  </si>
  <si>
    <t>NEWELL SUBSTATION</t>
  </si>
  <si>
    <t>OF</t>
  </si>
  <si>
    <t>O'FALLON CREEK SUBSTATION</t>
  </si>
  <si>
    <t>PL</t>
  </si>
  <si>
    <t>PHILIP SUBSTATION</t>
  </si>
  <si>
    <t>PI</t>
  </si>
  <si>
    <t>PIERRE SUBSTATION</t>
  </si>
  <si>
    <t>RB</t>
  </si>
  <si>
    <t>RAINBOW SUBSTATION</t>
  </si>
  <si>
    <t>RC</t>
  </si>
  <si>
    <t>RAPID CITY SUBSTATION</t>
  </si>
  <si>
    <t>RH</t>
  </si>
  <si>
    <t>RICHLAND SUBSTATION</t>
  </si>
  <si>
    <t>RL</t>
  </si>
  <si>
    <t>ROLLA SUBSTATION</t>
  </si>
  <si>
    <t>RY</t>
  </si>
  <si>
    <t>RUDYARD SUBSTATION</t>
  </si>
  <si>
    <t>RG</t>
  </si>
  <si>
    <t>RUGBY SUBSTATION</t>
  </si>
  <si>
    <t>SA</t>
  </si>
  <si>
    <t>SAVAGE SUB</t>
  </si>
  <si>
    <t>SH</t>
  </si>
  <si>
    <t>SHELBY SUBSTATION</t>
  </si>
  <si>
    <t>SH2</t>
  </si>
  <si>
    <t>SHELBY SUBSTATION #2</t>
  </si>
  <si>
    <t>SC2</t>
  </si>
  <si>
    <t>SIOUX CITY #2</t>
  </si>
  <si>
    <t xml:space="preserve">SC </t>
  </si>
  <si>
    <t>SIOUX CITY SUBSTATION</t>
  </si>
  <si>
    <t>SF</t>
  </si>
  <si>
    <t>SIOUX FALLS SUBSTATION</t>
  </si>
  <si>
    <t>SP</t>
  </si>
  <si>
    <t>SPENCER</t>
  </si>
  <si>
    <t>SB</t>
  </si>
  <si>
    <t>SULLY BUTTES</t>
  </si>
  <si>
    <t>SU</t>
  </si>
  <si>
    <t>SUMMIT SUBSTATION</t>
  </si>
  <si>
    <t>TY</t>
  </si>
  <si>
    <t>TYNDALL SUBSTATION</t>
  </si>
  <si>
    <t>UJ</t>
  </si>
  <si>
    <t>UTICA JCT.</t>
  </si>
  <si>
    <t>VC</t>
  </si>
  <si>
    <t>VALLEY CITY SUBSTATION</t>
  </si>
  <si>
    <t>VR</t>
  </si>
  <si>
    <t>VERONA</t>
  </si>
  <si>
    <t>VFO</t>
  </si>
  <si>
    <t>VIRGIL FODNESS SUBSTATION</t>
  </si>
  <si>
    <t>WL</t>
  </si>
  <si>
    <t>WALL SUBSTATION</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</si>
  <si>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</si>
  <si>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</si>
  <si>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</si>
  <si>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</si>
  <si>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</si>
  <si>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</si>
  <si>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</si>
  <si>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</si>
  <si>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</si>
  <si>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</si>
  <si>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</si>
  <si>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</si>
  <si>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</si>
  <si>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</si>
  <si>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</si>
  <si>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</si>
  <si>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</si>
  <si>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</si>
  <si>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</si>
  <si>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</si>
  <si>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</si>
  <si>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</si>
  <si>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</si>
  <si>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</si>
  <si>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</si>
  <si>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</si>
  <si>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</si>
  <si>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</si>
  <si>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WP</t>
  </si>
  <si>
    <t>WOLF POINT SUBSTATION</t>
  </si>
  <si>
    <t>WO</t>
  </si>
  <si>
    <t>WOONSOCKET SUBSTATION</t>
  </si>
  <si>
    <t>YA</t>
  </si>
  <si>
    <t>YANKTON SUBSTATION</t>
  </si>
  <si>
    <t>SUB Total</t>
  </si>
  <si>
    <t>SUBSTATIONS</t>
  </si>
  <si>
    <t>AN</t>
  </si>
  <si>
    <t>ANITA</t>
  </si>
  <si>
    <t>AB</t>
  </si>
  <si>
    <t>ASSINNIBOINE</t>
  </si>
  <si>
    <t>BK</t>
  </si>
  <si>
    <t xml:space="preserve">BAKER </t>
  </si>
  <si>
    <t>CF</t>
  </si>
  <si>
    <t>CANYON FERRY</t>
  </si>
  <si>
    <t>CCR</t>
  </si>
  <si>
    <t>CHARLIE CREEK</t>
  </si>
  <si>
    <t>DNT</t>
  </si>
  <si>
    <t>DENBIGH TAP</t>
  </si>
  <si>
    <t>DK</t>
  </si>
  <si>
    <t>DICKINSON</t>
  </si>
  <si>
    <t>EJ</t>
  </si>
  <si>
    <t>E. J. MANNING</t>
  </si>
  <si>
    <t>EA</t>
  </si>
  <si>
    <t>EAGLE</t>
  </si>
  <si>
    <t>FTH</t>
  </si>
  <si>
    <t>FORSYTH</t>
  </si>
  <si>
    <t>HA</t>
  </si>
  <si>
    <t>HARLEM</t>
  </si>
  <si>
    <t>HET</t>
  </si>
  <si>
    <t>HETTINGER</t>
  </si>
  <si>
    <t>ML</t>
  </si>
  <si>
    <t>MALLARD</t>
  </si>
  <si>
    <t>MT</t>
  </si>
  <si>
    <t>MALTA</t>
  </si>
  <si>
    <t>NA</t>
  </si>
  <si>
    <t>NASHUA SUB</t>
  </si>
  <si>
    <t>ON</t>
  </si>
  <si>
    <t>O'NEILL SUB (NPP)</t>
  </si>
  <si>
    <t>PET</t>
  </si>
  <si>
    <t>PENN TAP</t>
  </si>
  <si>
    <t>PLL</t>
  </si>
  <si>
    <t>PLEASANT LAKE TAP</t>
  </si>
  <si>
    <t>SL</t>
  </si>
  <si>
    <t>SHIRLEY TAP</t>
  </si>
  <si>
    <t>SNY</t>
  </si>
  <si>
    <t>STANLEY</t>
  </si>
  <si>
    <t>TR</t>
  </si>
  <si>
    <t>TERRY TAP</t>
  </si>
  <si>
    <t>TT</t>
  </si>
  <si>
    <t>TIBER TAP</t>
  </si>
  <si>
    <t>VE</t>
  </si>
  <si>
    <t>VETAL TAP</t>
  </si>
  <si>
    <t>VH</t>
  </si>
  <si>
    <t>V. T. HANLON</t>
  </si>
  <si>
    <t>WJ</t>
  </si>
  <si>
    <t>WM. J. NEAL</t>
  </si>
  <si>
    <t>YJ</t>
  </si>
  <si>
    <t>YANKTON JCT.</t>
  </si>
  <si>
    <t>O&amp;M</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</si>
  <si>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</si>
  <si>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</si>
  <si>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</si>
  <si>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</si>
  <si>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</si>
  <si>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</si>
  <si>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</si>
  <si>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</si>
  <si>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</si>
  <si>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</si>
  <si>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</si>
  <si>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</si>
  <si>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</si>
  <si>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</si>
  <si>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</si>
  <si>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</si>
  <si>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</si>
  <si>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</si>
  <si>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</si>
  <si>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</si>
  <si>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</si>
  <si>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</si>
  <si>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</si>
  <si>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</si>
  <si>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</si>
  <si>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</si>
  <si>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</si>
  <si>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</si>
  <si>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</si>
  <si>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</si>
  <si>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</si>
  <si>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</si>
  <si>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</si>
  <si>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</si>
  <si>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</si>
  <si>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</si>
  <si>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</si>
  <si>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</si>
  <si>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</si>
  <si>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</si>
  <si>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</si>
  <si>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</si>
  <si>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</si>
  <si>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WTO</t>
  </si>
  <si>
    <t>WATERTOWN OPERATIONS CENT</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</si>
  <si>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</si>
  <si>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</si>
  <si>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</si>
  <si>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</si>
  <si>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</si>
  <si>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</si>
  <si>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</si>
  <si>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</si>
  <si>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</si>
  <si>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</si>
  <si>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</si>
  <si>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</si>
  <si>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</si>
  <si>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</si>
  <si>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</si>
  <si>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</si>
  <si>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</si>
  <si>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</si>
  <si>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</si>
  <si>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</si>
  <si>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</si>
  <si>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</si>
  <si>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</si>
  <si>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</si>
  <si>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</si>
  <si>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</si>
  <si>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</si>
  <si>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</si>
  <si>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</si>
  <si>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</si>
  <si>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</si>
  <si>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</si>
  <si>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</si>
  <si>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</si>
  <si>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</si>
  <si>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</si>
  <si>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</si>
  <si>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</si>
  <si>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</si>
  <si>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</si>
  <si>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</si>
  <si>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</si>
  <si>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</si>
  <si>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</si>
  <si>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</si>
  <si>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</si>
  <si>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</si>
  <si>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</si>
  <si>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</si>
  <si>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</si>
  <si>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</si>
  <si>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</si>
  <si>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</si>
  <si>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</si>
  <si>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</si>
  <si>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</si>
  <si>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</si>
  <si>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</si>
  <si>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</si>
  <si>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</si>
  <si>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</si>
  <si>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</si>
  <si>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</si>
  <si>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</si>
  <si>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</si>
  <si>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</si>
  <si>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</si>
  <si>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</si>
  <si>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</si>
  <si>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</si>
  <si>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</si>
  <si>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</si>
  <si>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</si>
  <si>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</si>
  <si>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</si>
  <si>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</si>
  <si>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</si>
  <si>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</si>
  <si>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</si>
  <si>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</si>
  <si>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</si>
  <si>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</si>
  <si>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</si>
  <si>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</si>
  <si>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</si>
  <si>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</si>
  <si>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</si>
  <si>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</si>
  <si>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</si>
  <si>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</si>
  <si>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</si>
  <si>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</si>
  <si>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</si>
  <si>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</si>
  <si>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</si>
  <si>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</si>
  <si>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</si>
  <si>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</si>
  <si>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</si>
  <si>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</si>
  <si>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</si>
  <si>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</si>
  <si>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</si>
  <si>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</si>
  <si>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</si>
  <si>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</si>
  <si>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</si>
  <si>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</si>
  <si>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</si>
  <si>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</si>
  <si>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</si>
  <si>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</si>
  <si>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</si>
  <si>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</si>
  <si>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</si>
  <si>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</si>
  <si>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</si>
  <si>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</si>
  <si>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</si>
  <si>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</si>
  <si>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</si>
  <si>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</si>
  <si>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</si>
  <si>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</si>
  <si>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</si>
  <si>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</si>
  <si>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</si>
  <si>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</si>
  <si>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</si>
  <si>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</si>
  <si>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</si>
  <si>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</si>
  <si>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</si>
  <si>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</si>
  <si>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</si>
  <si>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</si>
  <si>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</si>
  <si>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</si>
  <si>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</si>
  <si>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</si>
  <si>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</si>
  <si>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</si>
  <si>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</si>
  <si>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</si>
  <si>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</si>
  <si>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</si>
  <si>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</si>
  <si>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FCS</t>
  </si>
  <si>
    <t>FERGUS FALLS COMMUNICATIONS SITE</t>
  </si>
  <si>
    <t>FLW</t>
  </si>
  <si>
    <t>FLOWING WELLS</t>
  </si>
  <si>
    <t>FBS</t>
  </si>
  <si>
    <t>FORBES COMMUNICATION SITE</t>
  </si>
  <si>
    <t>FP1</t>
  </si>
  <si>
    <t>FORT PECK RELAY (WES)</t>
  </si>
  <si>
    <t>FPC</t>
  </si>
  <si>
    <t>FORT PECK COMMUNICATIONS BUILDING</t>
  </si>
  <si>
    <t>FPR</t>
  </si>
  <si>
    <t>FORT PECK REPEATER</t>
  </si>
  <si>
    <t>FTR</t>
  </si>
  <si>
    <t>FORT THOMPSON REPEATER</t>
  </si>
  <si>
    <t>FTP</t>
  </si>
  <si>
    <t>FORT THOMPSON REPEATER (EAST RIVER)</t>
  </si>
  <si>
    <t>FCR</t>
  </si>
  <si>
    <t>FOX CREEK MICROWAVE</t>
  </si>
  <si>
    <t>FRY</t>
  </si>
  <si>
    <t>FRYBURG SUB &amp; MICROWAVE</t>
  </si>
  <si>
    <t>GA</t>
  </si>
  <si>
    <t>GARRISON</t>
  </si>
  <si>
    <t>GRR</t>
  </si>
  <si>
    <t>GARY REPEATER</t>
  </si>
  <si>
    <t>GP</t>
  </si>
  <si>
    <t>GAVIN'S POINT</t>
  </si>
  <si>
    <t>GPR</t>
  </si>
  <si>
    <t>GAVINS POINT REPEATER</t>
  </si>
  <si>
    <t>GET</t>
  </si>
  <si>
    <t>GETTYSBURG REPEATER</t>
  </si>
  <si>
    <t>GH</t>
  </si>
  <si>
    <t>GLENHAM</t>
  </si>
  <si>
    <t>GKM</t>
  </si>
  <si>
    <t>GRAND FORKS MINNKOTA (MPC)</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</si>
  <si>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</si>
  <si>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</si>
  <si>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</si>
  <si>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</si>
  <si>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</si>
  <si>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</si>
  <si>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</si>
  <si>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</si>
  <si>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</si>
  <si>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</si>
  <si>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</si>
  <si>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</si>
  <si>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</si>
  <si>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</si>
  <si>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</si>
  <si>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</si>
  <si>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</si>
  <si>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</si>
  <si>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</si>
  <si>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</si>
  <si>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</si>
  <si>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</si>
  <si>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</si>
  <si>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</si>
  <si>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</si>
  <si>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</si>
  <si>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</si>
  <si>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</si>
  <si>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</si>
  <si>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</si>
  <si>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</si>
  <si>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</si>
  <si>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</si>
  <si>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</si>
  <si>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</si>
  <si>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</si>
  <si>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</si>
  <si>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</si>
  <si>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</si>
  <si>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</si>
  <si>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</si>
  <si>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</si>
  <si>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</si>
  <si>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</si>
  <si>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</si>
  <si>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</si>
  <si>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</si>
  <si>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</si>
  <si>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</si>
  <si>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</si>
  <si>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</si>
  <si>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</si>
  <si>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</si>
  <si>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</si>
  <si>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</si>
  <si>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</si>
  <si>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</si>
  <si>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</si>
  <si>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</si>
  <si>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</si>
  <si>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</si>
  <si>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</si>
  <si>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</si>
  <si>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</si>
  <si>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</si>
  <si>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</si>
  <si>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</si>
  <si>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</si>
  <si>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</si>
  <si>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</si>
  <si>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</si>
  <si>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</si>
  <si>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</si>
  <si>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</si>
  <si>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</si>
  <si>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</si>
  <si>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</si>
  <si>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</si>
  <si>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</si>
  <si>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</si>
  <si>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</si>
  <si>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</si>
  <si>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</si>
  <si>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</si>
  <si>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</si>
  <si>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</si>
  <si>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</si>
  <si>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</si>
  <si>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</si>
  <si>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</si>
  <si>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</si>
  <si>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</si>
  <si>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</si>
  <si>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</si>
  <si>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</si>
  <si>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</si>
  <si>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</si>
  <si>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</si>
  <si>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</si>
  <si>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</si>
  <si>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</si>
  <si>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</si>
  <si>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</si>
  <si>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</si>
  <si>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</si>
  <si>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</si>
  <si>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</si>
  <si>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</si>
  <si>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</si>
  <si>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</si>
  <si>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</si>
  <si>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</si>
  <si>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</si>
  <si>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</si>
  <si>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</si>
  <si>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</si>
  <si>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</si>
  <si>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</si>
  <si>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</si>
  <si>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</si>
  <si>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</si>
  <si>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</si>
  <si>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</si>
  <si>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</si>
  <si>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</si>
  <si>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</si>
  <si>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</si>
  <si>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</si>
  <si>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</si>
  <si>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</si>
  <si>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</si>
  <si>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</si>
  <si>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</si>
  <si>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</si>
  <si>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</si>
  <si>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</si>
  <si>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</si>
  <si>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</si>
  <si>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</si>
  <si>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</si>
  <si>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</si>
  <si>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</si>
  <si>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</si>
  <si>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</si>
  <si>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</si>
  <si>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</si>
  <si>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</si>
  <si>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</si>
  <si>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</si>
  <si>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</si>
  <si>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</si>
  <si>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</si>
  <si>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</si>
  <si>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</si>
  <si>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</si>
  <si>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</si>
  <si>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</si>
  <si>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</si>
  <si>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</si>
  <si>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</si>
  <si>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</si>
  <si>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</si>
  <si>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</si>
  <si>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</si>
  <si>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</si>
  <si>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WHITLOCK (BCPS)</t>
  </si>
  <si>
    <t>WOB</t>
  </si>
  <si>
    <t>WOLBACH REPEATER</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</si>
  <si>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</si>
  <si>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</si>
  <si>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</si>
  <si>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</si>
  <si>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</si>
  <si>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</si>
  <si>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</si>
  <si>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</si>
  <si>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</si>
  <si>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</si>
  <si>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</si>
  <si>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</si>
  <si>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BP</t>
  </si>
  <si>
    <t>BUFORD TRENTON PUMP SUB</t>
  </si>
  <si>
    <t>FN</t>
  </si>
  <si>
    <t>FALLON PUMPING PLANT SUBS</t>
  </si>
  <si>
    <t>FE</t>
  </si>
  <si>
    <t>FALLON RELIFT PUMPING PLA</t>
  </si>
  <si>
    <t>FN GG</t>
  </si>
  <si>
    <t>FALLON-GLENDIVE PUMP #4</t>
  </si>
  <si>
    <t>FP WP</t>
  </si>
  <si>
    <t>FORT PECK-WOLF POINT</t>
  </si>
  <si>
    <t>FG</t>
  </si>
  <si>
    <t>FRAZER PUMP SUB</t>
  </si>
  <si>
    <t>GA SK</t>
  </si>
  <si>
    <t>GARRISON-SNAKE CREEK</t>
  </si>
  <si>
    <t>GG</t>
  </si>
  <si>
    <t>GLENDIVE P.P. #1 SUB.</t>
  </si>
  <si>
    <t>IN</t>
  </si>
  <si>
    <t>INTAKE SUBSTATION</t>
  </si>
  <si>
    <t>IN INP</t>
  </si>
  <si>
    <t>INTAKE-INTAKE PUMP</t>
  </si>
  <si>
    <t>SV</t>
  </si>
  <si>
    <t>SAVAGE PUMPING PLANT SUBS</t>
  </si>
  <si>
    <t>SY</t>
  </si>
  <si>
    <t>SHIRLEY PUMP SUBSTATION</t>
  </si>
  <si>
    <t>SK</t>
  </si>
  <si>
    <t>TE</t>
  </si>
  <si>
    <t>TI</t>
  </si>
  <si>
    <t>TIBER DAM SUBSTATION</t>
  </si>
  <si>
    <t>VA</t>
  </si>
  <si>
    <t>WIOTA SUBSTATION</t>
  </si>
  <si>
    <t>DIST Total</t>
  </si>
  <si>
    <t>DISTRIBUTION FACILITIES</t>
  </si>
  <si>
    <t>RMR</t>
  </si>
  <si>
    <t>NEW UNDERWOOD-STEGALL</t>
  </si>
  <si>
    <t>STEGALL SUBSTATION</t>
  </si>
  <si>
    <t>STEGALL-WAYSIDE</t>
  </si>
  <si>
    <t>YELLOWTAIL SWITCHYARD</t>
  </si>
  <si>
    <t>RMR Total</t>
  </si>
  <si>
    <t>ROCKY MOUNTAIN REGION FACILITIES</t>
  </si>
  <si>
    <t>COE</t>
  </si>
  <si>
    <t>COE Total</t>
  </si>
  <si>
    <t>CORPS OF ENGINEERS FACILITIES</t>
  </si>
  <si>
    <t>Grand Total</t>
  </si>
  <si>
    <t>TOTAL</t>
  </si>
  <si>
    <t>SUBTOTAL WESTERN-UGP ONLY</t>
  </si>
  <si>
    <t>111A</t>
  </si>
  <si>
    <t>BEFP - Maint</t>
  </si>
  <si>
    <t>BEFP - Ops</t>
  </si>
  <si>
    <t>BXPS - Maint</t>
  </si>
  <si>
    <t>BXPS - Ops</t>
  </si>
  <si>
    <t>Wage &amp; Salary Allocator</t>
  </si>
  <si>
    <t>Schedule 11B</t>
  </si>
  <si>
    <t>Long Term Debt Estimate</t>
  </si>
  <si>
    <t>From HFD Schedule 21RX and 21X</t>
  </si>
  <si>
    <t xml:space="preserve">     Transmission Plant</t>
  </si>
  <si>
    <t xml:space="preserve">Interest Attributable to </t>
  </si>
  <si>
    <t>Percent Transmission Plant</t>
  </si>
  <si>
    <t>Distribution Plant</t>
  </si>
  <si>
    <t>Transmission Plant</t>
  </si>
  <si>
    <t>Production Plant</t>
  </si>
  <si>
    <t>Total Plant</t>
  </si>
  <si>
    <t>Total Interest Expense</t>
  </si>
  <si>
    <t>Total</t>
  </si>
  <si>
    <t>UGP</t>
  </si>
  <si>
    <t>Schedule C</t>
  </si>
  <si>
    <t>Accum Depr</t>
  </si>
  <si>
    <t>Schedule B</t>
  </si>
  <si>
    <t>A&amp;G</t>
  </si>
  <si>
    <t>Plus Warehouse Interest</t>
  </si>
  <si>
    <t>Plus CME Interest</t>
  </si>
  <si>
    <t>Disposition of Assets</t>
  </si>
  <si>
    <t>Depreciation MOVP</t>
  </si>
  <si>
    <t xml:space="preserve">  Less Prior Year Adjustment</t>
  </si>
  <si>
    <t xml:space="preserve">  Less A&amp;G Expense</t>
  </si>
  <si>
    <t xml:space="preserve">  Less Ft. Peck FERC 567</t>
  </si>
  <si>
    <t xml:space="preserve">  Less Xmsn By Others</t>
  </si>
  <si>
    <t xml:space="preserve">  Less FERC 555 (Purch Pwr)</t>
  </si>
  <si>
    <t>Total Operating Expense</t>
  </si>
  <si>
    <t>Schedule A</t>
  </si>
  <si>
    <t xml:space="preserve">  </t>
  </si>
  <si>
    <t>R</t>
  </si>
  <si>
    <t>Includes income related only to transmission facilities, such as pole attachments, rentals and special use.</t>
  </si>
  <si>
    <t>Q</t>
  </si>
  <si>
    <t>P</t>
  </si>
  <si>
    <t>O</t>
  </si>
  <si>
    <t xml:space="preserve">Western does not have Common Plant. </t>
  </si>
  <si>
    <t>N</t>
  </si>
  <si>
    <t>Percentage of Total Plant Allocators are developed separately for Western-UGP and Western-RMR to allocate O&amp;M, A&amp;G, and Depreciation Expenses between Transmission and Generation.</t>
  </si>
  <si>
    <t>M</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</si>
  <si>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</si>
  <si>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L</t>
  </si>
  <si>
    <t>Removes transmission plant determined by Commission order to be state-jurisdictional according to the seven-factor test (until RUS 12 balances are adjusted to reflect application of seven-factor test).</t>
  </si>
  <si>
    <t>K</t>
  </si>
  <si>
    <t>Removes dollar amount of transmission expenses included in the OATT ancillary services rates, including Acct No. 561.  Western does not include transmission expenses in ancillary service rates.</t>
  </si>
  <si>
    <t>J</t>
  </si>
  <si>
    <t xml:space="preserve">  (percent of federal income tax deductible for state purposes)</t>
  </si>
  <si>
    <t>p =</t>
  </si>
  <si>
    <t xml:space="preserve">  (State Income Tax Rate or Composite SIT)</t>
  </si>
  <si>
    <t>SIT=</t>
  </si>
  <si>
    <t>FIT =</t>
  </si>
  <si>
    <t xml:space="preserve">         Inputs Required:</t>
  </si>
  <si>
    <t>Western is not subject to Federal or State Income Tax.</t>
  </si>
  <si>
    <t>I</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</si>
  <si>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</si>
  <si>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H</t>
  </si>
  <si>
    <t>G</t>
  </si>
  <si>
    <t>Totals of Results of Operations Schedule 11A Object Classes 1411, 1412, 1415, 1416, 1421, 1422, 1425, 1426, 1431, 1432, 1441, 1442.</t>
  </si>
  <si>
    <t>F</t>
  </si>
  <si>
    <t>For O&amp;M Expense, Calculated as Total O&amp;M from Results of Operations less Purchase Power, Transmission Service Provided by Others (FERC 565), O&amp;M Expense Fort Peck Powerhouse, Prior Year Adjustments, A&amp;G Expense from Schedule 11, plus CME and Warehouse Interest from Schedule 5.  Depreciation Expense from Results of Operations Schedule 4.</t>
  </si>
  <si>
    <t>D</t>
  </si>
  <si>
    <t>Transmission related only.</t>
  </si>
  <si>
    <t>C</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</si>
  <si>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</si>
  <si>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B</t>
  </si>
  <si>
    <t>Combines plant data for both the Western-Upper Great Plains Region (Western-UGP) and Western-Rocky Mountain Region (Western-RMR).</t>
  </si>
  <si>
    <t>A</t>
  </si>
  <si>
    <t>To the extent the references to ROOs data are missing, the entity will include a "Notes" section  to provide this data.</t>
  </si>
  <si>
    <t>Letter</t>
  </si>
  <si>
    <t xml:space="preserve">General Note:  References to Results of Operations in this revenue requirement template indicate the Financial Statement Results of Operations (ROOs) Schedule where data is located </t>
  </si>
  <si>
    <t>Note</t>
  </si>
  <si>
    <t xml:space="preserve">  b. Transmission charges for all transmission transactions included in Divisor on page 1</t>
  </si>
  <si>
    <t xml:space="preserve">  a. Transmission charges for all transmission transactions </t>
  </si>
  <si>
    <t>ACCOUNT 456 (OTHER ELECTRIC REVENUES)</t>
  </si>
  <si>
    <t>(Note Q)</t>
  </si>
  <si>
    <t>ACCOUNT 454 (RENT FROM ELECTRIC PROPERTY)</t>
  </si>
  <si>
    <t xml:space="preserve">  Total of (a)-(b)</t>
  </si>
  <si>
    <t xml:space="preserve">  b. Bundled Sales for Resale included in Divisor on page 1 </t>
  </si>
  <si>
    <t>(Note P)</t>
  </si>
  <si>
    <t xml:space="preserve">  a. Bundled Non-RQ Sales for Resale</t>
  </si>
  <si>
    <t>ACCOUNT 447 (SALES FOR RESALE)</t>
  </si>
  <si>
    <t>Load</t>
  </si>
  <si>
    <t>REVENUE CREDITS</t>
  </si>
  <si>
    <t>TIER =</t>
  </si>
  <si>
    <t xml:space="preserve">                                      Proprietary Capital Cost Rate =    </t>
  </si>
  <si>
    <t>Total (sum lines 31-32)</t>
  </si>
  <si>
    <t xml:space="preserve">  Proprietary Capital</t>
  </si>
  <si>
    <t>=R</t>
  </si>
  <si>
    <t>HFD Sch's 21RX &amp; 21X Col 8 Lines 23,25,26,29,30</t>
  </si>
  <si>
    <t xml:space="preserve">  Long Term Debt</t>
  </si>
  <si>
    <t>Weighted</t>
  </si>
  <si>
    <t>(Note O)</t>
  </si>
  <si>
    <t>%</t>
  </si>
  <si>
    <t>$</t>
  </si>
  <si>
    <t>=WCLTD</t>
  </si>
  <si>
    <t>Cost</t>
  </si>
  <si>
    <t xml:space="preserve">              Long Term Interest  Schedule 5</t>
  </si>
  <si>
    <t>RETURN (R)</t>
  </si>
  <si>
    <t xml:space="preserve">  Total</t>
  </si>
  <si>
    <t xml:space="preserve">  Water</t>
  </si>
  <si>
    <t>*</t>
  </si>
  <si>
    <t xml:space="preserve">  Gas</t>
  </si>
  <si>
    <t xml:space="preserve">  Electric</t>
  </si>
  <si>
    <t>Labor Ratio =</t>
  </si>
  <si>
    <t>% Electric</t>
  </si>
  <si>
    <t>CE</t>
  </si>
  <si>
    <t>(Note N)</t>
  </si>
  <si>
    <t>COMMON PLANT ALLOCATOR  (CE)</t>
  </si>
  <si>
    <t>=</t>
  </si>
  <si>
    <t>PTP/COE</t>
  </si>
  <si>
    <t>COE Percentage of Transmission Plant to Total Plant</t>
  </si>
  <si>
    <t>Total Plant in Service COE</t>
  </si>
  <si>
    <t>Transmission Plant in Service COE</t>
  </si>
  <si>
    <t>PTP/RMR</t>
  </si>
  <si>
    <t>RMR Percentage of Transmission Plant to Total Plant</t>
  </si>
  <si>
    <t>Total Plant in Service Western-RMR</t>
  </si>
  <si>
    <t>Transmission Plant in Service Western-RMR</t>
  </si>
  <si>
    <t>PTP/UGP</t>
  </si>
  <si>
    <t>UGP Percentage of Transmission Plant to Total Plant</t>
  </si>
  <si>
    <t>Total Plant in Service Western-UGP</t>
  </si>
  <si>
    <t>Transmission Plant in Service Western-UGP</t>
  </si>
  <si>
    <t>(Note M)</t>
  </si>
  <si>
    <t>PERCENTAGE OF TOTAL PLANT ALLOCATOR    PTP</t>
  </si>
  <si>
    <t>($ / Allocation)</t>
  </si>
  <si>
    <t xml:space="preserve">  Other</t>
  </si>
  <si>
    <t>W&amp;S Allocator</t>
  </si>
  <si>
    <t xml:space="preserve">  Distribution</t>
  </si>
  <si>
    <t xml:space="preserve">  Transmission</t>
  </si>
  <si>
    <t xml:space="preserve">  Production</t>
  </si>
  <si>
    <t>Allocation</t>
  </si>
  <si>
    <t>TP</t>
  </si>
  <si>
    <t>WAGES &amp; SALARY ALLOCATOR   (W&amp;S)</t>
  </si>
  <si>
    <t>TE=</t>
  </si>
  <si>
    <t>Percentage of transmission expenses included in UMZ Rates</t>
  </si>
  <si>
    <t>Percentage of transmission plant included in UMZ Rates</t>
  </si>
  <si>
    <t>Percentage of transmission expenses after adjustment (line 8 divided by line 6)</t>
  </si>
  <si>
    <t>Included transmission expenses</t>
  </si>
  <si>
    <t>(Note J)</t>
  </si>
  <si>
    <t>Less transmission expenses included in OATT Ancillary Services</t>
  </si>
  <si>
    <t>Total transmission expenses</t>
  </si>
  <si>
    <t xml:space="preserve">TRANSMISSION EXPENSES </t>
  </si>
  <si>
    <t>TP=</t>
  </si>
  <si>
    <t xml:space="preserve">Percentage of transmission plant included in UMZ Rates </t>
  </si>
  <si>
    <t>Transmission plant included in IS rates</t>
  </si>
  <si>
    <t>(Note L)</t>
  </si>
  <si>
    <t>Less transmission plant included in OATT Ancillary Services</t>
  </si>
  <si>
    <t>(Note K)</t>
  </si>
  <si>
    <t>Less transmission plant excluded from UMZ rates</t>
  </si>
  <si>
    <t>Total transmission plant</t>
  </si>
  <si>
    <t>TRANSMISSION PLANT INCLUDED IN UMZ RATES</t>
  </si>
  <si>
    <t xml:space="preserve">                                      SUPPORTING CALCULATIONS AND NOTES</t>
  </si>
  <si>
    <t>REV. REQUIREMENT</t>
  </si>
  <si>
    <t>RETURN  [ Rate Base * Rate of Return]</t>
  </si>
  <si>
    <t>Total Income Taxes</t>
  </si>
  <si>
    <t>NP</t>
  </si>
  <si>
    <t>ITC adjustment</t>
  </si>
  <si>
    <t>Income Tax Calculation</t>
  </si>
  <si>
    <t>(enter negative)</t>
  </si>
  <si>
    <t>Amortized Investment Tax Credit</t>
  </si>
  <si>
    <t xml:space="preserve">     CIT=(T/1-T) * (1-(WCLTD/R)) =</t>
  </si>
  <si>
    <t xml:space="preserve">     T=1 - {[(1 - SIT) * (1 - FIT)] / (1 - SIT * FIT * p)} =</t>
  </si>
  <si>
    <t>(Note I)</t>
  </si>
  <si>
    <t xml:space="preserve">INCOME TAXES          </t>
  </si>
  <si>
    <t>TOTAL OTHER TAXES</t>
  </si>
  <si>
    <t xml:space="preserve">         Payments in lieu of taxes</t>
  </si>
  <si>
    <t xml:space="preserve">         Other</t>
  </si>
  <si>
    <t xml:space="preserve">         Gross Receipts</t>
  </si>
  <si>
    <t xml:space="preserve">         Property</t>
  </si>
  <si>
    <t xml:space="preserve">  PLANT RELATED</t>
  </si>
  <si>
    <t xml:space="preserve">          Highway and vehicle</t>
  </si>
  <si>
    <t>W/S</t>
  </si>
  <si>
    <t xml:space="preserve">          Payroll</t>
  </si>
  <si>
    <t xml:space="preserve">  LABOR RELATED</t>
  </si>
  <si>
    <t>(Note H)</t>
  </si>
  <si>
    <t>TAXES OTHER THAN INCOME TAXES</t>
  </si>
  <si>
    <t>TOTAL DEPRECIATION</t>
  </si>
  <si>
    <t xml:space="preserve">  General </t>
  </si>
  <si>
    <t xml:space="preserve">          COE</t>
  </si>
  <si>
    <t xml:space="preserve">          Western-RMR</t>
  </si>
  <si>
    <t xml:space="preserve">          Western-UGP</t>
  </si>
  <si>
    <t>Schedule 4</t>
  </si>
  <si>
    <t>DEPRECIATION EXPENSE</t>
  </si>
  <si>
    <t xml:space="preserve">TOTAL O&amp;M </t>
  </si>
  <si>
    <t xml:space="preserve">  Transmission Lease Payments</t>
  </si>
  <si>
    <t xml:space="preserve">  Common</t>
  </si>
  <si>
    <t>(Note G)</t>
  </si>
  <si>
    <t xml:space="preserve">     Plus Transmission Related Reg. Comm. Exp</t>
  </si>
  <si>
    <t xml:space="preserve">     Less EPRI &amp; Reg. Comm. Exp. &amp; Non-safety Ad</t>
  </si>
  <si>
    <t xml:space="preserve">     Less FERC Annual Fees</t>
  </si>
  <si>
    <t>Schedule 11 (Note F)</t>
  </si>
  <si>
    <t xml:space="preserve">  A&amp;G</t>
  </si>
  <si>
    <t>(Note E)</t>
  </si>
  <si>
    <t xml:space="preserve">     Less Account 565</t>
  </si>
  <si>
    <t>COE Financial Stmts</t>
  </si>
  <si>
    <t>Schedule 11 (Note E)</t>
  </si>
  <si>
    <t xml:space="preserve">  Transmission </t>
  </si>
  <si>
    <t>RATE BASE</t>
  </si>
  <si>
    <t>TOTAL WORKING CAPITAL</t>
  </si>
  <si>
    <t xml:space="preserve">Bal Sheet Other Assets  </t>
  </si>
  <si>
    <t xml:space="preserve">  Prepayments</t>
  </si>
  <si>
    <t>Bal Sheet - Other Assets - SGL 151191 (Note C)</t>
  </si>
  <si>
    <t xml:space="preserve">  Materials &amp; Supplies</t>
  </si>
  <si>
    <t>calculated</t>
  </si>
  <si>
    <t xml:space="preserve">  CWC  </t>
  </si>
  <si>
    <t>(Note D)</t>
  </si>
  <si>
    <t>WORKING CAPITAL</t>
  </si>
  <si>
    <t>(Note C)</t>
  </si>
  <si>
    <t xml:space="preserve">LAND HELD FOR FUTURE USE </t>
  </si>
  <si>
    <t>TOTAL ADJUSTMENTS</t>
  </si>
  <si>
    <t xml:space="preserve">  Account No. 255</t>
  </si>
  <si>
    <t xml:space="preserve">  Account No. 190</t>
  </si>
  <si>
    <t xml:space="preserve">  Account No. 283</t>
  </si>
  <si>
    <t xml:space="preserve">  Account No. 282</t>
  </si>
  <si>
    <t xml:space="preserve">  Account No. 281</t>
  </si>
  <si>
    <t>(Note B)</t>
  </si>
  <si>
    <t xml:space="preserve">ADJUSTMENTS TO RATE BASE </t>
  </si>
  <si>
    <t>NP=</t>
  </si>
  <si>
    <t>TOTAL NET PLANT</t>
  </si>
  <si>
    <t>NET PLANT IN SERVICE</t>
  </si>
  <si>
    <t>TOTAL ACCUM. DEPRECIATION</t>
  </si>
  <si>
    <t>Bal Sheet - Other Assets - SGL 175902</t>
  </si>
  <si>
    <t>ACCUMULATED DEPRECIATION</t>
  </si>
  <si>
    <t>GP=</t>
  </si>
  <si>
    <t xml:space="preserve">TOTAL GROSS PLANT </t>
  </si>
  <si>
    <t>Bal Sheet - Other Assets - SGL 175002</t>
  </si>
  <si>
    <t xml:space="preserve">  General &amp; Intangible</t>
  </si>
  <si>
    <t>Schedule 1A Total</t>
  </si>
  <si>
    <t>(Note A)</t>
  </si>
  <si>
    <t>GROSS PLANT IN SERVICE</t>
  </si>
  <si>
    <t>(Col 3 times Col 4)</t>
  </si>
  <si>
    <t>RATE BASE:</t>
  </si>
  <si>
    <t>NET REVENUE REQUIREMENT</t>
  </si>
  <si>
    <t>PRIOR PERIOD TRUE-UP</t>
  </si>
  <si>
    <t>(Note R)</t>
  </si>
  <si>
    <t>GROSS REVENUE REQUIREMENT</t>
  </si>
  <si>
    <t>(5)</t>
  </si>
  <si>
    <t>(4)</t>
  </si>
  <si>
    <t>(3)</t>
  </si>
  <si>
    <t>(2)</t>
  </si>
  <si>
    <t>(1)</t>
  </si>
  <si>
    <t>No.</t>
  </si>
  <si>
    <t>ALLOCATED AMOUNT</t>
  </si>
  <si>
    <t>ALLOCATOR</t>
  </si>
  <si>
    <t>COMPANY TOTAL</t>
  </si>
  <si>
    <t>REFERENCE</t>
  </si>
  <si>
    <t>Line</t>
  </si>
  <si>
    <t>TRANSMISSION</t>
  </si>
  <si>
    <t>Utilizing Financial Statement Results of Operations</t>
  </si>
  <si>
    <t>Western-UGP</t>
  </si>
  <si>
    <t>Net Plant Investment Worksheet</t>
  </si>
  <si>
    <t xml:space="preserve">6/  The portion of O&amp;M expenses allocated to PS-ED generation is based on the ratio of generation plant-in-service to total plant-in-service, calculated on L6 of the </t>
  </si>
  <si>
    <t xml:space="preserve"> Net Plant Investment Worksheet</t>
  </si>
  <si>
    <t>5/  The portion of O&amp;M expenses allocated to PS-ED transmission is based on the ratio of transmission plant-in-service to total plant-in-service, calculated on L7 of the</t>
  </si>
  <si>
    <t>4/  Total BOR O&amp;M Expenses are from the Historical Financial Data in Support of the Power Repayment Study for the Pick-Sloan Missouri Basin Program, Schedule 14</t>
  </si>
  <si>
    <t>3/  Total Corps O&amp;M Expenses are from the Corps of Engineers Financial Statements</t>
  </si>
  <si>
    <t>Stores Interest, which are from Schedule 5</t>
  </si>
  <si>
    <t xml:space="preserve">2/  All Western RMR O&amp;M Expenses are from the RMCSR - Pick-Sloan Missouri River Basin Results of Operations, Schedule 11; except Moveable Property and Warehouse </t>
  </si>
  <si>
    <t>Moveable Property and Warehouse Stores Interest,  which are from Schedule 5</t>
  </si>
  <si>
    <t xml:space="preserve">1/  All Western-UGP O&amp;M Expenses are from the UGPCSR - Pick-Sloan Missouri River Basin and UGPCSR -  Ft. Peck Power System Results of Operations, Schedule 11; except </t>
  </si>
  <si>
    <t>PS-ED Generation O&amp;M  6/</t>
  </si>
  <si>
    <t>PS-ED Transmission O&amp;M  5/</t>
  </si>
  <si>
    <t>PS Total O&amp;M</t>
  </si>
  <si>
    <t xml:space="preserve">  Scheduling, System Control &amp; Dispatch</t>
  </si>
  <si>
    <t xml:space="preserve">  Warehouse Stores Interest</t>
  </si>
  <si>
    <t xml:space="preserve">  Moveable Property Interest</t>
  </si>
  <si>
    <t>Plus:</t>
  </si>
  <si>
    <t xml:space="preserve">  Prior Year Adjustments</t>
  </si>
  <si>
    <t xml:space="preserve">  A&amp;G Expenses</t>
  </si>
  <si>
    <t xml:space="preserve">  Other Power Supply Expenses</t>
  </si>
  <si>
    <t>Less:</t>
  </si>
  <si>
    <t>Total Electric Operating Expense</t>
  </si>
  <si>
    <t>BOR  4/</t>
  </si>
  <si>
    <t>COE  3/</t>
  </si>
  <si>
    <t>O&amp;M Expenses Worksheet</t>
  </si>
  <si>
    <t>BOR</t>
  </si>
  <si>
    <t>WESTERN RMR</t>
  </si>
  <si>
    <t xml:space="preserve">WESTERN-UGP </t>
  </si>
  <si>
    <t>6/  The portion of A&amp;G expenses allocated to PS-ED SSCD is based on the ratio of SSCD plant-in-service to total plant-in-service, calculated on L8 of the Net Plant Investment Worksheet</t>
  </si>
  <si>
    <t>Investment Worksheet</t>
  </si>
  <si>
    <t xml:space="preserve">5/  The portion of A&amp;G expenses allocated to PS-ED generation is based on the ratio of generation plant-in-service to total plant-in-service, calculated on L6 of the Net Plant </t>
  </si>
  <si>
    <t xml:space="preserve">4/  The portion of A&amp;G expenses allocated to PS-ED transmission is based on the ratio of transmission plant-in-service to total plant-in-service, calculated on L7 of the Net Plant </t>
  </si>
  <si>
    <t>3/  A&amp;G Expenses for COE and BOR are unavailable.  All COE and BOR A&amp;G expenses are included in O&amp;M Expenses</t>
  </si>
  <si>
    <t>2/  Western RMR A&amp;G Expenses are from the RMCSR - Pick-Sloan Missouri River Basin Results of Operations, Schedule 11A</t>
  </si>
  <si>
    <t>1/  Western-UGP A&amp;G Expenses are from the UGPCSR - Pick-Sloan Missouri River Basin and UGPCSR - Ft. Peck Power System Results of Operations, Schedule 11A</t>
  </si>
  <si>
    <t>PS-ED SSCD A&amp;G  6/</t>
  </si>
  <si>
    <t>PS-ED Generation A&amp;G  5/</t>
  </si>
  <si>
    <t>PS-ED Transmission A&amp;G  4/</t>
  </si>
  <si>
    <t>PS Total A&amp;G</t>
  </si>
  <si>
    <t>BOR  3/</t>
  </si>
  <si>
    <t>WESTERN RMR 2/</t>
  </si>
  <si>
    <t>WESTERN UGPR 1/</t>
  </si>
  <si>
    <t xml:space="preserve">Object Class    </t>
  </si>
  <si>
    <t>A&amp;G Expenses Worksheet</t>
  </si>
  <si>
    <t>13/ Interest from Results of Operations Schedule 5</t>
  </si>
  <si>
    <t>12/  (C2L6*C2L9)+(C3L6*C3L9)+(C4L6*C4L9)+(C5L6*C5L9)</t>
  </si>
  <si>
    <t>11/  C5L4, Net Plant Investment Worksheet/C6L4, Net Plant Investment Worksheet</t>
  </si>
  <si>
    <t>10/  C4L4, Net Plant Investment Worksheet/C6L4, Net Plant Investment Worksheet</t>
  </si>
  <si>
    <t>9/  C3L4, Net Plant Investment Worksheet/C6L4, Net Plant Investment Worksheet</t>
  </si>
  <si>
    <t>8/  C2L4, Net Plant Investment Worksheet/C6L4, Net Plant Investment Worksheet</t>
  </si>
  <si>
    <t>7/  (C2L6*C2L7)+(C3L6*C3L7)+(C4L6*C4L7)+(C5L6*C5L7)</t>
  </si>
  <si>
    <t>6/  C5L3, Net Plant Investment Worksheet/C6L3, Net Plant Investment Worksheet</t>
  </si>
  <si>
    <t>5/  C4L3, Net Plant Investment Worksheet/C6L3, Net Plant Investment Worksheet</t>
  </si>
  <si>
    <t>4/  C3L3, Net Plant Investment Worksheet/C6L3, Net Plant Investment Worksheet</t>
  </si>
  <si>
    <t>3/  C2L3, Net Plant Investment Worksheet/C6L3, Net Plant Investment Worksheet</t>
  </si>
  <si>
    <t>2/   Historical Financial Data in Support of the Power Repayment Study for the P-SMBP, Schedule 33, 33A and ROOs Schedule 5</t>
  </si>
  <si>
    <t>1/   Historical Financial Data in Support of the Power Repayment Study for the P-SMBP, Schedules 21X and 21RX</t>
  </si>
  <si>
    <t>12/</t>
  </si>
  <si>
    <t>Weighted Gen. Composite Rate</t>
  </si>
  <si>
    <t>11/</t>
  </si>
  <si>
    <t>10/</t>
  </si>
  <si>
    <t>9/</t>
  </si>
  <si>
    <t>8/</t>
  </si>
  <si>
    <t>Generation Plant Factor</t>
  </si>
  <si>
    <t>7/</t>
  </si>
  <si>
    <t>Weighted Trans. Composite Rate</t>
  </si>
  <si>
    <t>6/</t>
  </si>
  <si>
    <t>5/</t>
  </si>
  <si>
    <t>4/</t>
  </si>
  <si>
    <t>3/</t>
  </si>
  <si>
    <t>Transmission Plant Factor</t>
  </si>
  <si>
    <t>L6/L3</t>
  </si>
  <si>
    <t>Average Interest Rate</t>
  </si>
  <si>
    <t>2/</t>
  </si>
  <si>
    <t>13/</t>
  </si>
  <si>
    <t>Interest Expenses:</t>
  </si>
  <si>
    <t>1/</t>
  </si>
  <si>
    <t>Long Term Debt:</t>
  </si>
  <si>
    <t>Cost of Capital Worksheet</t>
  </si>
  <si>
    <t>WESTERN-RMR</t>
  </si>
  <si>
    <t xml:space="preserve"> Investment Worksheet</t>
  </si>
  <si>
    <t>7/ For UGPR, the portion of depreciation expense allocated to PS-ED SSCD is based on the ratio of SSCD plant-in-service to total plant in service, calculated on L8 of the Net Plant</t>
  </si>
  <si>
    <t>on L6 of the Net Plant Investment Worksheet.  COE generation depreciation is COE total depreciation less transmission depreciation</t>
  </si>
  <si>
    <t xml:space="preserve">6/  For UGPR, RMR and BOR the portion of depreciation expense allocated to PS-ED generation is based on the ratio of generation plant-in-service to total plant-in-service, calculated </t>
  </si>
  <si>
    <t>calculated on L7 of the Net Plant Investment Worksheet</t>
  </si>
  <si>
    <t xml:space="preserve">5/  For UGPR, RMR, COE, and BOR the portion of depreciation expense allocated to PS-ED transmission is based on the ratio of transmission plant-in-service to total plant-in-service, </t>
  </si>
  <si>
    <t>4/  From data provided by BOR</t>
  </si>
  <si>
    <t>3/  FY Corps of Engineers Statement of Revenues and Expenses</t>
  </si>
  <si>
    <t>2/  FY RMCSR - Pick-Sloan Missouri River Basin Results of Operations, Schedule 4</t>
  </si>
  <si>
    <t>1/  FY UGPCSR - Pick-Sloan Missouri River Basin and UGPCSR - Ft. Peck Power System Results of Operations, Schedule 4</t>
  </si>
  <si>
    <t>PS-ED SSCD Depreciation  7/</t>
  </si>
  <si>
    <t>PS-ED Generation Depreciation  6/</t>
  </si>
  <si>
    <t>PS-ED Transmission Depreciation  5/</t>
  </si>
  <si>
    <t>PS Depreciation Expense</t>
  </si>
  <si>
    <t>Depreciation Worksheet</t>
  </si>
  <si>
    <t>12/  Historical Financial Data in Support of the Power Repayment Study for the P-SMBP, Schedule 15</t>
  </si>
  <si>
    <t>11/  Corps of Engineers Financial Statements, Statement of Assets and Liabilities</t>
  </si>
  <si>
    <t>10/  RMCSR - Pick-Sloan Missouri River Basin Results of Operations, Schedule 4</t>
  </si>
  <si>
    <t>9/  UGPCSR - Pick-Sloan Missouri River Basin and UGPCSR - Ft. Peck Power System Results of Operations, Schedule 4</t>
  </si>
  <si>
    <t>8/ SSCD Plant-in-Service is based on a percentage of Watertown Operations Centers cost, based on FTE</t>
  </si>
  <si>
    <t>3/  Corps of Engineers Financial Statements, Electric and Power Multi-Purpose Plant in Service</t>
  </si>
  <si>
    <t>2/  RMCSR - Pick-Sloan Missouri River Basin Results of Operations, Schedule 1</t>
  </si>
  <si>
    <t>L5-L12</t>
  </si>
  <si>
    <t>PS-ED Net SSCD Plant</t>
  </si>
  <si>
    <t>L4-L11</t>
  </si>
  <si>
    <t>L4-L10</t>
  </si>
  <si>
    <t>PS-ED Net Generation Plant</t>
  </si>
  <si>
    <t>L3-L10</t>
  </si>
  <si>
    <t>L3-L9</t>
  </si>
  <si>
    <t>PS-ED Net Transmission Plant</t>
  </si>
  <si>
    <t>PS-ED SSCD Accumulated Depreciation</t>
  </si>
  <si>
    <t>L6*L9</t>
  </si>
  <si>
    <t>L9-L10</t>
  </si>
  <si>
    <t>PS-ED Gen. Accumulated Depreciation</t>
  </si>
  <si>
    <t>L7*L9</t>
  </si>
  <si>
    <t>PS-ED Trans. Accumulated Depreciation</t>
  </si>
  <si>
    <t>PS Accumulated Depreciation</t>
  </si>
  <si>
    <t>L5/L2</t>
  </si>
  <si>
    <t>SSCD Plant to Total Plant</t>
  </si>
  <si>
    <t>L3/L2</t>
  </si>
  <si>
    <t>Transmission Plant to Total Plant</t>
  </si>
  <si>
    <t>L4/L2</t>
  </si>
  <si>
    <t>Generation Plant to Total Plant</t>
  </si>
  <si>
    <t>PS-ED SSCD Plant-in-Service</t>
  </si>
  <si>
    <t>L2-L3</t>
  </si>
  <si>
    <t>PS-ED Generation Plant-in-Service</t>
  </si>
  <si>
    <t>PS-ED Transmission Plant-in-Service</t>
  </si>
  <si>
    <t>Total PS Plant-in-Service</t>
  </si>
  <si>
    <t>L30 * L31</t>
  </si>
  <si>
    <t xml:space="preserve">     Annual Western-UGPR Cost</t>
  </si>
  <si>
    <t>L5</t>
  </si>
  <si>
    <t xml:space="preserve">     Net Plant Investment</t>
  </si>
  <si>
    <t>L28</t>
  </si>
  <si>
    <t xml:space="preserve">      Fixed Charge Rate</t>
  </si>
  <si>
    <t>H.  Revenue Requirement</t>
  </si>
  <si>
    <t xml:space="preserve">             Total</t>
  </si>
  <si>
    <t>L20</t>
  </si>
  <si>
    <t xml:space="preserve">     Cost of Capital</t>
  </si>
  <si>
    <t xml:space="preserve">     Allocation of General Plant to Transmission</t>
  </si>
  <si>
    <t xml:space="preserve">     Taxes Other than Income Taxes</t>
  </si>
  <si>
    <t>L14</t>
  </si>
  <si>
    <t xml:space="preserve">     Depreciation Expense</t>
  </si>
  <si>
    <t>L10</t>
  </si>
  <si>
    <t xml:space="preserve">     A&amp;G Expense</t>
  </si>
  <si>
    <t>L6</t>
  </si>
  <si>
    <t xml:space="preserve">     Operation and Maintenance Expense</t>
  </si>
  <si>
    <t>G.  Fixed Charge Rate</t>
  </si>
  <si>
    <t xml:space="preserve">     Weighted Transmission Composite Interest Rate</t>
  </si>
  <si>
    <t>F.  Cost of Capital</t>
  </si>
  <si>
    <t xml:space="preserve">     No General Plant identified at this time, all plant is identified as either generation or transmission related.</t>
  </si>
  <si>
    <t xml:space="preserve">E.  Allocation of General Plant </t>
  </si>
  <si>
    <t xml:space="preserve">     Not applicable.</t>
  </si>
  <si>
    <t xml:space="preserve">D.  Taxes Other than Income Taxes for Transmission     </t>
  </si>
  <si>
    <t>L12/L13</t>
  </si>
  <si>
    <t xml:space="preserve">     Depreciation as a % of Net Plant Investment</t>
  </si>
  <si>
    <t>Depreciation Expense Worksheet</t>
  </si>
  <si>
    <t xml:space="preserve">C.  Depreciation Expense                    </t>
  </si>
  <si>
    <t>L8/L9</t>
  </si>
  <si>
    <t xml:space="preserve">      A&amp;G as % of Net Plant Investment</t>
  </si>
  <si>
    <t xml:space="preserve">      Net Plant Investment</t>
  </si>
  <si>
    <t xml:space="preserve">      A&amp;G Expense</t>
  </si>
  <si>
    <t xml:space="preserve">B.  A&amp;G Expense                              </t>
  </si>
  <si>
    <t>L4/L5</t>
  </si>
  <si>
    <t xml:space="preserve">     O&amp;M as % of Net Plant Investment</t>
  </si>
  <si>
    <t>L2 + L3</t>
  </si>
  <si>
    <t xml:space="preserve">     Total O&amp;M Expense</t>
  </si>
  <si>
    <t xml:space="preserve">     Transmission of Electricity by Others</t>
  </si>
  <si>
    <t xml:space="preserve">     O&amp;M Expense</t>
  </si>
  <si>
    <t>A. Operation and Maintenance Expense</t>
  </si>
  <si>
    <t xml:space="preserve"> Line No.</t>
  </si>
  <si>
    <t>COE GENERATION</t>
  </si>
  <si>
    <t>GENERATION</t>
  </si>
  <si>
    <t>DATA SOURCE:</t>
  </si>
  <si>
    <t xml:space="preserve">WAO </t>
  </si>
  <si>
    <t>IDC</t>
  </si>
  <si>
    <t>LAND &amp; RIGHTS</t>
  </si>
  <si>
    <t>LAND &amp; LAND RIGHTS</t>
  </si>
  <si>
    <t>LAND AT KCR</t>
  </si>
  <si>
    <t>MICROWAVE TOWER</t>
  </si>
  <si>
    <t>ANTENNA TOWER</t>
  </si>
  <si>
    <t>SCADA COMMUNICATION EQUIPMENT</t>
  </si>
  <si>
    <t>SEQUENTIAL EVENT RECORDING SYSTEM</t>
  </si>
  <si>
    <t>BUILDINGS</t>
  </si>
  <si>
    <t>SERVICE BUILDINGS</t>
  </si>
  <si>
    <t>ROOFING</t>
  </si>
  <si>
    <t>OTHER STRUCTURES AND IMPROVEMENTS</t>
  </si>
  <si>
    <t>OIL STORAGE TANK</t>
  </si>
  <si>
    <t>HEATING</t>
  </si>
  <si>
    <t>STATION EQUIPMENT</t>
  </si>
  <si>
    <t>AUXILIARY POWER SYSTEM</t>
  </si>
  <si>
    <t>REMOTE TERMINAL UNIT</t>
  </si>
  <si>
    <t>SCADA</t>
  </si>
  <si>
    <t>UNITERRUPTABLE POWER SUPPLY</t>
  </si>
  <si>
    <t>MICROWAVE COMMUNICATION EQUIPMENT</t>
  </si>
  <si>
    <t>MICROWAVE SYSTEM</t>
  </si>
  <si>
    <t>BATTERY</t>
  </si>
  <si>
    <t>BATTERY CHARGER</t>
  </si>
  <si>
    <t>TELEPHONE COMMUNICATION EQUIPMENT</t>
  </si>
  <si>
    <t>PLANT COMM SYSTEM</t>
  </si>
  <si>
    <t>FIBER OPTIC EQUIPMENT</t>
  </si>
  <si>
    <t>FIBER OPTICS EQUIPMENT</t>
  </si>
  <si>
    <t>ADD DROP MULTIPLEXER</t>
  </si>
  <si>
    <t>CABLE TYPE OPGW</t>
  </si>
  <si>
    <t>CHANNEL BANK EQUIPMENT</t>
  </si>
  <si>
    <t>TELEPHONE SYSTEM</t>
  </si>
  <si>
    <t>WTO F</t>
  </si>
  <si>
    <t>ALCATEL 5620 FIBER TERMINAL EQUIP PART 2 OF 2</t>
  </si>
  <si>
    <t>TERMINATION EQUIPMENT</t>
  </si>
  <si>
    <t>POWER SYSTEM DISPATCH CONSOLES</t>
  </si>
  <si>
    <t>MICROWAVE ALARM SYSTEM MASTER STATION</t>
  </si>
  <si>
    <t>DATA STATION</t>
  </si>
  <si>
    <t>VHF RADIO COMPARATOR</t>
  </si>
  <si>
    <t>FIXED RADIO COMM EQUIPMENT</t>
  </si>
  <si>
    <t>TELEPHONE SYSTEM - 40 CHANNEL RECORDER &amp; CRASH KIT</t>
  </si>
  <si>
    <t>VOICE RECORDER SYSTEM</t>
  </si>
  <si>
    <t>AUX PWR SYS - BACKUP GENERATOR</t>
  </si>
  <si>
    <t>(5) DIGITAL VOICE RECORDERS - WTO F</t>
  </si>
  <si>
    <t>BATTERY BANK FOR UPS</t>
  </si>
  <si>
    <t>DIGITAL TRANS &amp; REC EQUIP</t>
  </si>
  <si>
    <t>FREQUENCY CONTROL ADDITIONS</t>
  </si>
  <si>
    <t>LOAD AND FREQUENCY CONTROL EQUIP</t>
  </si>
  <si>
    <t>WATERTOWN OPERATIONS BUILDING</t>
  </si>
  <si>
    <t>CONTROL BUILDING</t>
  </si>
  <si>
    <t>RESURFACE PARKING LOT AT WATERTOWN OPS OFFICE</t>
  </si>
  <si>
    <t>OFFICE BUILDING</t>
  </si>
  <si>
    <t>REPLACE ROOF AT WATERTOWN OPS OFFICE</t>
  </si>
  <si>
    <t>ROOF COVERING</t>
  </si>
  <si>
    <t>SYNC UNIT</t>
  </si>
  <si>
    <t>REMOTE STATION</t>
  </si>
  <si>
    <t>VEHICLE/STORAGE BUILDING</t>
  </si>
  <si>
    <t>GARAGE</t>
  </si>
  <si>
    <t>STEEL GATE</t>
  </si>
  <si>
    <t>AIR CONDITIONER</t>
  </si>
  <si>
    <t>WALLS</t>
  </si>
  <si>
    <t>ROOF REPL</t>
  </si>
  <si>
    <t>PSOO-WATER SYSTEM</t>
  </si>
  <si>
    <t>METER EQUIPMENT</t>
  </si>
  <si>
    <t>PWR SYS OPERATIONS OFFICE BUILDING (Part 1 of 2)</t>
  </si>
  <si>
    <t>STORAGE BUILDING</t>
  </si>
  <si>
    <t>WATERTOWN OPS BLDG EXPANSION (PSOO)</t>
  </si>
  <si>
    <t>WATERTOWN OPS BLDG EXPANSION</t>
  </si>
  <si>
    <t>L1+L2+L3+L13</t>
  </si>
  <si>
    <t>L7*L8</t>
  </si>
  <si>
    <t>No General Plant identified at this time, all plant is identified as either generation or transmission related</t>
  </si>
  <si>
    <t>Not Applicable</t>
  </si>
  <si>
    <t>SSCD</t>
  </si>
  <si>
    <t>RESERVES</t>
  </si>
  <si>
    <t>Fixed Charge Rate</t>
  </si>
  <si>
    <t>Corps Generation Net Plant Costs ($)</t>
  </si>
  <si>
    <t>Annual Corps Generation Cost  ($)</t>
  </si>
  <si>
    <t>L1*L2</t>
  </si>
  <si>
    <t>Plant Capacity (kW)</t>
  </si>
  <si>
    <t>Cost/kW ($/kW-Yr)</t>
  </si>
  <si>
    <t>L3/L4</t>
  </si>
  <si>
    <t>Prior Year True-Up</t>
  </si>
  <si>
    <t>Western's Maximum Load in WAUW Control Area (kW)</t>
  </si>
  <si>
    <t>Maximum Generation in WAUW Control Area (kW)</t>
  </si>
  <si>
    <t>Capacity used for Reserves (kW) -- 3% Load + 3% Gen</t>
  </si>
  <si>
    <t>L8*3% + L9*3%</t>
  </si>
  <si>
    <t>Annual Reserves Revenue Requirement</t>
  </si>
  <si>
    <t xml:space="preserve">Determination of Pick-Sloan Missouri Basin Program, Eastern Division  </t>
  </si>
  <si>
    <t>Generation Net Plant Costs include the total Corps Generation Plant-in-Service</t>
  </si>
  <si>
    <t>REGULATION and FREQUENCY RESPONSE</t>
  </si>
  <si>
    <t>Cost/kW ($/kW)</t>
  </si>
  <si>
    <t>Capacity Used for Regulation (kW)</t>
  </si>
  <si>
    <t>Regulation Revenue Requirement ($) - Capacity</t>
  </si>
  <si>
    <t>Regulation Revenue Requirement ($) - Purchases</t>
  </si>
  <si>
    <t xml:space="preserve">     Total Regulation Revenue Requirement ($)</t>
  </si>
  <si>
    <t xml:space="preserve">Determination of Pick-Sloan Missouri Basin Program, Eastern Division </t>
  </si>
  <si>
    <t xml:space="preserve">Corps Generation Net Plant is Total Electric Plant in Service less </t>
  </si>
  <si>
    <t>SSCD Revenue from non-Transmission Facilities</t>
  </si>
  <si>
    <t>Ratio for Line 12</t>
  </si>
  <si>
    <t>L11-L12</t>
  </si>
  <si>
    <t>Revenue Requirement for SSCD for Transmission Facilities</t>
  </si>
  <si>
    <t xml:space="preserve">(1) </t>
  </si>
  <si>
    <t xml:space="preserve">(3) </t>
  </si>
  <si>
    <t>Column 4 shows percentage of the Watertown Operations Center that was prorated to generation based on FTE associated with generation.</t>
  </si>
  <si>
    <t>Annual</t>
  </si>
  <si>
    <t>Transmission and Ancillary Services</t>
  </si>
  <si>
    <t xml:space="preserve"> Transmission and Ancillary Services List of Workpapers and Schedules</t>
  </si>
  <si>
    <t>Rate True-up Calculation</t>
  </si>
  <si>
    <t>True-up Summary</t>
  </si>
  <si>
    <t>Description</t>
  </si>
  <si>
    <t>Attachment AI Criteria</t>
  </si>
  <si>
    <t>Facility</t>
  </si>
  <si>
    <t>Specific Plant Included</t>
  </si>
  <si>
    <t>East or West</t>
  </si>
  <si>
    <t>Costs</t>
  </si>
  <si>
    <t>1</t>
  </si>
  <si>
    <t>1(b)</t>
  </si>
  <si>
    <t>2</t>
  </si>
  <si>
    <t>3</t>
  </si>
  <si>
    <t>4</t>
  </si>
  <si>
    <t>5</t>
  </si>
  <si>
    <t>6</t>
  </si>
  <si>
    <t>Further Description</t>
  </si>
  <si>
    <t>Substations</t>
  </si>
  <si>
    <t>Appeldorn</t>
  </si>
  <si>
    <t>230-kV breakers 482, 586, 682 and assoc. switches and switch 487</t>
  </si>
  <si>
    <t>x</t>
  </si>
  <si>
    <t>station service KW4A, KW30A and switches</t>
  </si>
  <si>
    <t>Armour</t>
  </si>
  <si>
    <t>115-kV switches 16x, 26x, 76x</t>
  </si>
  <si>
    <t>12.47-kV switches 172x, KW1A</t>
  </si>
  <si>
    <t>maintenance building SS</t>
  </si>
  <si>
    <t>station service KZ1A, KX2A and switches</t>
  </si>
  <si>
    <t>115/69 kV transformer KY1A</t>
  </si>
  <si>
    <t>Three East River members are served through KY1A (Charles Mix, Douglas and Southeastern)</t>
  </si>
  <si>
    <t>69 kV breaker 1052 and assoc switches</t>
  </si>
  <si>
    <t>Two East River members are served through 1052 (Douglas and Southeastern)</t>
  </si>
  <si>
    <t>AHT</t>
  </si>
  <si>
    <t>Ash Tap</t>
  </si>
  <si>
    <t>115-kV switches 1161, 1261, 1361</t>
  </si>
  <si>
    <t>Aurora</t>
  </si>
  <si>
    <t>capacitor PY4A</t>
  </si>
  <si>
    <t>station service KY2A and KW2A</t>
  </si>
  <si>
    <t>Belden (NPPD)</t>
  </si>
  <si>
    <t>115-kV breaker 1106 and assoc. switches</t>
  </si>
  <si>
    <t>Belfield</t>
  </si>
  <si>
    <r>
      <t xml:space="preserve">230-kV breakers 1282, 1382, </t>
    </r>
    <r>
      <rPr>
        <sz val="11"/>
        <color theme="1"/>
        <rFont val="Calibri"/>
        <family val="2"/>
        <scheme val="minor"/>
      </rPr>
      <t>1582 and assoc. switches</t>
    </r>
  </si>
  <si>
    <t>345/230-kV transformer KU1A</t>
  </si>
  <si>
    <t>345-kV breakers 292, 396, 492 and assoc. switches</t>
  </si>
  <si>
    <t>station service KW1B and assoc. switches</t>
  </si>
  <si>
    <t>reactor KW2A, 13.8 breaker 3224 and assoc. switches</t>
  </si>
  <si>
    <t>BE</t>
  </si>
  <si>
    <t>Beresford</t>
  </si>
  <si>
    <t>115-kV breakers 262, 362, 462, 566, 764, 864 and assoc. switches</t>
  </si>
  <si>
    <t>capacitors PY7A, PY8A</t>
  </si>
  <si>
    <t>station service KZ1A and switch 1451</t>
  </si>
  <si>
    <t>115/69kV transformer KY1A</t>
  </si>
  <si>
    <t>Two East River members are served through KY1A (Clay-Union and Southeastern)</t>
  </si>
  <si>
    <t>69kV breaker 1652 and assoc. switches</t>
  </si>
  <si>
    <t>Two East River members are served through 1652 (Clay-Union and Southeastern)</t>
  </si>
  <si>
    <t>Bisbee</t>
  </si>
  <si>
    <t>69-kV switches 247, 347</t>
  </si>
  <si>
    <t>Bismarck</t>
  </si>
  <si>
    <t>230-kV breakers 182, 282, 382, 386, 482, 582, 682, 782, 882, 986, 9182 and assoc. switches</t>
  </si>
  <si>
    <t>230/115-kV transformers KV3A, KV8A</t>
  </si>
  <si>
    <t>115-kV breakers 3062, 3162, 3362, 3562 and assoc. switches</t>
  </si>
  <si>
    <t>station service KW4A, KW4E, KW4F and assoc. switches</t>
  </si>
  <si>
    <t>12.47-kV breaker 1422, switches 142x, 152x, 1221, 1829</t>
  </si>
  <si>
    <t>maintenance buildings ss</t>
  </si>
  <si>
    <t>Bole</t>
  </si>
  <si>
    <t>230-kV switches 182, 282, 481, 482</t>
  </si>
  <si>
    <t xml:space="preserve">station service KW21A, switch 2123 </t>
  </si>
  <si>
    <t>230/69-kV transformer KV1A</t>
  </si>
  <si>
    <t>69-kV switches 1351, 1355</t>
  </si>
  <si>
    <t>69-kV breaker 1152 and assoc. switches</t>
  </si>
  <si>
    <t>Sun River Electric Cooperative and NorthWestern MT</t>
  </si>
  <si>
    <t>BO</t>
  </si>
  <si>
    <t>Bonesteel</t>
  </si>
  <si>
    <t>115-kV breakers 664, 764 and assoc. switches</t>
  </si>
  <si>
    <t>capacitors PY6A, PY7A</t>
  </si>
  <si>
    <t>115-kV switches 46x, 26x</t>
  </si>
  <si>
    <t>station service KW1A, switch 1521</t>
  </si>
  <si>
    <t>Brookings</t>
  </si>
  <si>
    <t>One East River member and two municipal customers served through KY1A (Sioux Valley Energy, City of White, and City of Volga)</t>
  </si>
  <si>
    <t>115 kV switches 161, 361, 461</t>
  </si>
  <si>
    <t>69 kV breaker 1052 and assoc. switches</t>
  </si>
  <si>
    <t>One East River member and two municipal customers served through 1052 (Sioux Valley Energy, City of White, and City of Volga)</t>
  </si>
  <si>
    <t>CD</t>
  </si>
  <si>
    <t>Cando Tap</t>
  </si>
  <si>
    <t>69-kV switches 1751, 1753</t>
  </si>
  <si>
    <t>Canyon Ferry</t>
  </si>
  <si>
    <t>100-kV breakers 162, 262, 266, 362, 366 and assoc. switches</t>
  </si>
  <si>
    <t>Carpenter</t>
  </si>
  <si>
    <t>230-kV breakers 182, 382, 486 and assoc. switches</t>
  </si>
  <si>
    <t>Two East River members (Coddington Clark and Kingsbury)</t>
  </si>
  <si>
    <t>station service KW1A, KW3A and assoc. switches</t>
  </si>
  <si>
    <t>CA</t>
  </si>
  <si>
    <t>Carrington</t>
  </si>
  <si>
    <t>115-kV breakers 262, 362 and assoc. switches, switch 161</t>
  </si>
  <si>
    <t>capacitor PX3A</t>
  </si>
  <si>
    <t>station service KW9A and assoc. switches</t>
  </si>
  <si>
    <t>Circle</t>
  </si>
  <si>
    <r>
      <t xml:space="preserve">115-kV breakers </t>
    </r>
    <r>
      <rPr>
        <sz val="11"/>
        <color theme="1"/>
        <rFont val="Calibri"/>
        <family val="2"/>
        <scheme val="minor"/>
      </rPr>
      <t>1462, 1562, 1666, 1764, 1864 and assoc. switches</t>
    </r>
  </si>
  <si>
    <t>capacitors PY17A, PY18A</t>
  </si>
  <si>
    <t>reactor KY17A</t>
  </si>
  <si>
    <t>station service KX9A, switches 94x</t>
  </si>
  <si>
    <t>Conrad</t>
  </si>
  <si>
    <t>230-kV breakers 182, 382, 482 and assoc. switches</t>
  </si>
  <si>
    <t>230/115-kV transformer KV1A</t>
  </si>
  <si>
    <t>reactor KW31A, breaker 3124, switch 3123</t>
  </si>
  <si>
    <t>115-kV breaker 1162, 1362, 1452, and assoc. switches / switches 1263, 1265</t>
  </si>
  <si>
    <t>station service KW30A, switch 3023</t>
  </si>
  <si>
    <t>Creston</t>
  </si>
  <si>
    <t>161 kV breakers 162, 262, 362, 466, 562, 662, 762, 964, 8161, 8262 and assoc. switches</t>
  </si>
  <si>
    <t>161/69-kV transformer KY3A</t>
  </si>
  <si>
    <t>capacitors PZ21A and PY9A</t>
  </si>
  <si>
    <t>69-kV breakers 2252, 2352, 2456 and assoc. switches</t>
  </si>
  <si>
    <t>station service KW3A, KW6A, Breakers 323, 623 and assoc. switches</t>
  </si>
  <si>
    <t>Crossover</t>
  </si>
  <si>
    <t>230-kV breakers 582, 586, 786, 882 and assoc. switches</t>
  </si>
  <si>
    <t>to NWMT</t>
  </si>
  <si>
    <t>230-kV switches 981, 983, 985, 987, 989, 990</t>
  </si>
  <si>
    <t>phase shifter KV8A</t>
  </si>
  <si>
    <t>Culbertson East</t>
  </si>
  <si>
    <t>115-kV switches 16x, 26x, 36x</t>
  </si>
  <si>
    <t>two customers (Oreg Generation and Basin Generation)</t>
  </si>
  <si>
    <t>Custer</t>
  </si>
  <si>
    <t>station service KW2A and assoc. switches</t>
  </si>
  <si>
    <t>reactor KW1B and assoc. switches</t>
  </si>
  <si>
    <t>230/69/12.47-kV transformer KV1A</t>
  </si>
  <si>
    <t>reactor KZ2A, 69-kV breaker 2152 and assoc. switches</t>
  </si>
  <si>
    <t>Dawson County</t>
  </si>
  <si>
    <t>115-kV breakers 162, 262, 362, 462, 662, 762, 862 and assoc. switches</t>
  </si>
  <si>
    <t>230-kV breakers 2282, 2382, 2482, 2582, 2682 and assoc switches</t>
  </si>
  <si>
    <t>230/115-kV transformer KU5A</t>
  </si>
  <si>
    <t>reactor KY8A</t>
  </si>
  <si>
    <t>station service KZ2B, KW2B and assoc. switches</t>
  </si>
  <si>
    <t>reactors KZ1A, KZ2A, KZ3A, breakers 3122, 3222, 3322 and assoc. switches</t>
  </si>
  <si>
    <t>Denison</t>
  </si>
  <si>
    <t>161-kV breakers 1362, 1566, 1662 and assoc. switches / switches 1461, 1465</t>
  </si>
  <si>
    <t>230-kV breakers 186, 282, 382, 386 and assoc. switches</t>
  </si>
  <si>
    <t>230/161-kV transformer KV1A</t>
  </si>
  <si>
    <t>reactor KW30A and assoc. switches</t>
  </si>
  <si>
    <t>230/69-kV transformers KV2A and KV3A</t>
  </si>
  <si>
    <t>69-kV breakers 2156, 2254, 2352, 2452, 2652, 2754, 2952, 5152 and assoc. switches</t>
  </si>
  <si>
    <t>capacitors PZ27A, PZ22A</t>
  </si>
  <si>
    <t>reactors KZ27A, KZ22A</t>
  </si>
  <si>
    <t>station service KW30B, KW20C and assoc. switches</t>
  </si>
  <si>
    <t>Devils Lake</t>
  </si>
  <si>
    <t>115-kV breakers 162, 262, 462, 562, 662, 2062 and assoc. switches</t>
  </si>
  <si>
    <t>115-kV switches 361, 365</t>
  </si>
  <si>
    <t>50 percent of 115/41.8-kV transformer KY1A</t>
  </si>
  <si>
    <t>capacitors and maintenance building</t>
  </si>
  <si>
    <t>41.8-kV breaker 1042 and assoc. switches</t>
  </si>
  <si>
    <t>capacitors PX5A, PX5B and assoc. switches</t>
  </si>
  <si>
    <t>station service KX3A and KW4A and assoc. switches</t>
  </si>
  <si>
    <t>transformers KX3B, KW4B and assoc. switches</t>
  </si>
  <si>
    <t>warehouse and maintenance buildings</t>
  </si>
  <si>
    <t>Eagle Butte</t>
  </si>
  <si>
    <t>115-kV breakers 162, 362 and assoc. switches / switch 763</t>
  </si>
  <si>
    <t>Station Service KW1A</t>
  </si>
  <si>
    <t>Edgeley</t>
  </si>
  <si>
    <t xml:space="preserve">115-kV breakers 462, 562, 662, 762 and assoc. switches </t>
  </si>
  <si>
    <t>115/69-kV transformer KY6A</t>
  </si>
  <si>
    <t>69-kV breaker 1352 and assoc. switches</t>
  </si>
  <si>
    <t>capacitor KW31A, breaker 3124 and assoc. switches</t>
  </si>
  <si>
    <t>Elk Creek</t>
  </si>
  <si>
    <t xml:space="preserve">115-kV breakers 1162, 1262, 1462 and assoc switches </t>
  </si>
  <si>
    <t>station service KY22A, switches 2261, 2221</t>
  </si>
  <si>
    <t>Elliot</t>
  </si>
  <si>
    <t>115-kV breakers 262, 362, 462 and assoc switches</t>
  </si>
  <si>
    <t>Enderlin Tap</t>
  </si>
  <si>
    <t>115-kV switches 176x, 196x</t>
  </si>
  <si>
    <t>Exira</t>
  </si>
  <si>
    <t>161-kV breakers 162, 166, 262, 362, 366, 462, 562, 662 and assoc. switches</t>
  </si>
  <si>
    <t>station service KHA</t>
  </si>
  <si>
    <t>Fairview West</t>
  </si>
  <si>
    <t>115-kV breakers 162, 262, 362, 462 and assoc. switches</t>
  </si>
  <si>
    <t>transformer KY20A for station service, switches 2011, 2061</t>
  </si>
  <si>
    <t>Faith</t>
  </si>
  <si>
    <t>115-kV switches 16x and 26x</t>
  </si>
  <si>
    <t>Fargo</t>
  </si>
  <si>
    <t>230-kV breakers 182, 282, 382, 582, 682, 782, 882, 9182 and assoc. switches</t>
  </si>
  <si>
    <t>115-kV breakers 1162, 1262, 1362, 1462, 1662, 1862, 1962, 2362, 2462, 2764, 2864, 2964 and asscoc switches</t>
  </si>
  <si>
    <t>115-kV switch 5461</t>
  </si>
  <si>
    <t>capacitors PY14A, PY14B, PY14C</t>
  </si>
  <si>
    <t>230/115-kV transformers KV1A, KV2A</t>
  </si>
  <si>
    <t>115/69-kV transformers KY3A and KY3B</t>
  </si>
  <si>
    <t>to Minnkota</t>
  </si>
  <si>
    <t>69-kV breakers 3552, 3652 and assoc switches</t>
  </si>
  <si>
    <t>69-kV switches 315x, 335x, 345x</t>
  </si>
  <si>
    <t>station service KY4A, KSB, KSA, switches 5447, 552x</t>
  </si>
  <si>
    <t>13.2-kV breakers 4122, 4322, 4622, 4722, 4822 and assoc. switches</t>
  </si>
  <si>
    <t>reactors KW6A, KW7A, KW8A</t>
  </si>
  <si>
    <t>SVC and associated equipment</t>
  </si>
  <si>
    <t>Flandreau</t>
  </si>
  <si>
    <t>115-kV breakers 1162, 1262, 1362, 1662 and assoc. switches</t>
  </si>
  <si>
    <t>capacitor PY3A</t>
  </si>
  <si>
    <t>station service KZ1A, KW1C switches 302x, 205x, 401x</t>
  </si>
  <si>
    <t>115/69-kV transformer KY1A</t>
  </si>
  <si>
    <t>One East River member, two municipal customers and Basin generation served through KY1A  (Sioux Valley Energy, City of Colman, and City of Madison)</t>
  </si>
  <si>
    <t>69-kV breaker 2152 and assoc. switches</t>
  </si>
  <si>
    <t>One East River member, two municipal customers and Basin generation served through 2152  (Sioux Valley Energy, City of Colman, and City of Madison)</t>
  </si>
  <si>
    <t>Forman</t>
  </si>
  <si>
    <t>115-kV breakers 1162, 1362, 1462, 1562, 1764 and assoc switches</t>
  </si>
  <si>
    <t>capacitor PY7A</t>
  </si>
  <si>
    <t>station service KW9A, switches 92x</t>
  </si>
  <si>
    <t>115/69-kV transformer KY1A, switches 126x</t>
  </si>
  <si>
    <t>69-kV switches 353, 355</t>
  </si>
  <si>
    <t>Fort Thompson</t>
  </si>
  <si>
    <t>230-kV breakers 582, 586, 682, 782, 786, 882, 1182, 1186, 1282, 1382, 1386, 1482, 1582, 1586, 1682, 1782, 1786, 1882, 2382, 2386, 2482 and assoc. switches</t>
  </si>
  <si>
    <t>230-kV switches 181, 281, 381, 2583, 2683</t>
  </si>
  <si>
    <t>230/69-kV transformers KV1B, KV1A</t>
  </si>
  <si>
    <t>13.8-kV switches 121, 221, 253, 153, 6323, 6321, 6022, 3121, 3221</t>
  </si>
  <si>
    <t>station service KW1A, KW1B and assoc switches</t>
  </si>
  <si>
    <r>
      <t xml:space="preserve">69-kV breakers </t>
    </r>
    <r>
      <rPr>
        <sz val="11"/>
        <color theme="1"/>
        <rFont val="Calibri"/>
        <family val="2"/>
        <scheme val="minor"/>
      </rPr>
      <t xml:space="preserve"> 4352</t>
    </r>
  </si>
  <si>
    <t>Fort Thompson 2</t>
  </si>
  <si>
    <t>345-kV breakers 3392, 3396 and assoc. switches</t>
  </si>
  <si>
    <t>reactor KU4A, switch 3991</t>
  </si>
  <si>
    <t>345/230-kV transformers KU1A, KU1B and 345-kV switches 2391, 2491</t>
  </si>
  <si>
    <t>reactors KW2A, KW2B, breakers 6422, 6822 and assoc. switches</t>
  </si>
  <si>
    <t>capacitor PW2A</t>
  </si>
  <si>
    <t>reactor KW3A, breaker 6522 and assoc. switches</t>
  </si>
  <si>
    <t>capacitor PW3A</t>
  </si>
  <si>
    <t>station service KW1D, KW1C, switches 662x, 6611, 6311, 632x</t>
  </si>
  <si>
    <t>Glendive</t>
  </si>
  <si>
    <t>115-kV switch 362</t>
  </si>
  <si>
    <t>115/57-kV transformer KY1A</t>
  </si>
  <si>
    <t>2 customers - MDU and Lower Yellowstone</t>
  </si>
  <si>
    <t>57-kV breaker 342 and assoc. switches</t>
  </si>
  <si>
    <t>Grand Forks</t>
  </si>
  <si>
    <t>230-kV breakers 286, 382, 486 and associated switches / switches 183 and 580</t>
  </si>
  <si>
    <t>reactor KW43A, breaker 4324 and assoc. switches</t>
  </si>
  <si>
    <t>station service KW41A, KW42A and associated switches</t>
  </si>
  <si>
    <t>115-kV breakers 1462, 1562, 1662, 1862, 1962 and assoc. switches</t>
  </si>
  <si>
    <t>115/69-kV transformer KY2B, switch 3261 and 3259</t>
  </si>
  <si>
    <t>69-kV breakers 2252, 2352, 2452, 2552 and assoc. switches / switches 2151, 2153</t>
  </si>
  <si>
    <t>2452 to MPC, 2552 to NSP</t>
  </si>
  <si>
    <t>capacitors PZ3A, PZ3B, switches 335x, 345x</t>
  </si>
  <si>
    <t>Grand Island</t>
  </si>
  <si>
    <t>345-kV breakers 1092, 1192, 1196, 1292, 1596, 1592, 1692, 1796 and assoc. switches</t>
  </si>
  <si>
    <t>reactor KU4A, switch 1098</t>
  </si>
  <si>
    <t>reactors KW1B, KW1A, breakers 5122, 5022 and assoc. switches</t>
  </si>
  <si>
    <t>345/230-kV transformers KU1A, KU1B and switch 293</t>
  </si>
  <si>
    <t>reactors KW2A, breakers 6022 and assoc. switches</t>
  </si>
  <si>
    <t>station service KHA, KHB and assoc switches</t>
  </si>
  <si>
    <t>Granite Falls</t>
  </si>
  <si>
    <t>230-kV breakers 184, 282, 382, 486, 582, 682, 782, 882, 1082, 1184, 9182 and assoc. switches</t>
  </si>
  <si>
    <t>capacitors PV1A, PV11A</t>
  </si>
  <si>
    <t>reactors KV1A, KV11A</t>
  </si>
  <si>
    <t>reactors KW3A, KW54A, KW55A, KW56A, KW57A</t>
  </si>
  <si>
    <t>13.8-kV breakers 5424, 5524, 5624, 5724 with assoc. switches and switches 5121, 5123</t>
  </si>
  <si>
    <t>115-kV breakers 2062, 2262, 2366, 2762, 3162, 8162 and assoc. switches</t>
  </si>
  <si>
    <t>115-kV switches 246x, 296x</t>
  </si>
  <si>
    <t>capacitors PY25A, PY26A, breakers 2564, 2664 and assoc. switches</t>
  </si>
  <si>
    <t>reactors KY25A, KY26A</t>
  </si>
  <si>
    <t xml:space="preserve">station service KW50A, KW51A and assoc switches </t>
  </si>
  <si>
    <t>Great Falls</t>
  </si>
  <si>
    <t>230-kV breakers 230/99, 230/100, 230/22, 230/23 and assoc. switches</t>
  </si>
  <si>
    <t>in NWMT Great Falls Sub</t>
  </si>
  <si>
    <t>230 kV switch 26B</t>
  </si>
  <si>
    <t>161-kV breaker 162 and assoc switchers</t>
  </si>
  <si>
    <t>station service KW1A and switch 221</t>
  </si>
  <si>
    <t>Gregory</t>
  </si>
  <si>
    <t>115-kV breakers 162, 262, 762 and assoc. switches</t>
  </si>
  <si>
    <t>station service KW1A and switch 521</t>
  </si>
  <si>
    <t>Groton</t>
  </si>
  <si>
    <t>115-kV  breakers 262, 362, 462, 562, 862, 966 and assoc. switches / switches 16x</t>
  </si>
  <si>
    <t>115-kV switches 16x, 126x</t>
  </si>
  <si>
    <t xml:space="preserve">115/69-kV transformer KY1A </t>
  </si>
  <si>
    <t>Two East River members served through KY1A (Lake Region, Northern)</t>
  </si>
  <si>
    <t>station service KZ1A and KW2A</t>
  </si>
  <si>
    <t xml:space="preserve">115/69-kV transformer KY2A </t>
  </si>
  <si>
    <t>NWPS line is networked and included</t>
  </si>
  <si>
    <t>Havre</t>
  </si>
  <si>
    <t>161-kV breakers 162, 262, 362 and assoc. switches</t>
  </si>
  <si>
    <t>115-kV breaker 1362, 1462, 1562, 1662 and assoc. switches</t>
  </si>
  <si>
    <t>Hill County Coop and Tiber LLC</t>
  </si>
  <si>
    <t xml:space="preserve">161/115-kV transformer KZ1A </t>
  </si>
  <si>
    <t>12.47-kv breaker 522 and assoc switches</t>
  </si>
  <si>
    <t>reactor KW1A</t>
  </si>
  <si>
    <t>station service KW1E, KW2A, switches 921, 221, 223</t>
  </si>
  <si>
    <t>Hilken</t>
  </si>
  <si>
    <t>230-kV breakers 186, 386, 482 and assoc. switches</t>
  </si>
  <si>
    <t>Huron</t>
  </si>
  <si>
    <t>230-kV breakers 582, 586, 782, 786, 882 and assoc. switches, switches 181, 281</t>
  </si>
  <si>
    <t>230/115-kV transformers KV1A</t>
  </si>
  <si>
    <t>reactors KW1A, KW3A, breakers 132, 332 and assoc. switches</t>
  </si>
  <si>
    <t>station service KW1C, KW1D and assoc. switches</t>
  </si>
  <si>
    <t>Jamestown</t>
  </si>
  <si>
    <t>230-kV breakers 3182, 3282, 3382, 3482, 3582, 3682, 3782, 3882, 3982, 9182 and assoc switches</t>
  </si>
  <si>
    <t>115-kV breakers 162, 262, 362, 462, 562, 762, 1864, 1964, 2064 and assoc switches</t>
  </si>
  <si>
    <t>not 662 - to OTP N.O.</t>
  </si>
  <si>
    <t>capacitors PY20A, PY19A</t>
  </si>
  <si>
    <t>reactors KY20A, KY19A, KY7A</t>
  </si>
  <si>
    <t>230/115-kV transformers KU3A, KU6A</t>
  </si>
  <si>
    <t>reactor KW21A, breaker 2122 and assoc. switches</t>
  </si>
  <si>
    <t>station service KWA, KWB switches 222x, 232x</t>
  </si>
  <si>
    <t>station service KW4B, wiches 242x, 252x 302x</t>
  </si>
  <si>
    <t>reactor KW26A, breaker 2622 and assoc. switches</t>
  </si>
  <si>
    <t>Killdeer</t>
  </si>
  <si>
    <t>115-kV breakers 162, 166, 366, 462 and assoc. switches</t>
  </si>
  <si>
    <t>Capacitor PY2A, 115-kV breaker 264 and assoc. switches</t>
  </si>
  <si>
    <t>station service KY1A, switch 3163, KX3A and assoc. switches</t>
  </si>
  <si>
    <t>Lakota</t>
  </si>
  <si>
    <t>115-kV breaker 162 and assoc switches</t>
  </si>
  <si>
    <t>115/69-kV transformer KY1A, switches 362, 363</t>
  </si>
  <si>
    <t>station service KW1A, switches 825, 921</t>
  </si>
  <si>
    <t>Leeds</t>
  </si>
  <si>
    <t>115-kV breakers 262, 362, 462, 562 and assoc. switches</t>
  </si>
  <si>
    <t>capacitor PZ4A, breaker 744 and assoc. switches</t>
  </si>
  <si>
    <t>115/69-kV transformer KY1A, switches 161, 162</t>
  </si>
  <si>
    <t>69-kV breakers 444, 544 and assoc switches / switch 143</t>
  </si>
  <si>
    <t>station service KW3B and switch 1021</t>
  </si>
  <si>
    <t>Letcher</t>
  </si>
  <si>
    <t>230-kV breakers 382, 582, 686 and assoc. switches</t>
  </si>
  <si>
    <t>NWPS line to Mitchell is Networked</t>
  </si>
  <si>
    <t>230/115-kV transformer KV3A</t>
  </si>
  <si>
    <t>115-kV breakers 1266, 1362, 1562 and assoc. switches</t>
  </si>
  <si>
    <t>station service KW3B and assoc switches</t>
  </si>
  <si>
    <t>Martin</t>
  </si>
  <si>
    <t>station service KW1A and switch 2021</t>
  </si>
  <si>
    <t>Maurine</t>
  </si>
  <si>
    <t>230-kV breakers 182, 282, 582 and assoc. switches</t>
  </si>
  <si>
    <t>capacitors PY19A, PY20A</t>
  </si>
  <si>
    <t>reactors KY19A, KY20A</t>
  </si>
  <si>
    <t>reactor KW32A, breaker 3224 and assoc switches</t>
  </si>
  <si>
    <t>station service KW30A, KW31A and assoc switches</t>
  </si>
  <si>
    <t>Midland</t>
  </si>
  <si>
    <t>115-kV switches 16x and 26x / switch 361</t>
  </si>
  <si>
    <t>station service KW20A, switches 2031, 2011, 3011</t>
  </si>
  <si>
    <t>Miles City</t>
  </si>
  <si>
    <t>57-kV breaker 152 and assoc. switches</t>
  </si>
  <si>
    <t>2 customers (MDU, Kinsey Irrigation)</t>
  </si>
  <si>
    <t>Miles City 2</t>
  </si>
  <si>
    <t>230-kV breakers 382, 386, 482, 582 and assoc. switches and switch 783</t>
  </si>
  <si>
    <t>115-kV breakers 1362, 1462, 1662 and assoc. switches, switches 1161 and 1165</t>
  </si>
  <si>
    <t>reactor KW7A, breaker 724 and assoc switches</t>
  </si>
  <si>
    <t>station service K2, K1 and assoc switches</t>
  </si>
  <si>
    <t>13.8-kV SS to Miles City DC Converter Station</t>
  </si>
  <si>
    <t>Miles City 3</t>
  </si>
  <si>
    <t>All Facilities and Equipment</t>
  </si>
  <si>
    <t>Mission</t>
  </si>
  <si>
    <t>115-kV breakers 162, 262, 462 and assoc. switches, switches 863, 865</t>
  </si>
  <si>
    <t>reactors KY30A, KY31A, KY7A</t>
  </si>
  <si>
    <t>capacitors PY30A, PY31A</t>
  </si>
  <si>
    <t>115-kV breakers 764, 3064, 3164 and assoc. switches</t>
  </si>
  <si>
    <t>station service KX2A, KX1A and switches 243x, 253x</t>
  </si>
  <si>
    <t>Morris</t>
  </si>
  <si>
    <t>230-kV breakers 182, 382, 482, 582 and assoc switches</t>
  </si>
  <si>
    <t>115-kV breakers 1162, 1462, 1562, 1762 and assoc switches</t>
  </si>
  <si>
    <t>station service KW1B and switches 512x</t>
  </si>
  <si>
    <t>Mount Vernon</t>
  </si>
  <si>
    <t>115-kV breakers 162, 262 and assoc switches</t>
  </si>
  <si>
    <t>station service KZ1A and assoc switches</t>
  </si>
  <si>
    <t>One East River member and one municipal customer served through KY1A and East River 1952 (Central and City of Plankinton)</t>
  </si>
  <si>
    <t>Nelson Tap</t>
  </si>
  <si>
    <t>New Underwood</t>
  </si>
  <si>
    <t>230-kV breakers 282, 382, 384, 484, 582, 682, 782, 882, 986, 9182, 9282 and assoc switches</t>
  </si>
  <si>
    <t>reactor KV3A, KV4A</t>
  </si>
  <si>
    <t>230/115-kV transformers KV2A, KV1A</t>
  </si>
  <si>
    <t>115-kV breakers 1262, 1362, 1462, 1562, 1662, 1866, 8162, 8262 and assoc switches</t>
  </si>
  <si>
    <t>13.8-kV breaker 4522, 4022, 4122, 4222 and assoc switches</t>
  </si>
  <si>
    <t>reactor KW45A, KW40A, KW41A, KW42A</t>
  </si>
  <si>
    <t>Newell</t>
  </si>
  <si>
    <t>115-kV switches 116x, 1262, 136x</t>
  </si>
  <si>
    <t>2 customers: Butte Electric and West River</t>
  </si>
  <si>
    <t>Station Service KW1A and assoc equipment</t>
  </si>
  <si>
    <t>O'Fallon Creek</t>
  </si>
  <si>
    <t>115-kV breakers 162, 262, 362 and assoc switches</t>
  </si>
  <si>
    <t>2 customers: Buffalo Rapids Irrigation and Tongue River Electric</t>
  </si>
  <si>
    <t>69kV breaker 452 and assoc switches</t>
  </si>
  <si>
    <t>Station Service KW1B</t>
  </si>
  <si>
    <t>PY</t>
  </si>
  <si>
    <t>Pace Yellowtail</t>
  </si>
  <si>
    <t>230-kV breakers IH278, IH296 and assoc switches</t>
  </si>
  <si>
    <t>Philip</t>
  </si>
  <si>
    <t>115-kV breakers 1462, 1562, 1762, 1862 and assoc switches</t>
  </si>
  <si>
    <t>station service KW32A, KW31A and assoc switches</t>
  </si>
  <si>
    <t>Pierre</t>
  </si>
  <si>
    <t>115-kV breakers 162, 362, 662, 862 and assoc switches</t>
  </si>
  <si>
    <t>115-kV switches 563, 565, 761</t>
  </si>
  <si>
    <t>station service KW1A, KW2A, KW1B, switches 271x, 281x, 302x</t>
  </si>
  <si>
    <t>69kV breaker 1252 and assoc breakers</t>
  </si>
  <si>
    <t>One East River member and two irrigation districts served through KY2A and 1252 (Oahe, Grey Goose Irrigation and Crow Creek Irrigation)</t>
  </si>
  <si>
    <t>Station Service KW1D, KW1E, KW1F and assoc switches</t>
  </si>
  <si>
    <t>Rapid City</t>
  </si>
  <si>
    <t>115-kV breakers 162, 262, 362, 462, 562, 664, 766, 862, 2164 and assoc switches</t>
  </si>
  <si>
    <t>reactors KY10A, KY21A</t>
  </si>
  <si>
    <t>capacitors PY6A, PY21A</t>
  </si>
  <si>
    <t>station service KW20A, KW43A KW42A, switches 202x, 422x, 432x, 431x</t>
  </si>
  <si>
    <t>Rolla</t>
  </si>
  <si>
    <t>115-kV breaker 1162 and assoc switches</t>
  </si>
  <si>
    <t>Rudyard</t>
  </si>
  <si>
    <t>115-kV switches 260, 261, 160, 161</t>
  </si>
  <si>
    <t>station service KW1A, switches 521, 523</t>
  </si>
  <si>
    <t>Rugby</t>
  </si>
  <si>
    <t>capacitor PY8A</t>
  </si>
  <si>
    <t>reactor KY2A</t>
  </si>
  <si>
    <t>Station Service KX2A, KW1A and assoc. switches and equipment</t>
  </si>
  <si>
    <t>Shelby 2</t>
  </si>
  <si>
    <r>
      <t xml:space="preserve">115-kV breakers 1062, </t>
    </r>
    <r>
      <rPr>
        <sz val="11"/>
        <color theme="1"/>
        <rFont val="Calibri"/>
        <family val="2"/>
        <scheme val="minor"/>
      </rPr>
      <t>1362, 1462 and assoc. switches, switches 1263, 1265</t>
    </r>
  </si>
  <si>
    <t>reactor KW3A, breaker 3124 and assoc switches</t>
  </si>
  <si>
    <t>230-kV breakers 482, switches 481, 383, 281, 183</t>
  </si>
  <si>
    <t>SC</t>
  </si>
  <si>
    <t>Sioux City</t>
  </si>
  <si>
    <t>230-kV breakers 182, 282, 382, 482, 582, 682, 9182 and assoc switches, switch 7283</t>
  </si>
  <si>
    <t>230/161-kV transformers KV1A and KV5A</t>
  </si>
  <si>
    <t>161-kV breakers 1062, 1162, 1262, 1362, 1562, 1662, 8162</t>
  </si>
  <si>
    <t>reactors KW53A, KW54A, breakers 5324, 5424 and assoc switches</t>
  </si>
  <si>
    <t>station service KW1B, KW1C, switches 502x, 512x, 522x</t>
  </si>
  <si>
    <t>69-kV breakers 2156, 2352, 2852, 2952, 3052, 3152 and assoc switches</t>
  </si>
  <si>
    <t>to NIPCO (looped) and MEC</t>
  </si>
  <si>
    <t>Sioux City 2</t>
  </si>
  <si>
    <t>345-kV breakers 8498, 8592, 8692, 8696 and assoc switches</t>
  </si>
  <si>
    <t>reactor KU6A</t>
  </si>
  <si>
    <t>345/230-kV transformers KU1A, KU1B, switches 8091, 8081, 8291, 8281</t>
  </si>
  <si>
    <t>230-kV breakers 7382, 7482 and assoc switches</t>
  </si>
  <si>
    <t>reactors KW10A, KW10B, breakers 5522, 5622 and assoc switches</t>
  </si>
  <si>
    <t>station service K1, K2 and assoc switches</t>
  </si>
  <si>
    <t>Sioux Falls</t>
  </si>
  <si>
    <t>230-kV breakers 2182, 2282, 2382, 2482, 2582, 2682, 2782, 9182 and assoc switches</t>
  </si>
  <si>
    <t>230/115-kV transformers KV3A, KV5A</t>
  </si>
  <si>
    <t>reactors KW31A, KW51A</t>
  </si>
  <si>
    <t>breakers 3124, 5124 and assoc switches</t>
  </si>
  <si>
    <t>station service KW33A, KW53A, KZ1A, switches 33xx, 53xx, 1851</t>
  </si>
  <si>
    <t>Spencer</t>
  </si>
  <si>
    <t>to NIPCO and Wisdom Sub</t>
  </si>
  <si>
    <t>Stegall</t>
  </si>
  <si>
    <t>Reactor KV3A, breaker 384 and assoc. switches</t>
  </si>
  <si>
    <t>Summit</t>
  </si>
  <si>
    <t xml:space="preserve">115-kV breakers 262, 362, 462, 562, 762, and assoc switches , switch 163 </t>
  </si>
  <si>
    <t>station service KZ1A, switch 1351</t>
  </si>
  <si>
    <t>Four East River members served through KY1A (Whetstone, Lake Region, Traverse, and Codington-Clark)</t>
  </si>
  <si>
    <t>69 kV breaker 1152 and assoc. switches</t>
  </si>
  <si>
    <t>Three East River members served through 1152 (Whetstone, Lake Region, and Traverse)</t>
  </si>
  <si>
    <t>Tiber</t>
  </si>
  <si>
    <t>115-kV switches 1260, 1261</t>
  </si>
  <si>
    <t>2 customers (generator and Marias)</t>
  </si>
  <si>
    <t>Tyndall</t>
  </si>
  <si>
    <t>115-kV switches 16x, 26x, 361</t>
  </si>
  <si>
    <t>Station Service KZ1A and switches 351 and 751</t>
  </si>
  <si>
    <t>Utica Junction</t>
  </si>
  <si>
    <t>230-kV breakers 382, 486, 582, 686 and assoc switches</t>
  </si>
  <si>
    <t>115-kV breakers 1266, 1362, 1562, 1762 and assoc switches</t>
  </si>
  <si>
    <t>station service KW3A and assoc switches</t>
  </si>
  <si>
    <t>Valley City</t>
  </si>
  <si>
    <t>115-kV 162, 262, 362, 462, 562 and assoc switches</t>
  </si>
  <si>
    <t>2 customers (Minnkota Power and City of Valley City)</t>
  </si>
  <si>
    <t>station service KW2A and switch 321</t>
  </si>
  <si>
    <t>Virgil Fodness</t>
  </si>
  <si>
    <t>230-kV breakers 382, 386, 482, 486 and assoc switches</t>
  </si>
  <si>
    <t>230-kV switches 185 and 283</t>
  </si>
  <si>
    <t>Wall</t>
  </si>
  <si>
    <t>115-kV switches 16x, 26x, 36x, 461</t>
  </si>
  <si>
    <t>station service KW1B, switch 821</t>
  </si>
  <si>
    <t>Ward</t>
  </si>
  <si>
    <t>230-kV breakers 182, 282, 286 and assoc switches</t>
  </si>
  <si>
    <t>Washburn</t>
  </si>
  <si>
    <t>230-kV switches 18x, 28x</t>
  </si>
  <si>
    <t>station service KX3A, KW9A and assoc switches</t>
  </si>
  <si>
    <t>Watertown</t>
  </si>
  <si>
    <t>230-kV breakers 182, 282, 382, 482, 582, 682, 882, 984, 1182, 9182 and assoc switches</t>
  </si>
  <si>
    <t>reactor KV9A</t>
  </si>
  <si>
    <t>capacitor PV9A</t>
  </si>
  <si>
    <t>230/115-kV transformers KV2A, KV8A</t>
  </si>
  <si>
    <t>1762 - two customers MRES and NorthWestern Energy</t>
  </si>
  <si>
    <t>station service KY3A, KHA, KHB, K1, K2 and assoc switches</t>
  </si>
  <si>
    <t>reactor KW1A, breaker 3122 and assoc switches</t>
  </si>
  <si>
    <t>13.2-kV switches 372x, 362x, 82x</t>
  </si>
  <si>
    <t>115/69 kV transformer KY3A</t>
  </si>
  <si>
    <t>Two East River members are served through KY3A (Codington-Clark and H-D)</t>
  </si>
  <si>
    <t>69 kV breaker 2752 and assoc switches</t>
  </si>
  <si>
    <t>Two East River members served through 2752 (Codington-Clark and H-D)</t>
  </si>
  <si>
    <t>Watertown 2</t>
  </si>
  <si>
    <t>345-kV breakers 7296, 7292, 7398 and assoc switches</t>
  </si>
  <si>
    <t>reactor KU3A</t>
  </si>
  <si>
    <t>Watertown Static Var</t>
  </si>
  <si>
    <t>Watford City</t>
  </si>
  <si>
    <t>230-kV breakers 682, 782, 882 and assoc switches</t>
  </si>
  <si>
    <t>230-kV switches 282, 283, 182, 183</t>
  </si>
  <si>
    <t>station service KW1B, switches 121, 123</t>
  </si>
  <si>
    <t>reactor KY16A, switches 166x</t>
  </si>
  <si>
    <t>capacitor PY16A</t>
  </si>
  <si>
    <t>115-kV breakers 1262, 1362 and assoc switches</t>
  </si>
  <si>
    <t>reactor KY17A, switches 176x</t>
  </si>
  <si>
    <t>capacitor PY17A</t>
  </si>
  <si>
    <t>Wessington Springs</t>
  </si>
  <si>
    <t>230-kV breakers 586, 682, 786, 882 and assoc switches</t>
  </si>
  <si>
    <t>Station Service</t>
  </si>
  <si>
    <t>WH</t>
  </si>
  <si>
    <t>Whately</t>
  </si>
  <si>
    <t>69 kV switches 151, 351</t>
  </si>
  <si>
    <t>White</t>
  </si>
  <si>
    <t>345-kV breakers 292, 296, 392, 396, 492, 496, 592, 596 and assoc switches</t>
  </si>
  <si>
    <t>115-kV breakers 2262, 2362, and assoc switches</t>
  </si>
  <si>
    <t>345/115-kV transformer KU1A, switches 2163, 2165</t>
  </si>
  <si>
    <t>station service KWA, KWB switches 312x, 3311, 3511</t>
  </si>
  <si>
    <t>Wicksville</t>
  </si>
  <si>
    <t>115-kV breakers 162, 262, and assoc switches / switch 361</t>
  </si>
  <si>
    <t>Williston</t>
  </si>
  <si>
    <t>115-kV breakers 1262, 1362, 1462, 1562, 1662, 1762, 1866 and assoc switches</t>
  </si>
  <si>
    <t>115/57-kV transformers KY4B, switches 2465, 2469</t>
  </si>
  <si>
    <t>to MDU</t>
  </si>
  <si>
    <t>57-kV breakers 3152, 3252, 3352, 3452 and assoc switches</t>
  </si>
  <si>
    <t>Williston 2</t>
  </si>
  <si>
    <t xml:space="preserve">230-kV breakers 182, 286, 382, 482, 486, 582, 686 and assoc switches </t>
  </si>
  <si>
    <t>station service KW1B, KW2B and assoc switches</t>
  </si>
  <si>
    <t>Winner</t>
  </si>
  <si>
    <t>115-kV breakers 162, 362, 462, 1062 and assoc switches / switches 661, 761</t>
  </si>
  <si>
    <t>reactor KY10A</t>
  </si>
  <si>
    <t>capacitor PY10A, PY11A, switches 1160, 1161</t>
  </si>
  <si>
    <t>Wolf Point</t>
  </si>
  <si>
    <t>115-kV breakers 1362, 1562, 1662, 1762, 1862 and assoc switches/switches 1963, 1965</t>
  </si>
  <si>
    <t>station service KW1A</t>
  </si>
  <si>
    <t>Woonsocket</t>
  </si>
  <si>
    <t>115-kV breakers 162, 262 and assoc switches/ switches 361 and 861</t>
  </si>
  <si>
    <t>station service KX1A, KW1B and assoc switches</t>
  </si>
  <si>
    <t>Transmission Lines</t>
  </si>
  <si>
    <t>CANYON FERRY - CANYON FERRY TAP</t>
  </si>
  <si>
    <t>CHARLIE CREEK - BEULAH</t>
  </si>
  <si>
    <t>230-kV</t>
  </si>
  <si>
    <t>FORT PECK-DAWSON #1</t>
  </si>
  <si>
    <t>FORT PECK-DAWSON #2</t>
  </si>
  <si>
    <t>161-kV</t>
  </si>
  <si>
    <t>69-kV</t>
  </si>
  <si>
    <t>HAVRE-VERONA</t>
  </si>
  <si>
    <t>115-kV</t>
  </si>
  <si>
    <t>RAPID CITY-DRY CREEK</t>
  </si>
  <si>
    <t>VERONA GREAT FALLS</t>
  </si>
  <si>
    <t>YELLOWTAIL-YELLOWTAIL (PACE)</t>
  </si>
  <si>
    <t>Taps</t>
  </si>
  <si>
    <t>Charlie Creek</t>
  </si>
  <si>
    <t>345-kV breakers 4096, 4192 and assoc switches</t>
  </si>
  <si>
    <t>Denbigh Tap</t>
  </si>
  <si>
    <t>115kV breakers 1362, 1562 and assoc switches</t>
  </si>
  <si>
    <t>O'Neill</t>
  </si>
  <si>
    <t>115-kV inerrupters and switches</t>
  </si>
  <si>
    <t>Penn Tap</t>
  </si>
  <si>
    <t>Pleasant Lake Tap</t>
  </si>
  <si>
    <t>115-kV switches 56x, 66x</t>
  </si>
  <si>
    <t>Shirley Tap</t>
  </si>
  <si>
    <t>115-kV switches 561, 560</t>
  </si>
  <si>
    <t>Terry Tap</t>
  </si>
  <si>
    <t>115-kV switches 160, 161, 260, 261, 361</t>
  </si>
  <si>
    <t>Tiber Tap</t>
  </si>
  <si>
    <t>115-kV switches 163, 260, 261, 360, 361</t>
  </si>
  <si>
    <t>2 customers from Tiber (Bureau of Reclamation and Tiber LLC)</t>
  </si>
  <si>
    <t>Vetal Tap</t>
  </si>
  <si>
    <t>O&amp;M Service &amp; Maintenance Centers</t>
  </si>
  <si>
    <t>Operation Centers</t>
  </si>
  <si>
    <t>Mobile Equipment</t>
  </si>
  <si>
    <t>Transmission-Related Generation Facilities</t>
  </si>
  <si>
    <t>Communication Facilities</t>
  </si>
  <si>
    <t>meters for NWMT NITS from Havre</t>
  </si>
  <si>
    <t>microwave, RTU</t>
  </si>
  <si>
    <t>Bison</t>
  </si>
  <si>
    <t>microwave alarm system</t>
  </si>
  <si>
    <t>meters for Central MT (Basin NITS)</t>
  </si>
  <si>
    <t>communications equipment</t>
  </si>
  <si>
    <t>microwave, RTU, SCADA</t>
  </si>
  <si>
    <t>fiber, microwave, SCADA</t>
  </si>
  <si>
    <t>radio, quarters, fence</t>
  </si>
  <si>
    <t>E/W</t>
  </si>
  <si>
    <t>Fort Randall</t>
  </si>
  <si>
    <t>Multiplexer, Termination Equiment</t>
  </si>
  <si>
    <t>RTU, PTs</t>
  </si>
  <si>
    <t>meters NWMT NITS from Great Falls</t>
  </si>
  <si>
    <t>RTU, SCADA</t>
  </si>
  <si>
    <t>Mandan</t>
  </si>
  <si>
    <t>multiplexer</t>
  </si>
  <si>
    <t>MILES CITY SUB (BEFP)</t>
  </si>
  <si>
    <t>antenna, meters for MDU</t>
  </si>
  <si>
    <t>land, steel structure, meter equipment</t>
  </si>
  <si>
    <t>meters to MDU</t>
  </si>
  <si>
    <t>fiber termination equipment</t>
  </si>
  <si>
    <t>Verona</t>
  </si>
  <si>
    <t>comm, miltiplex, battery</t>
  </si>
  <si>
    <t>Whately (Northern)</t>
  </si>
  <si>
    <t>Instrument Transformer</t>
  </si>
  <si>
    <t>multiplexer, channel bank, SCADA</t>
  </si>
  <si>
    <t>Miles City Converter Station</t>
  </si>
  <si>
    <t>Rocky Mountain Region Facilities</t>
  </si>
  <si>
    <t>YT</t>
  </si>
  <si>
    <t>230-kV breakers 182, 282, 9182 and assoc switches</t>
  </si>
  <si>
    <t>Corps Switchyard Facilities</t>
  </si>
  <si>
    <t>Big Bend</t>
  </si>
  <si>
    <t>Fort Peck</t>
  </si>
  <si>
    <t>69-kV breaker 1142 and assoc. switches</t>
  </si>
  <si>
    <t>230-kV breaker 1382 and associated switches</t>
  </si>
  <si>
    <t>230/115-kV transformer</t>
  </si>
  <si>
    <t>Garrison</t>
  </si>
  <si>
    <t>Gavins Point</t>
  </si>
  <si>
    <t>115-kV breakers 462, 562, 662, 762, 862 and assoc switches</t>
  </si>
  <si>
    <t>Oahe</t>
  </si>
  <si>
    <t xml:space="preserve">One-Line Diagrams showing these included facilities are available upon request. </t>
  </si>
  <si>
    <t xml:space="preserve"> The diagrams include CEII material and therefore require execution of a Non-Disclosure Agreement with Western Area Power Administration - Upper Great Plains Region.</t>
  </si>
  <si>
    <t>Criteria 1:  Non-Radial above 60-kV / (b) Two or More Eligible Customers</t>
  </si>
  <si>
    <t>Criteria 2:  Interconnect Zones / Surrounding Entities</t>
  </si>
  <si>
    <t>Criteria 3:  Control and Protection</t>
  </si>
  <si>
    <t>Criteria 4:  High Side of Transformer</t>
  </si>
  <si>
    <t>Criteria 5:  DC Interconnection</t>
  </si>
  <si>
    <t>Criteria 6:  7 Factor Test</t>
  </si>
  <si>
    <t>Column1</t>
  </si>
  <si>
    <t>Specific Plant NOT Included</t>
  </si>
  <si>
    <t>34.5-kV breaker 542 and assoc. switches</t>
  </si>
  <si>
    <t>NWPS</t>
  </si>
  <si>
    <t>115/34.5-kV transformer KY2A</t>
  </si>
  <si>
    <t>115-kV interrupter 462 and assoc. switches</t>
  </si>
  <si>
    <t>115-kV breaker 162, 362 and assoc. switches</t>
  </si>
  <si>
    <t>230-kV breaker 1482 and assoc switches</t>
  </si>
  <si>
    <t>69-kV breaker 1552 and assoc. switches</t>
  </si>
  <si>
    <t>East River</t>
  </si>
  <si>
    <t>12.47-kV switch 821, 823, 829</t>
  </si>
  <si>
    <t>City of Beresford</t>
  </si>
  <si>
    <t>230-kV interrupters 1081, 2081, 2081, 4081 and assoc switches</t>
  </si>
  <si>
    <t>69/12.5-kV transformer KZ1A and switch 145</t>
  </si>
  <si>
    <t>12.5-kV breaker 124 and assoc. switches</t>
  </si>
  <si>
    <t>CPEC</t>
  </si>
  <si>
    <t>115-kV breaker 3462 and assoc. switches</t>
  </si>
  <si>
    <t>Capitol Electric</t>
  </si>
  <si>
    <t>12.5-kV switches 1527, 1529</t>
  </si>
  <si>
    <t>USBR</t>
  </si>
  <si>
    <t>69-kV breaker 1452 and 1252 and assoc. switches</t>
  </si>
  <si>
    <t>NWMT</t>
  </si>
  <si>
    <t>115-kV breaker 362 and assoc. switches</t>
  </si>
  <si>
    <t>115/12.47-kV transformer KY1A</t>
  </si>
  <si>
    <t>12.47-kV breaker 1422 and assoc. switches</t>
  </si>
  <si>
    <t>Rosebud Electric</t>
  </si>
  <si>
    <t>BFT</t>
  </si>
  <si>
    <t>Buford Trenton Tap</t>
  </si>
  <si>
    <t>All Not Included</t>
  </si>
  <si>
    <t>Buford Trenton Pumping</t>
  </si>
  <si>
    <t>115-kV interrupter 162</t>
  </si>
  <si>
    <t>protection for non-included transformer (transformer not owned by Western)</t>
  </si>
  <si>
    <t>41.8-kV breakers 142, 242, 342, 442, 542, 642, 842 and assoc. switches</t>
  </si>
  <si>
    <t>Otter Tail and CPE</t>
  </si>
  <si>
    <t>115-kV breaker 1162 and assoc. switches</t>
  </si>
  <si>
    <t>Keystone</t>
  </si>
  <si>
    <t>115-kV breaker 1262, 1362 and assoc. switches</t>
  </si>
  <si>
    <t>McCone</t>
  </si>
  <si>
    <t>115/34.5-kV transformer KY12A</t>
  </si>
  <si>
    <t>34.5-kV breaker 142 and assoc. switches</t>
  </si>
  <si>
    <t>115-kV breaker 1062 and assoc. switches</t>
  </si>
  <si>
    <t>Sun River</t>
  </si>
  <si>
    <t>69-kV breakers 2252, 2352 and assoc. switches</t>
  </si>
  <si>
    <t>Yellowstone Valley and Mid-Yellowstone</t>
  </si>
  <si>
    <t>Custer Trail</t>
  </si>
  <si>
    <t>115-kV switch 1061</t>
  </si>
  <si>
    <t>Switches 1460, 1461</t>
  </si>
  <si>
    <t>69-kV breaker 2552 and assoc. switches</t>
  </si>
  <si>
    <t>City of Denison</t>
  </si>
  <si>
    <t>Devaul</t>
  </si>
  <si>
    <t>41.8-kV breaker 1442 and assoc. switches</t>
  </si>
  <si>
    <t>Otter Tail normally open-emergency tie</t>
  </si>
  <si>
    <t>12.5-kV breaker 1122 and assoc. switches</t>
  </si>
  <si>
    <t>Minnkota</t>
  </si>
  <si>
    <t>115/69-kV transformer KY1A and 115-kV interrupter 762</t>
  </si>
  <si>
    <t>69-kV breaker 1752 and assoc. switches</t>
  </si>
  <si>
    <t>Moreau Grand</t>
  </si>
  <si>
    <t>115/41.8-kV transformer KY2A</t>
  </si>
  <si>
    <t>115-kV breaker 362</t>
  </si>
  <si>
    <t>41.8-kV breaker 2342 and assoc. switches</t>
  </si>
  <si>
    <t>Otter Tail</t>
  </si>
  <si>
    <t>69-kV breaker 1252 and assoc. switches</t>
  </si>
  <si>
    <t>115-kV ground switch 1160</t>
  </si>
  <si>
    <t>115-kV interrupter 2063 and assoc. switches, 115-kV switch 369</t>
  </si>
  <si>
    <t>Switches 169, 369, 569</t>
  </si>
  <si>
    <t>Generator Lead</t>
  </si>
  <si>
    <t>115/12.47-kV tranformer KY1A and 115-kV interrupter 362</t>
  </si>
  <si>
    <t>12.47-kV breaker 1022 and assoc. switches</t>
  </si>
  <si>
    <t>City of Faith</t>
  </si>
  <si>
    <t>Fallon Pumping</t>
  </si>
  <si>
    <t>Fallon Relift</t>
  </si>
  <si>
    <t>12.47-kV switches 3121, 3122, 3123, 3129, 3223</t>
  </si>
  <si>
    <t>City of Flandreau</t>
  </si>
  <si>
    <t>69-kV breaker 452 and assoc. switches</t>
  </si>
  <si>
    <t>69/41.8-kV transformer KZ3A and 69-kV switches 353, 355</t>
  </si>
  <si>
    <t>115-kV breaker 1662 and assoc. switches</t>
  </si>
  <si>
    <t>41.8-kV breaker 2142 and assoc. switches</t>
  </si>
  <si>
    <t xml:space="preserve">Otter Tail </t>
  </si>
  <si>
    <t>41.8/12.5-kV transformer KX6A and switch 1443</t>
  </si>
  <si>
    <t>12.5-kV breaker 2222 and assoc. switches</t>
  </si>
  <si>
    <t>Dakota Valley</t>
  </si>
  <si>
    <t>115-kV breaker 962 and assoc. switches</t>
  </si>
  <si>
    <t>69-kV breaker 4452 and assoc. switches</t>
  </si>
  <si>
    <t>West Central</t>
  </si>
  <si>
    <t>Frazer Pumping</t>
  </si>
  <si>
    <t>115-kV breakers 462, 562 and assoc switches</t>
  </si>
  <si>
    <t>generator leads</t>
  </si>
  <si>
    <t>115-kV breakers 162, 262, 362 and assoc. switches</t>
  </si>
  <si>
    <t>GGT</t>
  </si>
  <si>
    <t>Glendive Pumping No. 1 Tap</t>
  </si>
  <si>
    <t>Glendive Pumping No. 1</t>
  </si>
  <si>
    <t>69-kV breakers 4352, 4452, 4552, 4652 and assoc. switches</t>
  </si>
  <si>
    <t>GRE normally open and Minn. Valley</t>
  </si>
  <si>
    <t>115/69-kV transformer KY2A</t>
  </si>
  <si>
    <t>115-kV breaker 3262 and assoc. switches</t>
  </si>
  <si>
    <t>115-kV Disconnect Switch 463</t>
  </si>
  <si>
    <t>12.47-kV breaker 422 and asswoc. Switches</t>
  </si>
  <si>
    <t>12.5-kV breaker 822 and assoc. switches</t>
  </si>
  <si>
    <t>Hill County</t>
  </si>
  <si>
    <t>take-off structure to Baldwin Wind</t>
  </si>
  <si>
    <t>generator lead</t>
  </si>
  <si>
    <t>115-kV switches 1261, 1265</t>
  </si>
  <si>
    <t>69-kV breakers 1952, 2052 and assoc. switches</t>
  </si>
  <si>
    <t>Intake</t>
  </si>
  <si>
    <t>INP</t>
  </si>
  <si>
    <t>Intake Pumping</t>
  </si>
  <si>
    <t>115/41.8-kV transformers KY1A and KY2A</t>
  </si>
  <si>
    <t>115-kV breaker 662 and assoc. switches</t>
  </si>
  <si>
    <t>41.8-kV breaker 1142 and assoc. switches</t>
  </si>
  <si>
    <t>Otter Tail, Normally Open - emergency tie</t>
  </si>
  <si>
    <t>12.47-kV breaker 1522, 1722 and assoc. switches</t>
  </si>
  <si>
    <t>115/41.8-kV transformer KY4A and switch 469</t>
  </si>
  <si>
    <t>41.8-kV breaker 442, 642 and switches 343, 345</t>
  </si>
  <si>
    <t>MDU and Upper Mo.</t>
  </si>
  <si>
    <t>12.5-kV breaker 1022 and assoc. switches</t>
  </si>
  <si>
    <t>City of Lakota</t>
  </si>
  <si>
    <t>69-kV breaker 152 and assoc. switches</t>
  </si>
  <si>
    <t>69/12.5-kV transformer KZ3A and switch 645</t>
  </si>
  <si>
    <t>12.5-kV breaker 624 and assoc. switches</t>
  </si>
  <si>
    <t>115/34.5-kV tranformer KY1A and interrupter 962</t>
  </si>
  <si>
    <t>34.5-kV breaker 1242 and assoc. switches</t>
  </si>
  <si>
    <t>LaCreek</t>
  </si>
  <si>
    <t>115/69-kV transformer KY1A and switches 1263, 1265</t>
  </si>
  <si>
    <t>69-kV breaker 2252 and assoc. switches</t>
  </si>
  <si>
    <t>Grand Electric</t>
  </si>
  <si>
    <t>Capacity Rights in 115/69 kV Transformer KY1A</t>
  </si>
  <si>
    <t>115/24.9-kV transformer KY1A and interrupter 362</t>
  </si>
  <si>
    <t>Cherry-Todd</t>
  </si>
  <si>
    <t>41.8-kV breakers 3132, 3232, 3332 and assoc switches</t>
  </si>
  <si>
    <t>115/41.8-kV transformer KY3A</t>
  </si>
  <si>
    <t>115-kV breaker 1362 and assoc switches</t>
  </si>
  <si>
    <t>69-kV breaker 1852 and assoc. switches</t>
  </si>
  <si>
    <t>NAT</t>
  </si>
  <si>
    <t>Nashua Tap</t>
  </si>
  <si>
    <t>Switch 1861</t>
  </si>
  <si>
    <t>69-kV breakers 2252, 2452 and assoc. switches</t>
  </si>
  <si>
    <t>Rushmore</t>
  </si>
  <si>
    <t>13.8 kV interrupter 4423 and assoc. switch</t>
  </si>
  <si>
    <t>230-kV breakers 2882, 2482, 2486, 2082, 1162 and assoc. switches</t>
  </si>
  <si>
    <t>12.47-kV breaker 522 and assoc. switches and equipment</t>
  </si>
  <si>
    <t>MDU</t>
  </si>
  <si>
    <t>Switches 1860, 1861</t>
  </si>
  <si>
    <t>115/69-kV transformer KY1A and switches 1963</t>
  </si>
  <si>
    <t>115/12.47-kV transformer KY1A and 115-kV interrupter 762</t>
  </si>
  <si>
    <t>12.47-kV breakers 2212, 2312, 2412 and assoc. switches</t>
  </si>
  <si>
    <t>City of Pierre</t>
  </si>
  <si>
    <t>Switched 760, 761</t>
  </si>
  <si>
    <t xml:space="preserve">115/12.47-kV transformer KY1A </t>
  </si>
  <si>
    <t>Richland</t>
  </si>
  <si>
    <t>115/69/12.5-kV transformer KY1A and interrupter 362</t>
  </si>
  <si>
    <t>69-kV breaker 752 and assoc. switches</t>
  </si>
  <si>
    <t>12.5-kV breaker 422 and assoc. switches</t>
  </si>
  <si>
    <t>Savage Pumping</t>
  </si>
  <si>
    <t>Shelby</t>
  </si>
  <si>
    <t>to Shelby</t>
  </si>
  <si>
    <t>Shirley Pumping</t>
  </si>
  <si>
    <t>115-kV breaker 862 and assoc. switches</t>
  </si>
  <si>
    <t>69-kV breaker 1642 and assoc. switches</t>
  </si>
  <si>
    <t>City of Spencer</t>
  </si>
  <si>
    <t>41.8-kV breakers 2142, 2242 and assoc. switches</t>
  </si>
  <si>
    <t>115/41.8-kV transformer KY1B</t>
  </si>
  <si>
    <t>115-kV interupter 862 and switch 861</t>
  </si>
  <si>
    <t>Terry Pumping</t>
  </si>
  <si>
    <t>115/34.5-kV transformer KY1A and switch 363</t>
  </si>
  <si>
    <t>34.5-kV breaker 342 and assoc. switches</t>
  </si>
  <si>
    <t>Buffalo Rapids and MDU</t>
  </si>
  <si>
    <t>115/12.5-kV transformer KY1A and breaker 1262</t>
  </si>
  <si>
    <t>12.5-kV breaker 122 and assoc. switches</t>
  </si>
  <si>
    <t>115-kV interrupter 362</t>
  </si>
  <si>
    <t>69-kV breakers 344, 1144 and assoc. switches</t>
  </si>
  <si>
    <t>City of Valley City</t>
  </si>
  <si>
    <t>115/12.47-kV transformer KY1B and interrupters 461 and 562</t>
  </si>
  <si>
    <t>12.47-kV breaker 622 and assoc. switches</t>
  </si>
  <si>
    <t>West River</t>
  </si>
  <si>
    <t>230-kV Switch 889</t>
  </si>
  <si>
    <t>230/41.8-kV transformer KU1A and breaker 282</t>
  </si>
  <si>
    <t>41.8-kV breaker 342 and assoc. switches</t>
  </si>
  <si>
    <t>Otter Tail - emergency tie</t>
  </si>
  <si>
    <t>230-kV switch 989</t>
  </si>
  <si>
    <t>generator outlet</t>
  </si>
  <si>
    <t>69/12.5-kV transformer KYA and switches 253, 257</t>
  </si>
  <si>
    <t>12.5-kV breaker 224 and assoc. switches</t>
  </si>
  <si>
    <t>Norval</t>
  </si>
  <si>
    <t>24.9-kV breaker 1032 and assoc. switches</t>
  </si>
  <si>
    <t>60-kV breaker 3552 and assoc. switches</t>
  </si>
  <si>
    <t>MDU non-credited line</t>
  </si>
  <si>
    <t>115-kV breaker 2562 and assoc. switches</t>
  </si>
  <si>
    <t>12.47-kV breakers 2222, 2422, 2523 and assoc. switches</t>
  </si>
  <si>
    <t>City of Winner and Rosebud Electric</t>
  </si>
  <si>
    <t>VAT</t>
  </si>
  <si>
    <t>Wiota</t>
  </si>
  <si>
    <t>Wiota Tap</t>
  </si>
  <si>
    <t>115/34.5-kV transformer KY1A and switches 1963, 1965</t>
  </si>
  <si>
    <t>34.5-kV breakers 2142, 2242, 2342, 2442 and assoc. switches</t>
  </si>
  <si>
    <t>MDU and Norval</t>
  </si>
  <si>
    <t>12.5-kV breakers 3222, 3322, 3422 and assoc. switches</t>
  </si>
  <si>
    <t>Norval and McCone</t>
  </si>
  <si>
    <t>34.5-kV breakers 442 and 542 and assoc. switches</t>
  </si>
  <si>
    <t>NWPS and City of Wessington Springs</t>
  </si>
  <si>
    <t>115/69-kV transformer KY1B and 115-kV breaker 862</t>
  </si>
  <si>
    <t>Mobile Transformer 115/34.5-kV</t>
  </si>
  <si>
    <t>115-kV interupters 362 and 862 and assoc. switches, switch M263, M261</t>
  </si>
  <si>
    <t>SHELBY-SHELBY2</t>
  </si>
  <si>
    <t>LCS</t>
  </si>
  <si>
    <t xml:space="preserve"> WESTERN-UGP  1/</t>
  </si>
  <si>
    <t>WESTERN-RMR  2/</t>
  </si>
  <si>
    <t>Total Revenue Credits</t>
  </si>
  <si>
    <t>Prior Year True Up</t>
  </si>
  <si>
    <t>SNAKE CREEK PUMP SUBSTATION</t>
  </si>
  <si>
    <t>TERRY PUMPING PLANT SWITCH</t>
  </si>
  <si>
    <t>CB</t>
  </si>
  <si>
    <t>GRP</t>
  </si>
  <si>
    <t>HBN</t>
  </si>
  <si>
    <t>PLANT NOT CLASSIFIED</t>
  </si>
  <si>
    <t>Column 4 shows 31.70% of the Communication Facilities that were prorated to generation based on the number of communication channels dedicated to generation.</t>
  </si>
  <si>
    <t>Group in FERC docket ER15-1775-000.</t>
  </si>
  <si>
    <t>AI Working Group in FERC docket ER15-1775-000.</t>
  </si>
  <si>
    <t>YELLOWTAIL SWITCHYARD-YELLOWTAIL (PPL)</t>
  </si>
  <si>
    <t>YELLOWTAIL (PPL)</t>
  </si>
  <si>
    <t>YELLOWTAIL SWITCHYARD (YT)</t>
  </si>
  <si>
    <t>GRAND PRAIRIE SUBSTATION /1</t>
  </si>
  <si>
    <t>CAMPBELL COUNTY SWITCHING STATION /1</t>
  </si>
  <si>
    <t>HEBRON SUBSTATION /1</t>
  </si>
  <si>
    <t>1/ Plant balance does not include customer liability for network upgrades.  Investment is only brought</t>
  </si>
  <si>
    <t>SH SH2</t>
  </si>
  <si>
    <t>CHI F</t>
  </si>
  <si>
    <t>WK C</t>
  </si>
  <si>
    <t>YT P</t>
  </si>
  <si>
    <t>NU SG</t>
  </si>
  <si>
    <t>SG</t>
  </si>
  <si>
    <t>SG WY</t>
  </si>
  <si>
    <t>WY</t>
  </si>
  <si>
    <t xml:space="preserve">YT PY </t>
  </si>
  <si>
    <t xml:space="preserve">PY </t>
  </si>
  <si>
    <t xml:space="preserve">YT P </t>
  </si>
  <si>
    <t>RC DRY</t>
  </si>
  <si>
    <t>MINGUSVILLE SUBSTATION</t>
  </si>
  <si>
    <t>MGV</t>
  </si>
  <si>
    <t>GWINNER COMMUNICATIONS SITE</t>
  </si>
  <si>
    <t>GWN</t>
  </si>
  <si>
    <t>FY Balances</t>
  </si>
  <si>
    <t>FY Interest</t>
  </si>
  <si>
    <t>ANTENNA</t>
  </si>
  <si>
    <t>SIDEWALKS</t>
  </si>
  <si>
    <t>BAO</t>
  </si>
  <si>
    <t>BILLINGS AREA OFFICE</t>
  </si>
  <si>
    <t>station service KW1A, KZ1A and assoc. switches</t>
  </si>
  <si>
    <t>Campbell County</t>
  </si>
  <si>
    <t>230-kV breakers 182, 282, 382 and assoc. switches</t>
  </si>
  <si>
    <t>69-kV breakers 152, 252, 452 and assoc. switches</t>
  </si>
  <si>
    <t>Grande Prairie</t>
  </si>
  <si>
    <t>345-kV breakers 196, 292, 396, 298, 198 and assoc. switches</t>
  </si>
  <si>
    <t>reactors KU1A and KU2A</t>
  </si>
  <si>
    <t>862 due to Groton Synch Condensor</t>
  </si>
  <si>
    <t>69-kV breakers 1152 and 1352 and assoc. switches</t>
  </si>
  <si>
    <t>East River 2 customers</t>
  </si>
  <si>
    <t>Groton South</t>
  </si>
  <si>
    <t>115-kV breakers 1162, 1262, 1266, 1362, 1462, 1466, 1562, 1662, 1666, 2062, 2066 and assoc. switches</t>
  </si>
  <si>
    <t>Hebron</t>
  </si>
  <si>
    <t>230-kV breakers 586, 682, 882, 986 and assoc switches</t>
  </si>
  <si>
    <t>115-kV breakers 1062, 1162, 1362, 1962 and assoc. switches, switches 126x, 1761</t>
  </si>
  <si>
    <t>Mingusville</t>
  </si>
  <si>
    <t>230-kV breakers 182, 282, 382 and assoc. switches, and line disconnects</t>
  </si>
  <si>
    <t>station service transformer KV10A and station service equipment</t>
  </si>
  <si>
    <t>115-kV breakers 1262, 1362, 1462, 1566, 1662, 1762, 1864, 1966 and assoc switches</t>
  </si>
  <si>
    <t>161-kV breakers 162,462,562, 662 and assoc switches</t>
  </si>
  <si>
    <t>Reactor PY6A</t>
  </si>
  <si>
    <t>161/69-kV transformer KY1A</t>
  </si>
  <si>
    <t>69-kV breakers 1142, 1242, 1342, 1442, 1542 and assoc switches</t>
  </si>
  <si>
    <t>station service KW10A and assoc switches</t>
  </si>
  <si>
    <t>230 kV main and transfer bus, breaker 382 and assoc switches</t>
  </si>
  <si>
    <t>Towner</t>
  </si>
  <si>
    <t>VT Hanlon</t>
  </si>
  <si>
    <t>Wanblee Tap</t>
  </si>
  <si>
    <t>115-kV interrupters 162 and 262 and assoc. switches</t>
  </si>
  <si>
    <t>Zero costs, customer funded</t>
  </si>
  <si>
    <t>new 230-kV breaker in ring bus</t>
  </si>
  <si>
    <t>115-kV breakers 862, 1162, 1262, 1362, 1562, 1762, 1862, 1962, 8162 and assoc switches</t>
  </si>
  <si>
    <t>230-kV Bay Addition</t>
  </si>
  <si>
    <t xml:space="preserve">MDU </t>
  </si>
  <si>
    <t>115-kV breakers 2162, 2266, 2362, 2466, 2562, 2662, 2666 and assoc switches</t>
  </si>
  <si>
    <t>Reactors KW1C and KW2C, breakers 1224 and 2224 and switches 1223 and 2223</t>
  </si>
  <si>
    <t>230-kV, 110 MW Capacity Rights on RMR Line</t>
  </si>
  <si>
    <t>SAVAGE</t>
  </si>
  <si>
    <t>115/41.8-kV transformer KY1A and breaker 1162 and assoc. switches</t>
  </si>
  <si>
    <t>2017 LT Debt</t>
  </si>
  <si>
    <t>SCADA SYSTEM HISTORIAN SOFTWARE</t>
  </si>
  <si>
    <t>ADD DROP MULTIPLEXER (PART 2 OF 2)</t>
  </si>
  <si>
    <t>ADD DROP MULTIPLEXER (PART 1 OF 2)</t>
  </si>
  <si>
    <t>MULTIPLEXER EXPANDED CAPABILITY ASSET 166934 - PROJECT WTO 0025C (PART 2)</t>
  </si>
  <si>
    <t>IDC - ASSET 166934 MULTIPLEXER EXPANSION (PART 2)</t>
  </si>
  <si>
    <t>ALCATEL 5620 FIBER TERMINAL EQUIP (PART 1 OF 2)</t>
  </si>
  <si>
    <t>IDC - REPLACEMENTS</t>
  </si>
  <si>
    <t>IDC - ADDITIONS</t>
  </si>
  <si>
    <t>TRANS %</t>
  </si>
  <si>
    <t>SSCD %</t>
  </si>
  <si>
    <t>2017 ROOS BALANCE</t>
  </si>
  <si>
    <t>WATERTOWN OPERATIONS CENTER</t>
  </si>
  <si>
    <t xml:space="preserve">WATERTOWN OPERATIONS CENTER (BFPS) </t>
  </si>
  <si>
    <t>ADDITIONAL:</t>
  </si>
  <si>
    <t>ATTACHMENT AI ADJUSTMENTS ($)</t>
  </si>
  <si>
    <t>GENERATION ADJUSTMENTS ($)</t>
  </si>
  <si>
    <t>TRANS TOTAL ($)</t>
  </si>
  <si>
    <t>SSCD TOTAL ($)</t>
  </si>
  <si>
    <t>FID COST DETAIL ($)</t>
  </si>
  <si>
    <t>less Depreciation Reserve</t>
  </si>
  <si>
    <t>Cost of Purchases Required to Regulate for Intermittent Resources</t>
  </si>
  <si>
    <t>less total Corps Generation Plant depreciation</t>
  </si>
  <si>
    <t>Northwest Power Pool Reserve Sharing System</t>
  </si>
  <si>
    <t>into plant balance as WAPA incurs expense (e.g. if transmission credits are provided to customer)</t>
  </si>
  <si>
    <r>
      <t>115-kV breakers 266,</t>
    </r>
    <r>
      <rPr>
        <sz val="11"/>
        <color rgb="FFFF0000"/>
        <rFont val="Calibri"/>
        <family val="2"/>
      </rPr>
      <t xml:space="preserve"> </t>
    </r>
    <r>
      <rPr>
        <sz val="11"/>
        <color theme="1"/>
        <rFont val="Calibri"/>
        <family val="2"/>
        <scheme val="minor"/>
      </rPr>
      <t>464, 562, 662 and assoc. switches</t>
    </r>
  </si>
  <si>
    <r>
      <t>115-kV breakers 162, 262, 362, 462, 562, 662</t>
    </r>
    <r>
      <rPr>
        <sz val="11"/>
        <rFont val="Calibri"/>
        <family val="2"/>
      </rPr>
      <t xml:space="preserve">, 762, </t>
    </r>
    <r>
      <rPr>
        <sz val="11"/>
        <color theme="1"/>
        <rFont val="Calibri"/>
        <family val="2"/>
        <scheme val="minor"/>
      </rPr>
      <t>966, 7162 and assoc switches</t>
    </r>
  </si>
  <si>
    <t>230-kV interrupters 1083, 7089, 4083 and assoc. switches</t>
  </si>
  <si>
    <t>161-kV breaker 762</t>
  </si>
  <si>
    <t>115-kV breakers 772, 776, 1572, 1576, 1672, 1676 and assoc switches</t>
  </si>
  <si>
    <t>161/115-kV transformer KV7A</t>
  </si>
  <si>
    <t>230-kV breakers 1182, 1186, 1282, 1286, 1382, 1386, 1982, 1986, 2182, 2186, 2282, 2286, 2382, 2386, 2482, 2486, 2682, 2686 and assoc breakers</t>
  </si>
  <si>
    <t>2 - 230/115-kV transformers</t>
  </si>
  <si>
    <t>115-kV breakers 2062, 2066, 2162, 2166, 2262, 2266, 2362, 2366, 2462, 2466, 2562, 2566, 2662, 2666, 2769 and assoc switches</t>
  </si>
  <si>
    <t>230-kV breakers 3389, 3482, 3486, 3682, 3686, 3782, 3786, 3882, 3886, 3982, 3986, 4082, 4086, 4182, 4186 and assoc switches, switches 33xx</t>
  </si>
  <si>
    <r>
      <t>* Based upon Attachment AI of SPP's Tariff and consistent with criteria set forth in the "</t>
    </r>
    <r>
      <rPr>
        <i/>
        <sz val="11"/>
        <color rgb="FF000000"/>
        <rFont val="Calibri"/>
        <family val="2"/>
      </rPr>
      <t>Zone 19 (Upper Missouri Zone) - Attachment AI Guidance Document"</t>
    </r>
    <r>
      <rPr>
        <sz val="11"/>
        <color theme="1"/>
        <rFont val="Calibri"/>
        <family val="2"/>
        <scheme val="minor"/>
      </rPr>
      <t xml:space="preserve">, dated 06/14/2016, as prepared by the Attachment AI Working </t>
    </r>
  </si>
  <si>
    <t>230-kV interrupters 1081, 2081, 3081, 4081 and assoc switches</t>
  </si>
  <si>
    <t>230-kV interrupters 481, 581 and assoc switches</t>
  </si>
  <si>
    <t>115-kV switches 861, 961</t>
  </si>
  <si>
    <t>230-kV breakers 182, 282, 382 and assoc switches</t>
  </si>
  <si>
    <t>230-kV breakers 2082, 2882 and assoc. switches</t>
  </si>
  <si>
    <r>
      <t>* Based upon Attachment AI of SPP's Tariff and consistent with criteria set forth in the "</t>
    </r>
    <r>
      <rPr>
        <i/>
        <sz val="11"/>
        <color rgb="FF000000"/>
        <rFont val="Calibri"/>
        <family val="2"/>
      </rPr>
      <t xml:space="preserve">Zone 19 (Upper Missouri Zone) - Attachment AI Guidance Document", </t>
    </r>
    <r>
      <rPr>
        <sz val="11"/>
        <color theme="1"/>
        <rFont val="Calibri"/>
        <family val="2"/>
        <scheme val="minor"/>
      </rPr>
      <t xml:space="preserve">dated 06/14/2016, as prepared by the Attachment </t>
    </r>
  </si>
  <si>
    <t>1/  Transmission Plant-in-Service Worksheet, C2L495</t>
  </si>
  <si>
    <t>5/  Transmission Plant-in-Service Worksheet, C4L486</t>
  </si>
  <si>
    <t>4/  Transmission Plant-in-Service Worksheet, C4L495</t>
  </si>
  <si>
    <t>6/  Transmission Plant-in-Service Worksheet, C4L493</t>
  </si>
  <si>
    <t>7/  Transmission Plant-in-Service Worksheet, C3L495</t>
  </si>
  <si>
    <t>January - December 2018 Estimate</t>
  </si>
  <si>
    <t>January - December 2018 Actual</t>
  </si>
  <si>
    <t>Western-UGP 2018 Difference</t>
  </si>
  <si>
    <t>2018 Net Revenue Requirement</t>
  </si>
  <si>
    <t xml:space="preserve">  2018 Network Revenue (estimated/received)</t>
  </si>
  <si>
    <t xml:space="preserve">2018 Actual SSCD Revenue Requirement </t>
  </si>
  <si>
    <t>2018 Revenue received for SSCD service</t>
  </si>
  <si>
    <t>2018 Actual Regulation &amp; Frequency Response Revenue Requirement</t>
  </si>
  <si>
    <t>2018 Revenue received (Western-UGP Ancillary Billing Summary)</t>
  </si>
  <si>
    <t>2018 Actual Reserves Revenue Requirement</t>
  </si>
  <si>
    <t>1/ Short-Term Firm Point-to-Point Transmission Service Credit reduced by Z2 claw-back total for 2018</t>
  </si>
  <si>
    <t>12 Months Ending 09/30/2018 ACTUAL</t>
  </si>
  <si>
    <t>FY2018 ACT SPP TOTALS ($)</t>
  </si>
  <si>
    <t>Annual Corps Revenue Requirement for 2018 Rate</t>
  </si>
  <si>
    <t>Annual Generation Revenue Requirement for 2018 Rate</t>
  </si>
  <si>
    <t>WAUW load monthly peaks for 2018</t>
  </si>
  <si>
    <t>2018 SPP TRUE UP SUMMARY</t>
  </si>
  <si>
    <t xml:space="preserve">2018 SPP  DETAIL: </t>
  </si>
  <si>
    <t>FAC</t>
  </si>
  <si>
    <t>FARGO MICROWAVE</t>
  </si>
  <si>
    <t>FPI</t>
  </si>
  <si>
    <t>FORT PIERRE POLE YARD</t>
  </si>
  <si>
    <t>GSO</t>
  </si>
  <si>
    <t>GROTON SOUTH SUBSTATION</t>
  </si>
  <si>
    <t>TN</t>
  </si>
  <si>
    <t>TOWNER</t>
  </si>
  <si>
    <t>FORT PECK</t>
  </si>
  <si>
    <t>GAVINS POINT</t>
  </si>
  <si>
    <t>115-kV breakers 1166, 1562, 1462, 1762, 1362, 1861, 1932 and assoc. switches</t>
  </si>
  <si>
    <t>capacitors PY11A and PY20A, breakers 1164, 2064</t>
  </si>
  <si>
    <t>115-kV breakers 262, 362, 462, 662 and assoc. switches</t>
  </si>
  <si>
    <t>115-kV breakers 2166, 2262, 2362 and assoc switches</t>
  </si>
  <si>
    <t>station service KY1A1</t>
  </si>
  <si>
    <t>230-kV breakers 382, 482, 582, 682, 686 and assoc switches</t>
  </si>
  <si>
    <t>Reactor KW70A and breaker 7024</t>
  </si>
  <si>
    <t>69-kV breaker 5053 and assoc switch</t>
  </si>
  <si>
    <t>station service KW60A, KW24A, breaker 7423 and assoc switches</t>
  </si>
  <si>
    <t>115-kV breakers 962, 966, 1562, 1556, 1662, 1666, 1762, 1766, 1862, 1866, 1962, 1966 and assoc switches</t>
  </si>
  <si>
    <t>230-kV breakers 2182, 2282, 2286, 2382, 2482, 2486, 2582, 2682, 2782, 2982, 3082 and assoc switches</t>
  </si>
  <si>
    <t>115-kV breakers 1262, 1362, 1386, 1462, 1562, 1566 and assoc switches</t>
  </si>
  <si>
    <t>Interrupter 1862 and assoc. switches</t>
  </si>
  <si>
    <t>115-kV switch 960</t>
  </si>
  <si>
    <t>230-kV switches 1180, 1280, 1380</t>
  </si>
  <si>
    <t>115-kV breakers 462, 561, 1762 and assoc switches</t>
  </si>
  <si>
    <t>13.8-kV breaker 2722 and assoc switches</t>
  </si>
  <si>
    <t>BUILDING</t>
  </si>
  <si>
    <t>Added new Substation, customer funded GI Interconnection, no plant costs yet, 230 breakers 182, 282, 382 and assoc. switches</t>
  </si>
  <si>
    <t>Added existing 69 breaker 452 and assoc. switches (Inadvertently left out of list previously.  Costs previously included)</t>
  </si>
  <si>
    <t>Added new Substation, customer funded GI Interconnection, no plant costs yet, 345 breakers 196, 292, 396, 298, 198 and assoc. switches, and reactors KU1A and KU2A</t>
  </si>
  <si>
    <t>Added existing 115 breaker 1352 and assoc. switches, which now qualifies under AI (East River delivery – 2 customers)</t>
  </si>
  <si>
    <r>
      <t>Added new Substation (pre-SPP join requirement for 2</t>
    </r>
    <r>
      <rPr>
        <vertAlign val="superscript"/>
        <sz val="11"/>
        <color theme="1"/>
        <rFont val="Calibri"/>
        <family val="2"/>
        <scheme val="minor"/>
      </rPr>
      <t>nd</t>
    </r>
    <r>
      <rPr>
        <sz val="11"/>
        <color theme="1"/>
        <rFont val="Calibri"/>
        <family val="2"/>
        <scheme val="minor"/>
      </rPr>
      <t xml:space="preserve"> Groton-Ordway 115kV line) and maintenance required replacement of existing Groton Substation equipment, 115 breakers 1162, 1262, 1266, 1362, 1462, 1466, 1562, 1662, 1666, 2062, 2066 and assoc. switches (breaker and one-half)</t>
    </r>
  </si>
  <si>
    <t>Added new Substation, customer funded GI Interconnection, no plant costs yet, 230 breakers 586, 682, 882, 986 and assoc. switches</t>
  </si>
  <si>
    <t xml:space="preserve">Lakota </t>
  </si>
  <si>
    <t>Removed 115/69-kV transformer KY1A, switches 362, 363 (AI criteria)</t>
  </si>
  <si>
    <t>Added new Substation (pre-SPP join requirement), 230 breakers 182, 282, 382, associated switches, line disconnects, and station service transformer KV10A and equipment</t>
  </si>
  <si>
    <t>Added Reactor PY6A, 161-kV breakers 162 and 662 and assoc. switches.  Removed 161-kV switches 864 and 964.  Added 69-kV breaker 1342 and assoc. switches.  Removed voltage regulator KZ1A and assoc. switches.  (substation reconfigured)</t>
  </si>
  <si>
    <t>Added maintenance required replacement of existing Substation (previously owned by Central Power and included in Zone 19), 115 ring bus</t>
  </si>
  <si>
    <t>Added maintenance required replacement of existing Substation (previously owned by East River and included in Zone 19), 230 ring bus</t>
  </si>
  <si>
    <t>Added new Substation 115-kV interrupters 162 and 262 and assoc. switches (customer funded, no new plant costs included)</t>
  </si>
  <si>
    <t>Added new 230-kV breaker and assoc. switches in ring bus (customer funded, no new plant costs included)</t>
  </si>
  <si>
    <t>Added new 230-kV breaker bay addition for MDU Interconnection (customer funded, no new plant costs included)</t>
  </si>
  <si>
    <t>Removed 230/115 transformers KV1A and KV2A (ownership clarified)</t>
  </si>
  <si>
    <t>ALLOCATION %</t>
  </si>
  <si>
    <t>MONTH</t>
  </si>
  <si>
    <t>ACCOUNT</t>
  </si>
  <si>
    <t>Adjustments</t>
  </si>
  <si>
    <t>Z2</t>
  </si>
  <si>
    <t>Z2 Sch 7/8</t>
  </si>
  <si>
    <t>Sch 7/8/11</t>
  </si>
  <si>
    <t>MISO SEAMS</t>
  </si>
  <si>
    <t>NOTES:</t>
  </si>
  <si>
    <t xml:space="preserve">Includes twelve months of revenue credits from January-December or February-January depending on when WAPA began receiving revenue credits from SPP. </t>
  </si>
  <si>
    <t>RENT FROM ELECTRIC PROPERTY</t>
  </si>
  <si>
    <t>REVENUE FROM TRANS.</t>
  </si>
  <si>
    <t>OTHER ELEC. REVENUE</t>
  </si>
  <si>
    <t>RESRV-SUPPLEMENTAL</t>
  </si>
  <si>
    <t>RESRV-SPIN</t>
  </si>
  <si>
    <t>REGULATION</t>
  </si>
  <si>
    <t>OTHER ADJUSTMENTS</t>
  </si>
  <si>
    <t>Project Name and #</t>
  </si>
  <si>
    <t>Type</t>
  </si>
  <si>
    <t>Project Gross Plant</t>
  </si>
  <si>
    <t>Project Accumulated Depreciation</t>
  </si>
  <si>
    <t>Allocation for Transmission O&amp;M</t>
  </si>
  <si>
    <t>Allocation for General Plant Depreciation</t>
  </si>
  <si>
    <t>Allocation for A&amp;G</t>
  </si>
  <si>
    <t>Cost of Capital</t>
  </si>
  <si>
    <t>Project Net Plant</t>
  </si>
  <si>
    <t>Project ATRR</t>
  </si>
  <si>
    <t>FY2019-20 ESTIMATE ADD/REPL/RETIRE ($)</t>
  </si>
  <si>
    <t>BASE PLAN UPGRADES-REGIONAL</t>
  </si>
  <si>
    <t>BASE PLAN UPGRADES-ZONAL</t>
  </si>
  <si>
    <t>FY2020 EST SPP TOTALS ($)</t>
  </si>
  <si>
    <t>Subtotal</t>
  </si>
  <si>
    <t>REG %</t>
  </si>
  <si>
    <t>REG TOTAL ($)</t>
  </si>
  <si>
    <t>ZONAL %</t>
  </si>
  <si>
    <t>ZONAL TOTAL ($)</t>
  </si>
  <si>
    <t>13/  Combined Financial Statements, Combining Schedules of Revenues and Expenses Data by Agency</t>
  </si>
  <si>
    <t>2018 SPP TRUE-UP SUMMARY</t>
  </si>
  <si>
    <t xml:space="preserve">2018 SPP TRUE-UP DETAIL: </t>
  </si>
  <si>
    <t>Allocation Factor %</t>
  </si>
  <si>
    <t>Revenue credit sheet may be updated or adjusted as necessary to include all revenue credits received.</t>
  </si>
  <si>
    <t xml:space="preserve">     Firm Point-to-Point Transmission Service Credit/1</t>
  </si>
  <si>
    <t xml:space="preserve">     Non-Firm Point-to-Point Transmission Service Credit</t>
  </si>
  <si>
    <t xml:space="preserve">     Revenue from Existing Transmission Agreements</t>
  </si>
  <si>
    <t xml:space="preserve">     Scheduling, System Control, and Dispatch Service Credit</t>
  </si>
  <si>
    <t xml:space="preserve">     Account No. 454</t>
  </si>
  <si>
    <t xml:space="preserve">     Z2 Nonfirm Point-to-Point Revenue Credit</t>
  </si>
  <si>
    <t>Total Schedule 11 Revenue Requirement</t>
  </si>
  <si>
    <t>SPP Upgrades - Zonal Gross Revenue Requirement</t>
  </si>
  <si>
    <t xml:space="preserve">     Point-to-Point Revenue Credit</t>
  </si>
  <si>
    <t>TOTAL ZONAL REVENUE CREDIT</t>
  </si>
  <si>
    <t>TRUE-UP ADJUSTMENT</t>
  </si>
  <si>
    <t>Net Revenue Requirement SPP Upgrades - Zonal</t>
  </si>
  <si>
    <t>SPP Upgrades - Regional Gross Revenue Requirement</t>
  </si>
  <si>
    <t>TOTAL REGIONAL REVENUE CREDIT</t>
  </si>
  <si>
    <t>Net Revenue Requirement SPP Upgrades - Regional</t>
  </si>
  <si>
    <t>Reference</t>
  </si>
  <si>
    <t>Gross Zonal Revenue Requirement</t>
  </si>
  <si>
    <t>Sch 9</t>
  </si>
  <si>
    <t>Sch 1</t>
  </si>
  <si>
    <t>Sch 11</t>
  </si>
  <si>
    <t>2018 ROOS BALANCE</t>
  </si>
  <si>
    <t>Annual Reserve Sharing Group Cost</t>
  </si>
  <si>
    <t>L10*L5 + L11</t>
  </si>
  <si>
    <t>Annual cost associated with Western-UGP's current reserve sharing group membership</t>
  </si>
  <si>
    <t>(Rate Order No. WAPA-188)</t>
  </si>
  <si>
    <t>WAPA-UGP</t>
  </si>
  <si>
    <t>Western Area Power Administration (WAPA)</t>
  </si>
  <si>
    <t>Upper Great Plains Region (WAPA-UGP)</t>
  </si>
  <si>
    <t>12 Months Ending 09/30/2018 True-up</t>
  </si>
  <si>
    <t>Worksheet 1 - Schedule 9 Revenue Requirement - Non-Levelized</t>
  </si>
  <si>
    <t>Worksheet 3 - Revenue Credit Calculation</t>
  </si>
  <si>
    <t>Worksheet 4 - Cost Support Data</t>
  </si>
  <si>
    <t>Worksheet 5 - Zonal SPP Upgrade Calculations</t>
  </si>
  <si>
    <t>Worksheet 6 - Base Plan Upgrades-Regional</t>
  </si>
  <si>
    <t>Worksheet 7 - SPP Base Plan Upgrades-Facilities</t>
  </si>
  <si>
    <t>Worksheet 8 - Transmission Facilities</t>
  </si>
  <si>
    <t xml:space="preserve">WAPA-UGP 2018 True-up Calculation </t>
  </si>
  <si>
    <t>Worksheet 11 - Facility Changes</t>
  </si>
  <si>
    <t>Worksheet 12 - Scheduling, System Control, and Dispatch Service</t>
  </si>
  <si>
    <t>Worksheet 13 - SSCD Facilities</t>
  </si>
  <si>
    <t>Worksheet 14 - Rate for Regulation and Frequency Response</t>
  </si>
  <si>
    <t>Worksheet 15 - Rate for Reserves</t>
  </si>
  <si>
    <t>WS1-RateBase</t>
  </si>
  <si>
    <t>WS2-AllocFactor</t>
  </si>
  <si>
    <t>WS3-RevCredits</t>
  </si>
  <si>
    <t>WS4-CostData</t>
  </si>
  <si>
    <t>WS5-BPUz</t>
  </si>
  <si>
    <t>WS6-BPUr</t>
  </si>
  <si>
    <t>WS7-BPUFac</t>
  </si>
  <si>
    <t>WS8-TranFac</t>
  </si>
  <si>
    <t>WS9-AI-Inc</t>
  </si>
  <si>
    <t>WS10-AI-Excl</t>
  </si>
  <si>
    <t>WS11-FacChanges</t>
  </si>
  <si>
    <t>WS12-SSCD</t>
  </si>
  <si>
    <t>WS13-SSCDFac</t>
  </si>
  <si>
    <t>WS14-Reg</t>
  </si>
  <si>
    <t>WS15-Res</t>
  </si>
  <si>
    <t>Effective October 1, 2020</t>
  </si>
  <si>
    <t xml:space="preserve">  Annual Reserve Sharing Group Cost</t>
  </si>
  <si>
    <t>115-kV breakers 1362, 1462, 1562, 1662, 1964, 2064 and assoc switches</t>
  </si>
  <si>
    <t>115-kV breaker 1762</t>
  </si>
  <si>
    <t>WAPA-UGP 2018 Rate True-up Calculation</t>
  </si>
  <si>
    <t>Worksheet 9 - WAPA-UGP Facilities Included per SPP Tariff Attachment AI*</t>
  </si>
  <si>
    <t>Worksheet 10 - WAPA-UGP Facilities Excluded under SPP Tariff Attachment AI*</t>
  </si>
  <si>
    <t>Worksheet 2 - Determination of Pick-Sloan Missouri Basin Program, Eastern Division Annual Costs</t>
  </si>
  <si>
    <t>Summary-TrueUp</t>
  </si>
  <si>
    <t>Worksheet Tab Label</t>
  </si>
  <si>
    <t>Worksheet Tab Description</t>
  </si>
  <si>
    <t>Worksheet "Summary-TrueUp" -- Calculation of True-ups</t>
  </si>
  <si>
    <t>Worksheet 1 -- Calculation of Rate Base</t>
  </si>
  <si>
    <t>Worksheet 2 -- Allocation Factors</t>
  </si>
  <si>
    <t>Worksheet 3 -- Revenue Credit detail</t>
  </si>
  <si>
    <t>Worksheet 8 -- Transmission Facilities</t>
  </si>
  <si>
    <t>Worksheet 4 -- Cost Support Data</t>
  </si>
  <si>
    <t>Worksheet 5 -- SPP Base Plan Upgrades (BPU) - Zonal</t>
  </si>
  <si>
    <t>Worksheet 6 -- SPP Base Plan Upgrades (BPU) - Regional</t>
  </si>
  <si>
    <t>Worksheet 7 -- SPP Base Plan Upgrades (BPU) - Facilities</t>
  </si>
  <si>
    <t>Worksheet 9 -- WAPA-UGP Facilities Included per SPP Tariff Attachment AI</t>
  </si>
  <si>
    <t>Worksheet 10 -- WAPA-UGP Facilities Excluded per SPP Tariff Attachment AI</t>
  </si>
  <si>
    <t>Worksheet 11 -- Facility Changes Detail</t>
  </si>
  <si>
    <t>Worksheet 12 -- Scheduling, System Control and Dispatch Service (SSCD) ARR</t>
  </si>
  <si>
    <t>Worksheet 13 -- Scheduling, System Conrol and Dispatch Service (SSCD) Facilities</t>
  </si>
  <si>
    <t>Worksheet 14 -- Regulaton and Frequency Response ARR</t>
  </si>
  <si>
    <t>Worksheet 15 -- Reserves ARR</t>
  </si>
  <si>
    <t>Sch 7</t>
  </si>
  <si>
    <t>Sch 8</t>
  </si>
  <si>
    <r>
      <t xml:space="preserve">Total 2018 True-up </t>
    </r>
    <r>
      <rPr>
        <sz val="10"/>
        <color rgb="FFFF0000"/>
        <rFont val="Calibri"/>
        <family val="2"/>
        <scheme val="minor"/>
      </rPr>
      <t xml:space="preserve">(to WS1-RateBase, Line 3, 2020 est) </t>
    </r>
  </si>
  <si>
    <r>
      <t xml:space="preserve">Total true-up to include in 2020 estimate </t>
    </r>
    <r>
      <rPr>
        <sz val="10"/>
        <color rgb="FFFF0000"/>
        <rFont val="Calibri"/>
        <family val="2"/>
        <scheme val="minor"/>
      </rPr>
      <t>(to WS12-SSCD, Line 13, 2020 est)</t>
    </r>
  </si>
  <si>
    <r>
      <t xml:space="preserve">Total true-up to include in 2020 estimate </t>
    </r>
    <r>
      <rPr>
        <sz val="10"/>
        <color rgb="FFFF0000"/>
        <rFont val="Calibri"/>
        <family val="2"/>
        <scheme val="minor"/>
      </rPr>
      <t>(to WS14-Reg, Line 6, 2020 est)</t>
    </r>
  </si>
  <si>
    <r>
      <t xml:space="preserve">Total true-up to include in 2020 estimate </t>
    </r>
    <r>
      <rPr>
        <sz val="10"/>
        <color rgb="FFFF0000"/>
        <rFont val="Calibri"/>
        <family val="2"/>
        <scheme val="minor"/>
      </rPr>
      <t>(to WS15-Res, Line 11, 2020 est)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</si>
</sst>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quot;$&quot;#,##0"/>
    <numFmt numFmtId="171" formatCode="_(* #,##0.00000_);_(* \(#,##0.00000\);_(* &quot;-&quot;??_);_(@_)"/>
    <numFmt numFmtId="172" formatCode="&quot;$&quot;#,##0.000"/>
    <numFmt numFmtId="173" formatCode="0.00000"/>
    <numFmt numFmtId="174" formatCode="0.0000"/>
    <numFmt numFmtId="175" formatCode="0.000%"/>
    <numFmt numFmtId="176" formatCode="#,##0.00000"/>
    <numFmt numFmtId="177" formatCode="#,##0.0000"/>
    <numFmt numFmtId="178" formatCode="0_);[Red]\(0\)"/>
    <numFmt numFmtId="179" formatCode="#,##0.00000_);[Red]\(#,##0.00000\)"/>
    <numFmt numFmtId="180" formatCode="#,##0.00;\&lt;#,##0.00\&gt;"/>
  </numFmts>
  <fonts count="76">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color indexed="81"/>
      <name val="Tahoma"/>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0"/>
      <color theme="1"/>
      <name val="Calibri"/>
      <family val="2"/>
      <scheme val="minor"/>
    </font>
    <font>
      <u/>
      <sz val="10"/>
      <color theme="1"/>
      <name val="Calibri"/>
      <family val="2"/>
      <scheme val="minor"/>
    </font>
    <font>
      <strike/>
      <sz val="10"/>
      <color theme="1"/>
      <name val="Calibri"/>
      <family val="2"/>
      <scheme val="minor"/>
    </font>
    <font>
      <b/>
      <sz val="10"/>
      <color theme="1"/>
      <name val="Calibri"/>
      <family val="2"/>
      <scheme val="minor"/>
    </font>
    <font>
      <sz val="10"/>
      <name val="Times New Roman"/>
      <family val="1"/>
    </font>
    <font>
      <sz val="10"/>
      <color indexed="10"/>
      <name val="Calibri"/>
      <family val="2"/>
      <scheme val="minor"/>
    </font>
    <font>
      <sz val="10"/>
      <color rgb="FF666666"/>
      <name val="Arial Unicode MS"/>
      <family val="2"/>
    </font>
    <font>
      <sz val="11"/>
      <color theme="1"/>
      <name val="Calibri"/>
      <family val="2"/>
    </font>
    <font>
      <sz val="10"/>
      <name val="Calibri"/>
      <family val="2"/>
    </font>
    <font>
      <b/>
      <sz val="10"/>
      <name val="Calibri"/>
      <family val="2"/>
    </font>
    <font>
      <b/>
      <i/>
      <sz val="10"/>
      <name val="Calibri"/>
      <family val="2"/>
    </font>
    <font>
      <sz val="10"/>
      <color theme="1"/>
      <name val="Calibri"/>
      <family val="2"/>
    </font>
    <font>
      <sz val="10"/>
      <color rgb="FFFF0000"/>
      <name val="Calibri"/>
      <family val="2"/>
      <scheme val="minor"/>
    </font>
    <font>
      <sz val="36"/>
      <color theme="1"/>
      <name val="Calibri"/>
      <family val="2"/>
      <scheme val="minor"/>
    </font>
    <font>
      <sz val="10"/>
      <color indexed="8"/>
      <name val="Calibri"/>
      <family val="2"/>
      <scheme val="minor"/>
    </font>
    <font>
      <b/>
      <sz val="11"/>
      <color rgb="FF000000"/>
      <name val="Calibri"/>
      <family val="2"/>
    </font>
    <font>
      <b/>
      <sz val="8"/>
      <color rgb="FF000000"/>
      <name val="Calibri"/>
      <family val="2"/>
    </font>
    <font>
      <sz val="11"/>
      <color rgb="FF000000"/>
      <name val="Calibri"/>
      <family val="2"/>
    </font>
    <font>
      <sz val="11"/>
      <color rgb="FFFF0000"/>
      <name val="Calibri"/>
      <family val="2"/>
    </font>
    <font>
      <sz val="11"/>
      <name val="Calibri"/>
      <family val="2"/>
    </font>
    <font>
      <i/>
      <sz val="11"/>
      <color rgb="FF000000"/>
      <name val="Calibri"/>
      <family val="2"/>
    </font>
    <font>
      <b/>
      <sz val="12"/>
      <name val="Calibri"/>
      <family val="2"/>
    </font>
    <font>
      <sz val="9"/>
      <color indexed="81"/>
      <name val="Tahoma"/>
      <family val="2"/>
    </font>
    <font>
      <b/>
      <sz val="9"/>
      <color indexed="81"/>
      <name val="Tahoma"/>
      <family val="2"/>
    </font>
    <font>
      <vertAlign val="superscript"/>
      <sz val="11"/>
      <color theme="1"/>
      <name val="Calibri"/>
      <family val="2"/>
      <scheme val="minor"/>
    </font>
    <font>
      <b/>
      <sz val="10"/>
      <color theme="1"/>
      <name val="Calibri"/>
      <family val="2"/>
    </font>
    <font>
      <u/>
      <sz val="11"/>
      <color theme="10"/>
      <name val="Calibri"/>
      <family val="2"/>
      <scheme val="minor"/>
    </font>
    <font>
      <sz val="28"/>
      <color theme="1"/>
      <name val="Calibri"/>
      <family val="2"/>
      <scheme val="minor"/>
    </font>
    <font>
      <b/>
      <sz val="10"/>
      <color rgb="FF000000"/>
      <name val="Calibri"/>
      <family val="2"/>
    </font>
    <font>
      <b/>
      <u/>
      <sz val="11"/>
      <color theme="1"/>
      <name val="Calibri"/>
      <family val="2"/>
      <scheme val="minor"/>
    </font>
  </fonts>
  <fills count="2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indexed="9"/>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9"/>
      </patternFill>
    </fill>
    <fill>
      <patternFill patternType="solid">
        <fgColor rgb="FFD9D9D9"/>
        <bgColor rgb="FF000000"/>
      </patternFill>
    </fill>
    <fill>
      <patternFill patternType="solid">
        <fgColor rgb="FFFFFFFF"/>
        <bgColor rgb="FF000000"/>
      </patternFill>
    </fill>
    <fill>
      <patternFill patternType="solid">
        <fgColor rgb="FFFFFF00"/>
        <bgColor indexed="64"/>
      </patternFill>
    </fill>
  </fills>
  <borders count="63">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s>
  <cellStyleXfs count="4233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7" fillId="0" borderId="0" applyFill="0"/>
    <xf numFmtId="166" fontId="7" fillId="0" borderId="0">
      <alignment horizontal="center"/>
    </xf>
    <xf numFmtId="0" fontId="7" fillId="0" borderId="0" applyFill="0">
      <alignment horizontal="center"/>
    </xf>
    <xf numFmtId="166" fontId="8" fillId="0" borderId="3" applyFill="0"/>
    <xf numFmtId="0" fontId="9" fillId="0" borderId="0" applyFont="0" applyAlignment="0"/>
    <xf numFmtId="0" fontId="10" fillId="0" borderId="0" applyFill="0">
      <alignment vertical="top"/>
    </xf>
    <xf numFmtId="0" fontId="8" fillId="0" borderId="0" applyFill="0">
      <alignment horizontal="left" vertical="top"/>
    </xf>
    <xf numFmtId="166" fontId="11" fillId="0" borderId="4" applyFill="0"/>
    <xf numFmtId="0" fontId="9" fillId="0" borderId="0" applyNumberFormat="0" applyFont="0" applyAlignment="0"/>
    <xf numFmtId="0" fontId="10" fillId="0" borderId="0" applyFill="0">
      <alignment wrapText="1"/>
    </xf>
    <xf numFmtId="0" fontId="8" fillId="0" borderId="0" applyFill="0">
      <alignment horizontal="left" vertical="top" wrapText="1"/>
    </xf>
    <xf numFmtId="166" fontId="12" fillId="0" borderId="0" applyFill="0"/>
    <xf numFmtId="0" fontId="13" fillId="0" borderId="0" applyNumberFormat="0" applyFont="0" applyAlignment="0">
      <alignment horizontal="center"/>
    </xf>
    <xf numFmtId="0" fontId="14" fillId="0" borderId="0" applyFill="0">
      <alignment vertical="top" wrapText="1"/>
    </xf>
    <xf numFmtId="0" fontId="11" fillId="0" borderId="0" applyFill="0">
      <alignment horizontal="left" vertical="top" wrapText="1"/>
    </xf>
    <xf numFmtId="166" fontId="9" fillId="0" borderId="0" applyFill="0"/>
    <xf numFmtId="0" fontId="13" fillId="0" borderId="0" applyNumberFormat="0" applyFont="0" applyAlignment="0">
      <alignment horizontal="center"/>
    </xf>
    <xf numFmtId="0" fontId="15" fillId="0" borderId="0" applyFill="0">
      <alignment vertical="center" wrapText="1"/>
    </xf>
    <xf numFmtId="0" fontId="16" fillId="0" borderId="0">
      <alignment horizontal="left" vertical="center" wrapText="1"/>
    </xf>
    <xf numFmtId="166" fontId="17" fillId="0" borderId="0" applyFill="0"/>
    <xf numFmtId="0" fontId="13" fillId="0" borderId="0" applyNumberFormat="0" applyFont="0" applyAlignment="0">
      <alignment horizontal="center"/>
    </xf>
    <xf numFmtId="0" fontId="18" fillId="0" borderId="0" applyFill="0">
      <alignment horizontal="center" vertical="center" wrapText="1"/>
    </xf>
    <xf numFmtId="0" fontId="9" fillId="0" borderId="0" applyFill="0">
      <alignment horizontal="center" vertical="center" wrapText="1"/>
    </xf>
    <xf numFmtId="166" fontId="19" fillId="0" borderId="0" applyFill="0"/>
    <xf numFmtId="0" fontId="13" fillId="0" borderId="0" applyNumberFormat="0" applyFont="0" applyAlignment="0">
      <alignment horizontal="center"/>
    </xf>
    <xf numFmtId="0" fontId="20" fillId="0" borderId="0" applyFill="0">
      <alignment horizontal="center" vertical="center" wrapText="1"/>
    </xf>
    <xf numFmtId="0" fontId="21" fillId="0" borderId="0" applyFill="0">
      <alignment horizontal="center" vertical="center" wrapText="1"/>
    </xf>
    <xf numFmtId="166" fontId="22" fillId="0" borderId="0" applyFill="0"/>
    <xf numFmtId="0" fontId="13" fillId="0" borderId="0" applyNumberFormat="0" applyFont="0" applyAlignment="0">
      <alignment horizontal="center"/>
    </xf>
    <xf numFmtId="0" fontId="23" fillId="0" borderId="0">
      <alignment horizontal="center" wrapText="1"/>
    </xf>
    <xf numFmtId="0" fontId="19" fillId="0" borderId="0" applyFill="0">
      <alignment horizontal="center"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167" fontId="7" fillId="15" borderId="5" applyFill="0" applyBorder="0" applyProtection="0">
      <alignment horizontal="left"/>
    </xf>
    <xf numFmtId="38" fontId="7" fillId="16" borderId="0" applyNumberFormat="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0" fillId="0" borderId="6"/>
    <xf numFmtId="0" fontId="31" fillId="0" borderId="0"/>
    <xf numFmtId="0" fontId="32" fillId="0" borderId="0" applyNumberFormat="0" applyFill="0" applyBorder="0" applyAlignment="0" applyProtection="0"/>
    <xf numFmtId="10" fontId="7" fillId="17" borderId="7" applyNumberFormat="0" applyBorder="0" applyAlignment="0" applyProtection="0"/>
    <xf numFmtId="168" fontId="33"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5" fontId="34"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28"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9" fillId="0" borderId="0"/>
    <xf numFmtId="5"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5" fontId="3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5" fontId="34" fillId="0" borderId="0"/>
    <xf numFmtId="0" fontId="1" fillId="0" borderId="0"/>
    <xf numFmtId="0" fontId="1" fillId="0" borderId="0"/>
    <xf numFmtId="0" fontId="9" fillId="0" borderId="0"/>
    <xf numFmtId="5" fontId="34"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1" fillId="0" borderId="0"/>
    <xf numFmtId="5" fontId="34" fillId="0" borderId="0"/>
    <xf numFmtId="0" fontId="9" fillId="0" borderId="0"/>
    <xf numFmtId="5" fontId="34" fillId="0" borderId="0"/>
    <xf numFmtId="5" fontId="34" fillId="0" borderId="0"/>
    <xf numFmtId="0" fontId="9" fillId="0" borderId="0"/>
    <xf numFmtId="5" fontId="34" fillId="0" borderId="0"/>
    <xf numFmtId="5" fontId="34" fillId="0" borderId="0"/>
    <xf numFmtId="0" fontId="1" fillId="0" borderId="0"/>
    <xf numFmtId="5" fontId="34" fillId="0" borderId="0"/>
    <xf numFmtId="0" fontId="1" fillId="0" borderId="0"/>
    <xf numFmtId="5" fontId="34"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1" fillId="0" borderId="0"/>
    <xf numFmtId="0" fontId="16"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8"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25" fillId="0" borderId="0"/>
    <xf numFmtId="0" fontId="1" fillId="0" borderId="0"/>
    <xf numFmtId="0" fontId="9" fillId="0" borderId="0"/>
    <xf numFmtId="0" fontId="25" fillId="0" borderId="0"/>
    <xf numFmtId="0" fontId="1" fillId="0" borderId="0"/>
    <xf numFmtId="0" fontId="25" fillId="0" borderId="0"/>
    <xf numFmtId="0" fontId="25" fillId="0" borderId="0"/>
    <xf numFmtId="0" fontId="25" fillId="0" borderId="0"/>
    <xf numFmtId="0" fontId="16" fillId="0" borderId="0"/>
    <xf numFmtId="0" fontId="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6" fillId="0" borderId="0"/>
    <xf numFmtId="0" fontId="25" fillId="0" borderId="0"/>
    <xf numFmtId="0" fontId="1" fillId="0" borderId="0"/>
    <xf numFmtId="0" fontId="27" fillId="0" borderId="0"/>
    <xf numFmtId="0" fontId="16"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6" fillId="0" borderId="0"/>
    <xf numFmtId="0" fontId="1" fillId="0" borderId="0"/>
    <xf numFmtId="0" fontId="1" fillId="0" borderId="0"/>
    <xf numFmtId="0" fontId="9" fillId="0" borderId="0"/>
    <xf numFmtId="0" fontId="1" fillId="0" borderId="0"/>
    <xf numFmtId="0" fontId="16" fillId="0" borderId="0"/>
    <xf numFmtId="0" fontId="1" fillId="0" borderId="0"/>
    <xf numFmtId="0" fontId="16"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10" fontId="9"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9" fillId="0" borderId="0">
      <alignment horizontal="left" vertical="top"/>
    </xf>
    <xf numFmtId="0" fontId="38" fillId="0" borderId="6">
      <alignment horizontal="center"/>
    </xf>
    <xf numFmtId="3" fontId="25" fillId="0" borderId="0" applyFont="0" applyFill="0" applyBorder="0" applyAlignment="0" applyProtection="0"/>
    <xf numFmtId="0" fontId="25" fillId="18" borderId="0" applyNumberFormat="0" applyFont="0" applyBorder="0" applyAlignment="0" applyProtection="0"/>
    <xf numFmtId="3" fontId="9" fillId="0" borderId="0">
      <alignment horizontal="right" vertical="top"/>
    </xf>
    <xf numFmtId="41" fontId="16" fillId="16" borderId="8" applyFill="0"/>
    <xf numFmtId="0" fontId="39" fillId="0" borderId="0">
      <alignment horizontal="left" indent="7"/>
    </xf>
    <xf numFmtId="41" fontId="16" fillId="0" borderId="8" applyFill="0">
      <alignment horizontal="left" indent="2"/>
    </xf>
    <xf numFmtId="166" fontId="40" fillId="0" borderId="9" applyFill="0">
      <alignment horizontal="right"/>
    </xf>
    <xf numFmtId="0" fontId="41" fillId="0" borderId="7" applyNumberFormat="0" applyFont="0" applyBorder="0">
      <alignment horizontal="right"/>
    </xf>
    <xf numFmtId="0" fontId="42" fillId="0" borderId="0" applyFill="0"/>
    <xf numFmtId="0" fontId="11" fillId="0" borderId="0" applyFill="0"/>
    <xf numFmtId="4" fontId="40" fillId="0" borderId="9" applyFill="0"/>
    <xf numFmtId="0" fontId="9" fillId="0" borderId="0" applyNumberFormat="0" applyFont="0" applyBorder="0" applyAlignment="0"/>
    <xf numFmtId="0" fontId="14" fillId="0" borderId="0" applyFill="0">
      <alignment horizontal="left" indent="1"/>
    </xf>
    <xf numFmtId="0" fontId="43" fillId="0" borderId="0" applyFill="0">
      <alignment horizontal="left" indent="1"/>
    </xf>
    <xf numFmtId="4" fontId="17" fillId="0" borderId="0" applyFill="0"/>
    <xf numFmtId="0" fontId="9" fillId="0" borderId="0" applyNumberFormat="0" applyFont="0" applyFill="0" applyBorder="0" applyAlignment="0"/>
    <xf numFmtId="0" fontId="14" fillId="0" borderId="0" applyFill="0">
      <alignment horizontal="left" indent="2"/>
    </xf>
    <xf numFmtId="0" fontId="11" fillId="0" borderId="0" applyFill="0">
      <alignment horizontal="left" indent="2"/>
    </xf>
    <xf numFmtId="4" fontId="17" fillId="0" borderId="0" applyFill="0"/>
    <xf numFmtId="0" fontId="9" fillId="0" borderId="0" applyNumberFormat="0" applyFont="0" applyBorder="0" applyAlignment="0"/>
    <xf numFmtId="0" fontId="44" fillId="0" borderId="0">
      <alignment horizontal="left" indent="3"/>
    </xf>
    <xf numFmtId="0" fontId="34" fillId="0" borderId="0" applyFill="0">
      <alignment horizontal="left" indent="3"/>
    </xf>
    <xf numFmtId="4" fontId="17" fillId="0" borderId="0" applyFill="0"/>
    <xf numFmtId="0" fontId="9" fillId="0" borderId="0" applyNumberFormat="0" applyFont="0" applyBorder="0" applyAlignment="0"/>
    <xf numFmtId="0" fontId="18" fillId="0" borderId="0">
      <alignment horizontal="left" indent="4"/>
    </xf>
    <xf numFmtId="0" fontId="9" fillId="0" borderId="0" applyFill="0">
      <alignment horizontal="left" indent="4"/>
    </xf>
    <xf numFmtId="4" fontId="19" fillId="0" borderId="0" applyFill="0"/>
    <xf numFmtId="0" fontId="9" fillId="0" borderId="0" applyNumberFormat="0" applyFont="0" applyBorder="0" applyAlignment="0"/>
    <xf numFmtId="0" fontId="20" fillId="0" borderId="0">
      <alignment horizontal="left" indent="5"/>
    </xf>
    <xf numFmtId="0" fontId="21" fillId="0" borderId="0" applyFill="0">
      <alignment horizontal="left" indent="5"/>
    </xf>
    <xf numFmtId="4" fontId="22" fillId="0" borderId="0" applyFill="0"/>
    <xf numFmtId="0" fontId="9" fillId="0" borderId="0" applyNumberFormat="0" applyFont="0" applyFill="0" applyBorder="0" applyAlignment="0"/>
    <xf numFmtId="0" fontId="23" fillId="0" borderId="0" applyFill="0">
      <alignment horizontal="left" indent="6"/>
    </xf>
    <xf numFmtId="0" fontId="19" fillId="0" borderId="0" applyFill="0">
      <alignment horizontal="left" indent="6"/>
    </xf>
    <xf numFmtId="169" fontId="7" fillId="19" borderId="10" applyBorder="0" applyProtection="0">
      <alignment horizontal="center"/>
    </xf>
    <xf numFmtId="0" fontId="45" fillId="0" borderId="0"/>
    <xf numFmtId="0" fontId="9" fillId="0" borderId="0" applyFont="0" applyFill="0" applyBorder="0" applyAlignment="0" applyProtection="0"/>
    <xf numFmtId="0" fontId="16" fillId="0" borderId="0"/>
    <xf numFmtId="0" fontId="16" fillId="20" borderId="0"/>
    <xf numFmtId="38" fontId="50"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72" fillId="0" borderId="0" applyNumberFormat="0" applyFill="0" applyBorder="0" applyAlignment="0" applyProtection="0"/>
  </cellStyleXfs>
  <cellXfs count="874">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164" fontId="4" fillId="0" borderId="0" xfId="1" applyNumberFormat="1"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38" fontId="3" fillId="0" borderId="0" xfId="0" applyNumberFormat="1" applyFont="1" applyFill="1" applyBorder="1" applyAlignment="1">
      <alignment wrapText="1"/>
    </xf>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43" fontId="3" fillId="0" borderId="0" xfId="1" applyFont="1" applyFill="1" applyBorder="1" applyAlignment="1">
      <alignment horizontal="center"/>
    </xf>
    <xf numFmtId="43" fontId="3" fillId="0" borderId="0" xfId="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3" fillId="0" borderId="0" xfId="38578" applyFont="1" applyFill="1" applyAlignment="1"/>
    <xf numFmtId="0" fontId="46" fillId="0" borderId="0" xfId="38578" applyFont="1" applyFill="1" applyAlignment="1"/>
    <xf numFmtId="0" fontId="3" fillId="0" borderId="0" xfId="38578" applyFont="1" applyFill="1" applyAlignment="1">
      <alignment horizontal="right"/>
    </xf>
    <xf numFmtId="0" fontId="3" fillId="0" borderId="0" xfId="38578" applyFont="1" applyFill="1" applyAlignment="1">
      <alignment horizontal="center"/>
    </xf>
    <xf numFmtId="164" fontId="3" fillId="0" borderId="11" xfId="38578" applyNumberFormat="1" applyFont="1" applyFill="1" applyBorder="1" applyAlignment="1">
      <alignment horizontal="right"/>
    </xf>
    <xf numFmtId="0" fontId="3" fillId="0" borderId="6" xfId="38578" applyFont="1" applyFill="1" applyBorder="1" applyAlignment="1">
      <alignment horizontal="center"/>
    </xf>
    <xf numFmtId="0" fontId="3" fillId="0" borderId="6" xfId="38578" applyFont="1" applyFill="1" applyBorder="1" applyAlignment="1"/>
    <xf numFmtId="0" fontId="3" fillId="0" borderId="12" xfId="38578" applyFont="1" applyFill="1" applyBorder="1" applyAlignment="1"/>
    <xf numFmtId="164" fontId="3" fillId="0" borderId="13" xfId="1" applyNumberFormat="1" applyFont="1" applyFill="1" applyBorder="1" applyAlignment="1"/>
    <xf numFmtId="164" fontId="3" fillId="0" borderId="0" xfId="1" applyNumberFormat="1" applyFont="1" applyFill="1" applyBorder="1" applyAlignment="1"/>
    <xf numFmtId="0" fontId="3" fillId="0" borderId="14" xfId="38578" applyFont="1" applyFill="1" applyBorder="1" applyAlignment="1"/>
    <xf numFmtId="164" fontId="3" fillId="0" borderId="15" xfId="1" applyNumberFormat="1" applyFont="1" applyFill="1" applyBorder="1" applyAlignment="1">
      <alignment horizontal="right"/>
    </xf>
    <xf numFmtId="164" fontId="3" fillId="0" borderId="9" xfId="1" applyNumberFormat="1" applyFont="1" applyFill="1" applyBorder="1" applyAlignment="1">
      <alignment horizontal="right"/>
    </xf>
    <xf numFmtId="164" fontId="3" fillId="0" borderId="9" xfId="1" applyNumberFormat="1" applyFont="1" applyFill="1" applyBorder="1" applyAlignment="1"/>
    <xf numFmtId="0" fontId="3" fillId="0" borderId="14" xfId="38578" applyFont="1" applyFill="1" applyBorder="1" applyAlignment="1">
      <alignment horizontal="right"/>
    </xf>
    <xf numFmtId="164" fontId="3" fillId="0" borderId="13" xfId="1" applyNumberFormat="1" applyFont="1" applyFill="1" applyBorder="1" applyAlignment="1">
      <alignment horizontal="right"/>
    </xf>
    <xf numFmtId="164" fontId="3" fillId="0" borderId="0" xfId="1" applyNumberFormat="1" applyFont="1" applyFill="1" applyBorder="1" applyAlignment="1">
      <alignment horizontal="right"/>
    </xf>
    <xf numFmtId="0" fontId="46" fillId="0" borderId="0" xfId="38578" applyNumberFormat="1" applyFont="1" applyFill="1"/>
    <xf numFmtId="0" fontId="46" fillId="0" borderId="0" xfId="38578" applyFont="1" applyFill="1" applyBorder="1" applyAlignment="1">
      <alignment horizontal="center"/>
    </xf>
    <xf numFmtId="0" fontId="46" fillId="0" borderId="13" xfId="38578" applyFont="1" applyFill="1" applyBorder="1" applyAlignment="1">
      <alignment horizontal="center"/>
    </xf>
    <xf numFmtId="0" fontId="46" fillId="0" borderId="0" xfId="38578" applyNumberFormat="1" applyFont="1" applyFill="1" applyBorder="1" applyAlignment="1">
      <alignment horizontal="center"/>
    </xf>
    <xf numFmtId="0" fontId="46" fillId="0" borderId="0" xfId="38578" applyFont="1" applyFill="1" applyBorder="1" applyAlignment="1"/>
    <xf numFmtId="0" fontId="46" fillId="0" borderId="16" xfId="38578" applyFont="1" applyFill="1" applyBorder="1" applyAlignment="1">
      <alignment horizontal="right"/>
    </xf>
    <xf numFmtId="0" fontId="46" fillId="0" borderId="17" xfId="38578" applyFont="1" applyFill="1" applyBorder="1" applyAlignment="1">
      <alignment horizontal="center"/>
    </xf>
    <xf numFmtId="0" fontId="46" fillId="0" borderId="17" xfId="38578" applyFont="1" applyFill="1" applyBorder="1" applyAlignment="1"/>
    <xf numFmtId="0" fontId="3" fillId="0" borderId="17" xfId="38578" applyFont="1" applyFill="1" applyBorder="1" applyAlignment="1"/>
    <xf numFmtId="0" fontId="47" fillId="0" borderId="18" xfId="38578" applyFont="1" applyFill="1" applyBorder="1"/>
    <xf numFmtId="0" fontId="46" fillId="0" borderId="0" xfId="38578" applyFont="1" applyFill="1" applyBorder="1" applyAlignment="1">
      <alignment horizontal="right"/>
    </xf>
    <xf numFmtId="0" fontId="47" fillId="0" borderId="0" xfId="38578" applyFont="1" applyFill="1" applyBorder="1"/>
    <xf numFmtId="170" fontId="46" fillId="0" borderId="0" xfId="38578" applyNumberFormat="1" applyFont="1" applyFill="1" applyBorder="1" applyAlignment="1"/>
    <xf numFmtId="171" fontId="46" fillId="0" borderId="0" xfId="38578" applyNumberFormat="1" applyFont="1" applyFill="1" applyBorder="1" applyAlignment="1">
      <alignment horizontal="right"/>
    </xf>
    <xf numFmtId="0" fontId="48" fillId="0" borderId="0" xfId="38578" applyFont="1" applyFill="1" applyBorder="1" applyAlignment="1"/>
    <xf numFmtId="167" fontId="46" fillId="0" borderId="0" xfId="18360" applyNumberFormat="1" applyFont="1" applyFill="1" applyBorder="1" applyAlignment="1"/>
    <xf numFmtId="3" fontId="46" fillId="0" borderId="0" xfId="38578" applyNumberFormat="1" applyFont="1" applyFill="1" applyBorder="1" applyAlignment="1"/>
    <xf numFmtId="37" fontId="46" fillId="0" borderId="0" xfId="38578" applyNumberFormat="1" applyFont="1" applyFill="1" applyBorder="1" applyAlignment="1"/>
    <xf numFmtId="37" fontId="46" fillId="0" borderId="0" xfId="38578" applyNumberFormat="1" applyFont="1" applyFill="1" applyBorder="1" applyAlignment="1">
      <alignment horizontal="right"/>
    </xf>
    <xf numFmtId="37" fontId="46" fillId="0" borderId="0" xfId="38578" applyNumberFormat="1" applyFont="1" applyFill="1" applyBorder="1" applyAlignment="1">
      <alignment horizontal="center"/>
    </xf>
    <xf numFmtId="164" fontId="46" fillId="0" borderId="0" xfId="5447" applyNumberFormat="1" applyFont="1" applyFill="1" applyBorder="1" applyAlignment="1"/>
    <xf numFmtId="0" fontId="48" fillId="0" borderId="0" xfId="38578" applyFont="1" applyFill="1" applyBorder="1" applyAlignment="1">
      <alignment horizontal="center"/>
    </xf>
    <xf numFmtId="0" fontId="46" fillId="0" borderId="0" xfId="38578" applyNumberFormat="1" applyFont="1" applyFill="1" applyBorder="1" applyAlignment="1"/>
    <xf numFmtId="0" fontId="46" fillId="0" borderId="0" xfId="38578" applyNumberFormat="1" applyFont="1" applyFill="1" applyAlignment="1"/>
    <xf numFmtId="37" fontId="46" fillId="0" borderId="9" xfId="38578" applyNumberFormat="1" applyFont="1" applyFill="1" applyBorder="1" applyAlignment="1"/>
    <xf numFmtId="0" fontId="46" fillId="0" borderId="0" xfId="38578" applyNumberFormat="1" applyFont="1" applyFill="1" applyAlignment="1">
      <alignment horizontal="left"/>
    </xf>
    <xf numFmtId="0" fontId="46" fillId="0" borderId="0" xfId="38578" applyFont="1" applyFill="1" applyAlignment="1">
      <alignment horizontal="right"/>
    </xf>
    <xf numFmtId="0" fontId="46" fillId="0" borderId="0" xfId="38578" applyFont="1" applyFill="1" applyAlignment="1">
      <alignment horizontal="center"/>
    </xf>
    <xf numFmtId="37" fontId="46" fillId="0" borderId="9" xfId="42319" applyNumberFormat="1" applyFont="1" applyFill="1" applyBorder="1" applyProtection="1"/>
    <xf numFmtId="37" fontId="46" fillId="0" borderId="0" xfId="42319" applyNumberFormat="1" applyFont="1" applyFill="1" applyProtection="1"/>
    <xf numFmtId="37" fontId="46" fillId="0" borderId="9" xfId="42320" applyNumberFormat="1" applyFont="1" applyFill="1" applyBorder="1" applyProtection="1">
      <protection locked="0"/>
    </xf>
    <xf numFmtId="37" fontId="46" fillId="0" borderId="0" xfId="42320" applyNumberFormat="1" applyFont="1" applyFill="1" applyProtection="1">
      <protection locked="0"/>
    </xf>
    <xf numFmtId="0" fontId="46" fillId="0" borderId="0" xfId="38578" applyNumberFormat="1" applyFont="1" applyFill="1" applyAlignment="1">
      <alignment horizontal="right"/>
    </xf>
    <xf numFmtId="37" fontId="46" fillId="0" borderId="9" xfId="42320" applyNumberFormat="1" applyFont="1" applyFill="1" applyBorder="1" applyAlignment="1" applyProtection="1">
      <alignment horizontal="center"/>
      <protection locked="0"/>
    </xf>
    <xf numFmtId="0" fontId="46" fillId="0" borderId="0" xfId="38578" applyNumberFormat="1" applyFont="1" applyFill="1" applyAlignment="1">
      <alignment horizontal="center"/>
    </xf>
    <xf numFmtId="37" fontId="46" fillId="0" borderId="0" xfId="42319" applyNumberFormat="1" applyFont="1" applyFill="1" applyBorder="1" applyAlignment="1" applyProtection="1">
      <alignment horizontal="center"/>
    </xf>
    <xf numFmtId="37" fontId="46" fillId="0" borderId="0" xfId="42320" applyNumberFormat="1" applyFont="1" applyFill="1" applyBorder="1" applyProtection="1">
      <protection locked="0"/>
    </xf>
    <xf numFmtId="3" fontId="46" fillId="0" borderId="0" xfId="38578" applyNumberFormat="1" applyFont="1" applyFill="1" applyAlignment="1">
      <alignment horizontal="right"/>
    </xf>
    <xf numFmtId="3" fontId="46" fillId="0" borderId="0" xfId="38578" applyNumberFormat="1" applyFont="1" applyFill="1" applyAlignment="1">
      <alignment horizontal="center"/>
    </xf>
    <xf numFmtId="3" fontId="46" fillId="0" borderId="11" xfId="38578" applyNumberFormat="1" applyFont="1" applyFill="1" applyBorder="1" applyAlignment="1">
      <alignment horizontal="right"/>
    </xf>
    <xf numFmtId="3" fontId="46" fillId="0" borderId="6" xfId="38578" applyNumberFormat="1" applyFont="1" applyFill="1" applyBorder="1" applyAlignment="1">
      <alignment horizontal="center"/>
    </xf>
    <xf numFmtId="0" fontId="46" fillId="0" borderId="6" xfId="38578" applyNumberFormat="1" applyFont="1" applyFill="1" applyBorder="1"/>
    <xf numFmtId="0" fontId="46" fillId="0" borderId="6" xfId="38578" applyFont="1" applyFill="1" applyBorder="1" applyAlignment="1"/>
    <xf numFmtId="0" fontId="46" fillId="0" borderId="12" xfId="38578" applyNumberFormat="1" applyFont="1" applyFill="1" applyBorder="1"/>
    <xf numFmtId="172" fontId="46" fillId="0" borderId="13" xfId="38578" applyNumberFormat="1" applyFont="1" applyFill="1" applyBorder="1" applyAlignment="1">
      <alignment horizontal="right"/>
    </xf>
    <xf numFmtId="0" fontId="46" fillId="0" borderId="0" xfId="38578" applyNumberFormat="1" applyFont="1" applyFill="1" applyBorder="1"/>
    <xf numFmtId="0" fontId="46" fillId="0" borderId="14" xfId="38578" applyNumberFormat="1" applyFont="1" applyFill="1" applyBorder="1"/>
    <xf numFmtId="164" fontId="46" fillId="0" borderId="13" xfId="38578" applyNumberFormat="1" applyFont="1" applyFill="1" applyBorder="1" applyAlignment="1">
      <alignment horizontal="right"/>
    </xf>
    <xf numFmtId="164" fontId="46" fillId="0" borderId="0" xfId="38578" applyNumberFormat="1" applyFont="1" applyFill="1" applyBorder="1" applyAlignment="1">
      <alignment horizontal="center"/>
    </xf>
    <xf numFmtId="164" fontId="46" fillId="0" borderId="0" xfId="38578" applyNumberFormat="1" applyFont="1" applyFill="1" applyBorder="1"/>
    <xf numFmtId="164" fontId="46" fillId="0" borderId="0" xfId="38578" applyNumberFormat="1" applyFont="1" applyFill="1" applyBorder="1" applyAlignment="1"/>
    <xf numFmtId="0" fontId="46" fillId="0" borderId="13" xfId="38578" applyNumberFormat="1" applyFont="1" applyFill="1" applyBorder="1" applyAlignment="1">
      <alignment horizontal="right"/>
    </xf>
    <xf numFmtId="0" fontId="46" fillId="0" borderId="16" xfId="38578" applyNumberFormat="1" applyFont="1" applyFill="1" applyBorder="1" applyAlignment="1">
      <alignment horizontal="right"/>
    </xf>
    <xf numFmtId="173" fontId="49" fillId="0" borderId="17" xfId="38578" applyNumberFormat="1" applyFont="1" applyFill="1" applyBorder="1" applyAlignment="1">
      <alignment horizontal="center"/>
    </xf>
    <xf numFmtId="173" fontId="49" fillId="0" borderId="17" xfId="38578" applyNumberFormat="1" applyFont="1" applyFill="1" applyBorder="1"/>
    <xf numFmtId="173" fontId="49" fillId="0" borderId="17" xfId="38578" applyNumberFormat="1" applyFont="1" applyFill="1" applyBorder="1" applyAlignment="1"/>
    <xf numFmtId="0" fontId="46" fillId="0" borderId="18" xfId="38578" applyNumberFormat="1" applyFont="1" applyFill="1" applyBorder="1"/>
    <xf numFmtId="164" fontId="46" fillId="0" borderId="11" xfId="5447" applyNumberFormat="1" applyFont="1" applyFill="1" applyBorder="1" applyAlignment="1">
      <alignment horizontal="right"/>
    </xf>
    <xf numFmtId="164" fontId="46" fillId="0" borderId="6" xfId="5447" applyNumberFormat="1" applyFont="1" applyFill="1" applyBorder="1" applyAlignment="1">
      <alignment horizontal="center"/>
    </xf>
    <xf numFmtId="164" fontId="46" fillId="0" borderId="6" xfId="5447" applyNumberFormat="1" applyFont="1" applyFill="1" applyBorder="1" applyAlignment="1"/>
    <xf numFmtId="0" fontId="46" fillId="0" borderId="12" xfId="38578" applyFont="1" applyFill="1" applyBorder="1"/>
    <xf numFmtId="164" fontId="46" fillId="0" borderId="13" xfId="5447" applyNumberFormat="1" applyFont="1" applyFill="1" applyBorder="1" applyAlignment="1">
      <alignment horizontal="right"/>
    </xf>
    <xf numFmtId="164" fontId="46" fillId="0" borderId="0" xfId="5447" applyNumberFormat="1" applyFont="1" applyFill="1" applyBorder="1" applyAlignment="1">
      <alignment horizontal="center"/>
    </xf>
    <xf numFmtId="0" fontId="46" fillId="0" borderId="14" xfId="38578" applyFont="1" applyFill="1" applyBorder="1"/>
    <xf numFmtId="0" fontId="46" fillId="0" borderId="13" xfId="38578" applyFont="1" applyFill="1" applyBorder="1" applyAlignment="1">
      <alignment horizontal="right"/>
    </xf>
    <xf numFmtId="0" fontId="46" fillId="0" borderId="14" xfId="38578" applyFont="1" applyFill="1" applyBorder="1" applyAlignment="1"/>
    <xf numFmtId="164" fontId="46" fillId="0" borderId="16" xfId="5447" applyNumberFormat="1" applyFont="1" applyFill="1" applyBorder="1" applyAlignment="1">
      <alignment horizontal="right"/>
    </xf>
    <xf numFmtId="3" fontId="46" fillId="0" borderId="17" xfId="38578" applyNumberFormat="1" applyFont="1" applyFill="1" applyBorder="1" applyAlignment="1">
      <alignment horizontal="center"/>
    </xf>
    <xf numFmtId="0" fontId="46" fillId="0" borderId="18" xfId="38578" applyNumberFormat="1" applyFont="1" applyFill="1" applyBorder="1" applyAlignment="1"/>
    <xf numFmtId="3" fontId="46" fillId="0" borderId="0" xfId="38578" applyNumberFormat="1" applyFont="1" applyFill="1" applyAlignment="1"/>
    <xf numFmtId="164" fontId="46" fillId="0" borderId="11" xfId="38578" applyNumberFormat="1" applyFont="1" applyFill="1" applyBorder="1" applyAlignment="1">
      <alignment horizontal="right"/>
    </xf>
    <xf numFmtId="0" fontId="46" fillId="0" borderId="6" xfId="38578" applyFont="1" applyFill="1" applyBorder="1" applyAlignment="1">
      <alignment horizontal="center"/>
    </xf>
    <xf numFmtId="164" fontId="46" fillId="0" borderId="19" xfId="38578" applyNumberFormat="1" applyFont="1" applyFill="1" applyBorder="1" applyAlignment="1">
      <alignment horizontal="right"/>
    </xf>
    <xf numFmtId="164" fontId="46" fillId="0" borderId="15" xfId="38578" applyNumberFormat="1" applyFont="1" applyFill="1" applyBorder="1" applyAlignment="1">
      <alignment horizontal="right"/>
    </xf>
    <xf numFmtId="0" fontId="46" fillId="0" borderId="9" xfId="38578" applyNumberFormat="1" applyFont="1" applyFill="1" applyBorder="1" applyAlignment="1">
      <alignment horizontal="center"/>
    </xf>
    <xf numFmtId="164" fontId="46" fillId="0" borderId="9" xfId="5447" applyNumberFormat="1" applyFont="1" applyFill="1" applyBorder="1"/>
    <xf numFmtId="164" fontId="46" fillId="0" borderId="0" xfId="5447" applyNumberFormat="1" applyFont="1" applyFill="1" applyBorder="1"/>
    <xf numFmtId="164" fontId="46" fillId="0" borderId="0" xfId="19384" applyNumberFormat="1" applyFont="1" applyFill="1" applyBorder="1"/>
    <xf numFmtId="164" fontId="46" fillId="0" borderId="16" xfId="38578" applyNumberFormat="1" applyFont="1" applyFill="1" applyBorder="1" applyAlignment="1">
      <alignment horizontal="right"/>
    </xf>
    <xf numFmtId="164" fontId="46" fillId="0" borderId="17" xfId="38578" applyNumberFormat="1" applyFont="1" applyFill="1" applyBorder="1" applyAlignment="1">
      <alignment horizontal="center"/>
    </xf>
    <xf numFmtId="164" fontId="46" fillId="0" borderId="17" xfId="38578" applyNumberFormat="1" applyFont="1" applyFill="1" applyBorder="1" applyAlignment="1"/>
    <xf numFmtId="0" fontId="46" fillId="0" borderId="18" xfId="38578" applyFont="1" applyFill="1" applyBorder="1"/>
    <xf numFmtId="164" fontId="46" fillId="0" borderId="0" xfId="38578" applyNumberFormat="1" applyFont="1" applyFill="1" applyAlignment="1"/>
    <xf numFmtId="164" fontId="46" fillId="0" borderId="15" xfId="5447" applyNumberFormat="1" applyFont="1" applyFill="1" applyBorder="1" applyAlignment="1">
      <alignment horizontal="right"/>
    </xf>
    <xf numFmtId="164" fontId="46" fillId="0" borderId="9" xfId="5447" applyNumberFormat="1" applyFont="1" applyFill="1" applyBorder="1" applyAlignment="1">
      <alignment horizontal="center"/>
    </xf>
    <xf numFmtId="164" fontId="46" fillId="0" borderId="9" xfId="5447" applyNumberFormat="1" applyFont="1" applyFill="1" applyBorder="1" applyAlignment="1"/>
    <xf numFmtId="164" fontId="46" fillId="0" borderId="14" xfId="38578" applyNumberFormat="1" applyFont="1" applyFill="1" applyBorder="1"/>
    <xf numFmtId="38" fontId="46" fillId="0" borderId="0" xfId="42321" applyFont="1" applyFill="1" applyBorder="1" applyAlignment="1">
      <alignment horizontal="right"/>
    </xf>
    <xf numFmtId="0" fontId="46" fillId="0" borderId="20" xfId="38578" applyFont="1" applyFill="1" applyBorder="1"/>
    <xf numFmtId="0" fontId="46" fillId="0" borderId="6" xfId="38578" applyNumberFormat="1" applyFont="1" applyFill="1" applyBorder="1" applyAlignment="1"/>
    <xf numFmtId="0" fontId="46" fillId="0" borderId="12" xfId="38578" applyNumberFormat="1" applyFont="1" applyFill="1" applyBorder="1" applyAlignment="1"/>
    <xf numFmtId="0" fontId="46" fillId="0" borderId="14" xfId="38578" applyNumberFormat="1" applyFont="1" applyFill="1" applyBorder="1" applyAlignment="1"/>
    <xf numFmtId="0" fontId="3" fillId="0" borderId="0" xfId="38578" applyNumberFormat="1" applyFont="1" applyFill="1"/>
    <xf numFmtId="164" fontId="46" fillId="0" borderId="21" xfId="38578" applyNumberFormat="1" applyFont="1" applyFill="1" applyBorder="1" applyAlignment="1">
      <alignment horizontal="right"/>
    </xf>
    <xf numFmtId="0" fontId="46" fillId="0" borderId="9" xfId="38578" applyFont="1" applyFill="1" applyBorder="1" applyAlignment="1">
      <alignment horizontal="center"/>
    </xf>
    <xf numFmtId="43" fontId="46" fillId="0" borderId="0" xfId="5447" applyFont="1" applyFill="1" applyBorder="1" applyAlignment="1"/>
    <xf numFmtId="0" fontId="3" fillId="0" borderId="0" xfId="38578" applyNumberFormat="1" applyFont="1" applyFill="1" applyAlignment="1">
      <alignment horizontal="center"/>
    </xf>
    <xf numFmtId="0" fontId="46" fillId="0" borderId="0" xfId="38578" applyFont="1" applyFill="1" applyAlignment="1">
      <alignment wrapText="1"/>
    </xf>
    <xf numFmtId="0" fontId="46" fillId="0" borderId="0" xfId="38578" applyFont="1" applyFill="1" applyAlignment="1">
      <alignment horizontal="right" wrapText="1"/>
    </xf>
    <xf numFmtId="0" fontId="46" fillId="0" borderId="0" xfId="38578" applyFont="1" applyFill="1" applyAlignment="1">
      <alignment horizontal="center" wrapText="1"/>
    </xf>
    <xf numFmtId="0" fontId="3" fillId="21" borderId="11" xfId="38578" applyNumberFormat="1" applyFont="1" applyFill="1" applyBorder="1"/>
    <xf numFmtId="3" fontId="3" fillId="21" borderId="6" xfId="38578" applyNumberFormat="1" applyFont="1" applyFill="1" applyBorder="1" applyAlignment="1"/>
    <xf numFmtId="0" fontId="3" fillId="21" borderId="6" xfId="38578" applyNumberFormat="1" applyFont="1" applyFill="1" applyBorder="1"/>
    <xf numFmtId="0" fontId="3" fillId="21" borderId="6" xfId="38578" applyNumberFormat="1" applyFont="1" applyFill="1" applyBorder="1" applyAlignment="1">
      <alignment horizontal="right"/>
    </xf>
    <xf numFmtId="0" fontId="3" fillId="21" borderId="6" xfId="38578" applyNumberFormat="1" applyFont="1" applyFill="1" applyBorder="1" applyAlignment="1">
      <alignment horizontal="center"/>
    </xf>
    <xf numFmtId="0" fontId="3" fillId="21" borderId="6" xfId="38578" applyFont="1" applyFill="1" applyBorder="1"/>
    <xf numFmtId="0" fontId="3" fillId="21" borderId="12" xfId="38578" applyFont="1" applyFill="1" applyBorder="1" applyAlignment="1"/>
    <xf numFmtId="0" fontId="3" fillId="21" borderId="13" xfId="38578" applyNumberFormat="1" applyFont="1" applyFill="1" applyBorder="1"/>
    <xf numFmtId="3" fontId="3" fillId="21" borderId="0" xfId="38578" applyNumberFormat="1" applyFont="1" applyFill="1" applyBorder="1" applyAlignment="1"/>
    <xf numFmtId="0" fontId="3" fillId="21" borderId="0" xfId="38578" applyNumberFormat="1" applyFont="1" applyFill="1" applyBorder="1"/>
    <xf numFmtId="3" fontId="3" fillId="21" borderId="0" xfId="38578" applyNumberFormat="1" applyFont="1" applyFill="1" applyBorder="1" applyAlignment="1">
      <alignment horizontal="right"/>
    </xf>
    <xf numFmtId="0" fontId="3" fillId="21" borderId="0" xfId="38578" applyNumberFormat="1" applyFont="1" applyFill="1" applyBorder="1" applyAlignment="1">
      <alignment horizontal="center"/>
    </xf>
    <xf numFmtId="10" fontId="3" fillId="21" borderId="0" xfId="38578" applyNumberFormat="1" applyFont="1" applyFill="1" applyBorder="1"/>
    <xf numFmtId="0" fontId="3" fillId="21" borderId="0" xfId="38578" applyFont="1" applyFill="1" applyBorder="1"/>
    <xf numFmtId="0" fontId="3" fillId="21" borderId="14" xfId="38578" applyFont="1" applyFill="1" applyBorder="1" applyAlignment="1"/>
    <xf numFmtId="0" fontId="3" fillId="21" borderId="14" xfId="38578" applyFont="1" applyFill="1" applyBorder="1" applyAlignment="1">
      <alignment horizontal="center" vertical="top"/>
    </xf>
    <xf numFmtId="0" fontId="3" fillId="21" borderId="14" xfId="38578" applyFont="1" applyFill="1" applyBorder="1" applyAlignment="1">
      <alignment horizontal="center"/>
    </xf>
    <xf numFmtId="3" fontId="46" fillId="0" borderId="0" xfId="38578" applyNumberFormat="1" applyFont="1" applyFill="1" applyAlignment="1">
      <alignment horizontal="left"/>
    </xf>
    <xf numFmtId="10" fontId="3" fillId="22" borderId="0" xfId="38578" applyNumberFormat="1" applyFont="1" applyFill="1" applyBorder="1"/>
    <xf numFmtId="0" fontId="3" fillId="21" borderId="14" xfId="38578" applyNumberFormat="1" applyFont="1" applyFill="1" applyBorder="1" applyAlignment="1">
      <alignment horizontal="center"/>
    </xf>
    <xf numFmtId="3" fontId="3" fillId="21" borderId="13" xfId="38578" applyNumberFormat="1" applyFont="1" applyFill="1" applyBorder="1" applyAlignment="1"/>
    <xf numFmtId="0" fontId="3" fillId="21" borderId="12" xfId="38578" applyFont="1" applyFill="1" applyBorder="1" applyAlignment="1">
      <alignment horizontal="center"/>
    </xf>
    <xf numFmtId="3" fontId="3" fillId="21" borderId="11" xfId="38578" applyNumberFormat="1" applyFont="1" applyFill="1" applyBorder="1" applyAlignment="1" applyProtection="1"/>
    <xf numFmtId="1" fontId="3" fillId="21" borderId="6" xfId="38578" applyNumberFormat="1" applyFont="1" applyFill="1" applyBorder="1" applyAlignment="1" applyProtection="1">
      <alignment horizontal="right"/>
    </xf>
    <xf numFmtId="3" fontId="3" fillId="21" borderId="6" xfId="38578" applyNumberFormat="1" applyFont="1" applyFill="1" applyBorder="1" applyAlignment="1">
      <alignment horizontal="right"/>
    </xf>
    <xf numFmtId="3" fontId="3" fillId="21" borderId="6" xfId="38578" applyNumberFormat="1" applyFont="1" applyFill="1" applyBorder="1" applyAlignment="1">
      <alignment horizontal="center"/>
    </xf>
    <xf numFmtId="166" fontId="3" fillId="21" borderId="6" xfId="38578" applyNumberFormat="1" applyFont="1" applyFill="1" applyBorder="1" applyAlignment="1"/>
    <xf numFmtId="0" fontId="3" fillId="21" borderId="12" xfId="38578" applyNumberFormat="1" applyFont="1" applyFill="1" applyBorder="1" applyAlignment="1">
      <alignment horizontal="center"/>
    </xf>
    <xf numFmtId="3" fontId="3" fillId="21" borderId="13" xfId="38578" applyNumberFormat="1" applyFont="1" applyFill="1" applyBorder="1" applyAlignment="1" applyProtection="1"/>
    <xf numFmtId="1" fontId="3" fillId="22" borderId="6" xfId="38578" applyNumberFormat="1" applyFont="1" applyFill="1" applyBorder="1" applyAlignment="1" applyProtection="1">
      <alignment horizontal="right"/>
      <protection locked="0"/>
    </xf>
    <xf numFmtId="0" fontId="3" fillId="21" borderId="0" xfId="38578" applyNumberFormat="1" applyFont="1" applyFill="1" applyBorder="1" applyAlignment="1">
      <alignment horizontal="right"/>
    </xf>
    <xf numFmtId="0" fontId="3" fillId="21" borderId="6" xfId="38578" applyFont="1" applyFill="1" applyBorder="1" applyAlignment="1"/>
    <xf numFmtId="1" fontId="3" fillId="22" borderId="0" xfId="38578" applyNumberFormat="1" applyFont="1" applyFill="1" applyBorder="1" applyAlignment="1" applyProtection="1">
      <alignment horizontal="right"/>
      <protection locked="0"/>
    </xf>
    <xf numFmtId="3" fontId="3" fillId="21" borderId="0" xfId="38578" applyNumberFormat="1" applyFont="1" applyFill="1" applyBorder="1" applyAlignment="1">
      <alignment horizontal="center"/>
    </xf>
    <xf numFmtId="0" fontId="3" fillId="21" borderId="0" xfId="38578" applyFont="1" applyFill="1" applyBorder="1" applyAlignment="1"/>
    <xf numFmtId="0" fontId="3" fillId="22" borderId="0" xfId="38578" applyFont="1" applyFill="1" applyBorder="1" applyAlignment="1">
      <alignment horizontal="right"/>
    </xf>
    <xf numFmtId="0" fontId="3" fillId="21" borderId="13" xfId="38578" applyFont="1" applyFill="1" applyBorder="1" applyAlignment="1"/>
    <xf numFmtId="3" fontId="3" fillId="22" borderId="0" xfId="38578" applyNumberFormat="1" applyFont="1" applyFill="1" applyBorder="1" applyAlignment="1">
      <alignment horizontal="right"/>
    </xf>
    <xf numFmtId="172" fontId="3" fillId="21" borderId="0" xfId="38578" applyNumberFormat="1" applyFont="1" applyFill="1" applyBorder="1" applyAlignment="1">
      <alignment horizontal="right"/>
    </xf>
    <xf numFmtId="0" fontId="3" fillId="21" borderId="13" xfId="38578" applyFont="1" applyFill="1" applyBorder="1" applyAlignment="1">
      <alignment horizontal="right"/>
    </xf>
    <xf numFmtId="3" fontId="3" fillId="22" borderId="6" xfId="38578" applyNumberFormat="1" applyFont="1" applyFill="1" applyBorder="1" applyAlignment="1">
      <alignment horizontal="right"/>
    </xf>
    <xf numFmtId="0" fontId="51" fillId="21" borderId="0" xfId="38578" applyFont="1" applyFill="1" applyBorder="1" applyAlignment="1"/>
    <xf numFmtId="0" fontId="3" fillId="21" borderId="0" xfId="38578" applyFont="1" applyFill="1" applyBorder="1" applyAlignment="1">
      <alignment horizontal="right"/>
    </xf>
    <xf numFmtId="0" fontId="3" fillId="21" borderId="0" xfId="38578" applyFont="1" applyFill="1" applyBorder="1" applyAlignment="1">
      <alignment horizontal="center"/>
    </xf>
    <xf numFmtId="0" fontId="3" fillId="0" borderId="0" xfId="38578" applyNumberFormat="1" applyFont="1" applyFill="1" applyAlignment="1"/>
    <xf numFmtId="0" fontId="3" fillId="0" borderId="0" xfId="38578" applyNumberFormat="1" applyFont="1" applyFill="1" applyAlignment="1">
      <alignment horizontal="right"/>
    </xf>
    <xf numFmtId="174" fontId="3" fillId="0" borderId="0" xfId="38578" applyNumberFormat="1" applyFont="1" applyFill="1"/>
    <xf numFmtId="0" fontId="3" fillId="21" borderId="0" xfId="38578" applyFont="1" applyFill="1" applyBorder="1" applyAlignment="1" applyProtection="1">
      <alignment horizontal="right"/>
    </xf>
    <xf numFmtId="0" fontId="51" fillId="21" borderId="0" xfId="38578" applyFont="1" applyFill="1" applyBorder="1" applyAlignment="1">
      <alignment horizontal="right"/>
    </xf>
    <xf numFmtId="0" fontId="3" fillId="21" borderId="6" xfId="38578" applyFont="1" applyFill="1" applyBorder="1" applyAlignment="1">
      <alignment horizontal="center"/>
    </xf>
    <xf numFmtId="0" fontId="3" fillId="21" borderId="0" xfId="38578" applyNumberFormat="1" applyFont="1" applyFill="1" applyBorder="1" applyAlignment="1"/>
    <xf numFmtId="3" fontId="3" fillId="0" borderId="0" xfId="38578" applyNumberFormat="1" applyFont="1" applyFill="1" applyAlignment="1" applyProtection="1"/>
    <xf numFmtId="170" fontId="3" fillId="0" borderId="0" xfId="38578" applyNumberFormat="1" applyFont="1" applyFill="1" applyBorder="1" applyAlignment="1" applyProtection="1"/>
    <xf numFmtId="3" fontId="3" fillId="0" borderId="0" xfId="38578" applyNumberFormat="1" applyFont="1" applyFill="1" applyAlignment="1"/>
    <xf numFmtId="1" fontId="3" fillId="0" borderId="0" xfId="38578" applyNumberFormat="1" applyFont="1" applyFill="1" applyProtection="1"/>
    <xf numFmtId="0" fontId="3" fillId="0" borderId="0" xfId="38578" applyFont="1" applyFill="1" applyAlignment="1" applyProtection="1"/>
    <xf numFmtId="170" fontId="3" fillId="0" borderId="0" xfId="38578" applyNumberFormat="1" applyFont="1" applyFill="1" applyBorder="1" applyProtection="1"/>
    <xf numFmtId="4" fontId="3" fillId="21" borderId="0" xfId="38578" applyNumberFormat="1" applyFont="1" applyFill="1" applyBorder="1" applyAlignment="1">
      <alignment horizontal="right"/>
    </xf>
    <xf numFmtId="3" fontId="3" fillId="0" borderId="0" xfId="38578" applyNumberFormat="1" applyFont="1" applyFill="1" applyAlignment="1">
      <alignment horizontal="center"/>
    </xf>
    <xf numFmtId="10" fontId="3" fillId="21" borderId="0" xfId="38578" applyNumberFormat="1" applyFont="1" applyFill="1" applyBorder="1" applyAlignment="1">
      <alignment horizontal="right"/>
    </xf>
    <xf numFmtId="174" fontId="3" fillId="21" borderId="0" xfId="38578" applyNumberFormat="1" applyFont="1" applyFill="1" applyBorder="1" applyAlignment="1">
      <alignment horizontal="right"/>
    </xf>
    <xf numFmtId="9" fontId="3" fillId="21" borderId="0" xfId="38578" applyNumberFormat="1" applyFont="1" applyFill="1" applyBorder="1" applyAlignment="1">
      <alignment horizontal="center"/>
    </xf>
    <xf numFmtId="174" fontId="3" fillId="21" borderId="6" xfId="38578" applyNumberFormat="1" applyFont="1" applyFill="1" applyBorder="1" applyAlignment="1">
      <alignment horizontal="right"/>
    </xf>
    <xf numFmtId="3" fontId="3" fillId="21" borderId="13" xfId="38578" quotePrefix="1" applyNumberFormat="1" applyFont="1" applyFill="1" applyBorder="1" applyAlignment="1"/>
    <xf numFmtId="0" fontId="3" fillId="21" borderId="0" xfId="38578" applyFont="1" applyFill="1" applyBorder="1" applyAlignment="1">
      <alignment wrapText="1"/>
    </xf>
    <xf numFmtId="0" fontId="3" fillId="21" borderId="6" xfId="38578" applyFont="1" applyFill="1" applyBorder="1" applyAlignment="1">
      <alignment horizontal="right"/>
    </xf>
    <xf numFmtId="170" fontId="3" fillId="21" borderId="0" xfId="38578" applyNumberFormat="1" applyFont="1" applyFill="1" applyBorder="1" applyAlignment="1"/>
    <xf numFmtId="3" fontId="3" fillId="21" borderId="13" xfId="38578" applyNumberFormat="1" applyFont="1" applyFill="1" applyBorder="1" applyAlignment="1">
      <alignment horizontal="center"/>
    </xf>
    <xf numFmtId="3" fontId="3" fillId="22" borderId="6" xfId="38578" applyNumberFormat="1" applyFont="1" applyFill="1" applyBorder="1" applyAlignment="1"/>
    <xf numFmtId="173" fontId="3" fillId="21" borderId="0" xfId="38578" applyNumberFormat="1" applyFont="1" applyFill="1" applyBorder="1" applyAlignment="1"/>
    <xf numFmtId="173" fontId="3" fillId="21" borderId="0" xfId="38578" applyNumberFormat="1" applyFont="1" applyFill="1" applyBorder="1" applyAlignment="1">
      <alignment horizontal="right"/>
    </xf>
    <xf numFmtId="3" fontId="3" fillId="22" borderId="0" xfId="38578" applyNumberFormat="1" applyFont="1" applyFill="1" applyBorder="1" applyAlignment="1"/>
    <xf numFmtId="173" fontId="3" fillId="21" borderId="0" xfId="38578" applyNumberFormat="1" applyFont="1" applyFill="1" applyBorder="1" applyAlignment="1">
      <alignment horizontal="center"/>
    </xf>
    <xf numFmtId="173" fontId="3" fillId="21" borderId="13" xfId="38578" applyNumberFormat="1" applyFont="1" applyFill="1" applyBorder="1" applyAlignment="1"/>
    <xf numFmtId="175" fontId="3" fillId="21" borderId="0" xfId="38578" applyNumberFormat="1" applyFont="1" applyFill="1" applyBorder="1" applyAlignment="1">
      <alignment horizontal="center"/>
    </xf>
    <xf numFmtId="3" fontId="4" fillId="21" borderId="0" xfId="38578" applyNumberFormat="1" applyFont="1" applyFill="1" applyBorder="1" applyAlignment="1">
      <alignment horizontal="center"/>
    </xf>
    <xf numFmtId="0" fontId="3" fillId="21" borderId="13" xfId="38578" applyFont="1" applyFill="1" applyBorder="1" applyAlignment="1">
      <alignment horizontal="center"/>
    </xf>
    <xf numFmtId="176" fontId="3" fillId="21" borderId="0" xfId="38578" applyNumberFormat="1" applyFont="1" applyFill="1" applyBorder="1" applyAlignment="1">
      <alignment horizontal="right"/>
    </xf>
    <xf numFmtId="176" fontId="3" fillId="21" borderId="0" xfId="38578" applyNumberFormat="1" applyFont="1" applyFill="1" applyBorder="1" applyAlignment="1"/>
    <xf numFmtId="4" fontId="3" fillId="21" borderId="0" xfId="38578" applyNumberFormat="1" applyFont="1" applyFill="1" applyBorder="1" applyAlignment="1">
      <alignment horizontal="center"/>
    </xf>
    <xf numFmtId="177" fontId="46" fillId="0" borderId="0" xfId="38578" applyNumberFormat="1" applyFont="1" applyFill="1" applyAlignment="1"/>
    <xf numFmtId="10" fontId="3" fillId="21" borderId="0" xfId="38578" applyNumberFormat="1" applyFont="1" applyFill="1" applyBorder="1" applyAlignment="1">
      <alignment horizontal="left"/>
    </xf>
    <xf numFmtId="49" fontId="3" fillId="21" borderId="0" xfId="38578" applyNumberFormat="1" applyFont="1" applyFill="1" applyBorder="1" applyAlignment="1"/>
    <xf numFmtId="49" fontId="3" fillId="21" borderId="0" xfId="38578" applyNumberFormat="1" applyFont="1" applyFill="1" applyBorder="1" applyAlignment="1">
      <alignment horizontal="right"/>
    </xf>
    <xf numFmtId="49" fontId="3" fillId="21" borderId="0" xfId="38578" applyNumberFormat="1" applyFont="1" applyFill="1" applyBorder="1" applyAlignment="1">
      <alignment horizontal="center"/>
    </xf>
    <xf numFmtId="3" fontId="3" fillId="23" borderId="6" xfId="38578" applyNumberFormat="1" applyFont="1" applyFill="1" applyBorder="1" applyAlignment="1">
      <alignment horizontal="right"/>
    </xf>
    <xf numFmtId="3" fontId="3" fillId="23" borderId="0" xfId="38578" applyNumberFormat="1" applyFont="1" applyFill="1" applyBorder="1" applyAlignment="1">
      <alignment horizontal="right"/>
    </xf>
    <xf numFmtId="3" fontId="3" fillId="21" borderId="16" xfId="38578" applyNumberFormat="1" applyFont="1" applyFill="1" applyBorder="1" applyAlignment="1"/>
    <xf numFmtId="0" fontId="3" fillId="21" borderId="17" xfId="38578" applyNumberFormat="1" applyFont="1" applyFill="1" applyBorder="1" applyAlignment="1">
      <alignment horizontal="right"/>
    </xf>
    <xf numFmtId="0" fontId="3" fillId="21" borderId="17" xfId="38578" applyNumberFormat="1" applyFont="1" applyFill="1" applyBorder="1"/>
    <xf numFmtId="0" fontId="3" fillId="21" borderId="17" xfId="38578" applyNumberFormat="1" applyFont="1" applyFill="1" applyBorder="1" applyAlignment="1">
      <alignment horizontal="center"/>
    </xf>
    <xf numFmtId="0" fontId="3" fillId="21" borderId="17" xfId="38578" applyFont="1" applyFill="1" applyBorder="1" applyAlignment="1"/>
    <xf numFmtId="0" fontId="4" fillId="21" borderId="17" xfId="38578" applyFont="1" applyFill="1" applyBorder="1" applyAlignment="1"/>
    <xf numFmtId="0" fontId="3" fillId="21" borderId="18" xfId="38578" applyNumberFormat="1" applyFont="1" applyFill="1" applyBorder="1" applyAlignment="1">
      <alignment horizontal="center"/>
    </xf>
    <xf numFmtId="0" fontId="3" fillId="21" borderId="22" xfId="38578" applyNumberFormat="1" applyFont="1" applyFill="1" applyBorder="1"/>
    <xf numFmtId="3" fontId="3" fillId="21" borderId="23" xfId="38578" applyNumberFormat="1" applyFont="1" applyFill="1" applyBorder="1" applyAlignment="1">
      <alignment horizontal="right"/>
    </xf>
    <xf numFmtId="3" fontId="3" fillId="21" borderId="24" xfId="38578" applyNumberFormat="1" applyFont="1" applyFill="1" applyBorder="1" applyAlignment="1">
      <alignment horizontal="right"/>
    </xf>
    <xf numFmtId="3" fontId="3" fillId="21" borderId="24" xfId="38578" applyNumberFormat="1" applyFont="1" applyFill="1" applyBorder="1" applyAlignment="1">
      <alignment horizontal="center"/>
    </xf>
    <xf numFmtId="3" fontId="3" fillId="21" borderId="25" xfId="38578" applyNumberFormat="1" applyFont="1" applyFill="1" applyBorder="1" applyAlignment="1"/>
    <xf numFmtId="3" fontId="3" fillId="21" borderId="24" xfId="38578" applyNumberFormat="1" applyFont="1" applyFill="1" applyBorder="1" applyAlignment="1"/>
    <xf numFmtId="0" fontId="3" fillId="21" borderId="26" xfId="38578" applyNumberFormat="1" applyFont="1" applyFill="1" applyBorder="1"/>
    <xf numFmtId="3" fontId="3" fillId="21" borderId="27" xfId="38578" applyNumberFormat="1" applyFont="1" applyFill="1" applyBorder="1" applyAlignment="1">
      <alignment horizontal="right"/>
    </xf>
    <xf numFmtId="173" fontId="3" fillId="21" borderId="28" xfId="38578" applyNumberFormat="1" applyFont="1" applyFill="1" applyBorder="1" applyAlignment="1">
      <alignment horizontal="right"/>
    </xf>
    <xf numFmtId="3" fontId="3" fillId="21" borderId="28" xfId="38578" applyNumberFormat="1" applyFont="1" applyFill="1" applyBorder="1" applyAlignment="1">
      <alignment horizontal="center"/>
    </xf>
    <xf numFmtId="3" fontId="3" fillId="21" borderId="29" xfId="38578" applyNumberFormat="1" applyFont="1" applyFill="1" applyBorder="1" applyAlignment="1"/>
    <xf numFmtId="0" fontId="3" fillId="21" borderId="28" xfId="38578" applyFont="1" applyFill="1" applyBorder="1" applyAlignment="1"/>
    <xf numFmtId="3" fontId="3" fillId="21" borderId="29" xfId="38578" applyNumberFormat="1" applyFont="1" applyFill="1" applyBorder="1" applyAlignment="1">
      <alignment horizontal="right"/>
    </xf>
    <xf numFmtId="10" fontId="3" fillId="21" borderId="28" xfId="38578" applyNumberFormat="1" applyFont="1" applyFill="1" applyBorder="1" applyAlignment="1">
      <alignment horizontal="left"/>
    </xf>
    <xf numFmtId="175" fontId="3" fillId="21" borderId="0" xfId="38578" applyNumberFormat="1" applyFont="1" applyFill="1" applyBorder="1" applyAlignment="1">
      <alignment horizontal="left"/>
    </xf>
    <xf numFmtId="3" fontId="3" fillId="21" borderId="28" xfId="38578" applyNumberFormat="1" applyFont="1" applyFill="1" applyBorder="1" applyAlignment="1">
      <alignment horizontal="right"/>
    </xf>
    <xf numFmtId="0" fontId="3" fillId="21" borderId="28" xfId="38578" applyFont="1" applyFill="1" applyBorder="1" applyAlignment="1">
      <alignment horizontal="center"/>
    </xf>
    <xf numFmtId="3" fontId="3" fillId="21" borderId="28" xfId="38578" applyNumberFormat="1" applyFont="1" applyFill="1" applyBorder="1" applyAlignment="1"/>
    <xf numFmtId="0" fontId="3" fillId="21" borderId="28" xfId="38578" applyFont="1" applyFill="1" applyBorder="1" applyAlignment="1">
      <alignment horizontal="right"/>
    </xf>
    <xf numFmtId="3" fontId="3" fillId="22" borderId="28" xfId="38578" applyNumberFormat="1" applyFont="1" applyFill="1" applyBorder="1" applyAlignment="1"/>
    <xf numFmtId="174" fontId="3" fillId="21" borderId="28" xfId="38578" applyNumberFormat="1" applyFont="1" applyFill="1" applyBorder="1" applyAlignment="1">
      <alignment horizontal="right"/>
    </xf>
    <xf numFmtId="175" fontId="3" fillId="21" borderId="13" xfId="38578" applyNumberFormat="1" applyFont="1" applyFill="1" applyBorder="1" applyAlignment="1">
      <alignment horizontal="center"/>
    </xf>
    <xf numFmtId="10" fontId="3" fillId="21" borderId="0" xfId="38578" applyNumberFormat="1" applyFont="1" applyFill="1" applyBorder="1" applyAlignment="1">
      <alignment horizontal="left" wrapText="1"/>
    </xf>
    <xf numFmtId="0" fontId="52" fillId="21" borderId="28" xfId="19383" applyFont="1" applyFill="1" applyBorder="1" applyAlignment="1">
      <alignment horizontal="right" vertical="center" indent="1"/>
    </xf>
    <xf numFmtId="10" fontId="3" fillId="21" borderId="28" xfId="38578" applyNumberFormat="1" applyFont="1" applyFill="1" applyBorder="1" applyAlignment="1">
      <alignment horizontal="right"/>
    </xf>
    <xf numFmtId="3" fontId="3" fillId="21" borderId="28" xfId="38578" applyNumberFormat="1" applyFont="1" applyFill="1" applyBorder="1" applyAlignment="1">
      <alignment wrapText="1"/>
    </xf>
    <xf numFmtId="3" fontId="3" fillId="21" borderId="8" xfId="38578" applyNumberFormat="1" applyFont="1" applyFill="1" applyBorder="1" applyAlignment="1"/>
    <xf numFmtId="0" fontId="3" fillId="21" borderId="26" xfId="38578" applyFont="1" applyFill="1" applyBorder="1" applyAlignment="1"/>
    <xf numFmtId="0" fontId="46" fillId="0" borderId="0" xfId="38578" applyNumberFormat="1" applyFont="1" applyFill="1" applyAlignment="1">
      <alignment wrapText="1"/>
    </xf>
    <xf numFmtId="0" fontId="3" fillId="0" borderId="0" xfId="38578" applyFont="1" applyFill="1" applyAlignment="1">
      <alignment wrapText="1"/>
    </xf>
    <xf numFmtId="3" fontId="3" fillId="21" borderId="26" xfId="38578" applyNumberFormat="1" applyFont="1" applyFill="1" applyBorder="1" applyAlignment="1"/>
    <xf numFmtId="176" fontId="3" fillId="21" borderId="28" xfId="38578" applyNumberFormat="1" applyFont="1" applyFill="1" applyBorder="1" applyAlignment="1">
      <alignment horizontal="right"/>
    </xf>
    <xf numFmtId="3" fontId="3" fillId="23" borderId="28" xfId="38578" applyNumberFormat="1" applyFont="1" applyFill="1" applyBorder="1" applyAlignment="1"/>
    <xf numFmtId="3" fontId="3" fillId="23" borderId="30" xfId="38578" applyNumberFormat="1" applyFont="1" applyFill="1" applyBorder="1" applyAlignment="1"/>
    <xf numFmtId="0" fontId="3" fillId="0" borderId="0" xfId="38578" applyFont="1" applyFill="1" applyBorder="1" applyAlignment="1"/>
    <xf numFmtId="3" fontId="3" fillId="21" borderId="16" xfId="38578" applyNumberFormat="1" applyFont="1" applyFill="1" applyBorder="1"/>
    <xf numFmtId="3" fontId="3" fillId="21" borderId="31" xfId="38578" applyNumberFormat="1" applyFont="1" applyFill="1" applyBorder="1" applyAlignment="1">
      <alignment horizontal="right"/>
    </xf>
    <xf numFmtId="3" fontId="3" fillId="21" borderId="17" xfId="38578" applyNumberFormat="1" applyFont="1" applyFill="1" applyBorder="1" applyAlignment="1"/>
    <xf numFmtId="3" fontId="3" fillId="21" borderId="31" xfId="38578" applyNumberFormat="1" applyFont="1" applyFill="1" applyBorder="1" applyAlignment="1">
      <alignment horizontal="center"/>
    </xf>
    <xf numFmtId="3" fontId="3" fillId="21" borderId="31" xfId="38578" applyNumberFormat="1" applyFont="1" applyFill="1" applyBorder="1" applyAlignment="1"/>
    <xf numFmtId="3" fontId="3" fillId="21" borderId="11" xfId="38578" applyNumberFormat="1" applyFont="1" applyFill="1" applyBorder="1" applyAlignment="1"/>
    <xf numFmtId="3" fontId="3" fillId="21" borderId="32" xfId="38578" applyNumberFormat="1" applyFont="1" applyFill="1" applyBorder="1" applyAlignment="1"/>
    <xf numFmtId="175" fontId="3" fillId="21" borderId="24" xfId="38578" applyNumberFormat="1" applyFont="1" applyFill="1" applyBorder="1" applyAlignment="1">
      <alignment horizontal="right"/>
    </xf>
    <xf numFmtId="3" fontId="3" fillId="21" borderId="33" xfId="38578" applyNumberFormat="1" applyFont="1" applyFill="1" applyBorder="1" applyAlignment="1">
      <alignment horizontal="center"/>
    </xf>
    <xf numFmtId="3" fontId="3" fillId="21" borderId="33" xfId="38578" applyNumberFormat="1" applyFont="1" applyFill="1" applyBorder="1" applyAlignment="1"/>
    <xf numFmtId="0" fontId="3" fillId="21" borderId="34" xfId="38578" applyNumberFormat="1" applyFont="1" applyFill="1" applyBorder="1"/>
    <xf numFmtId="3" fontId="3" fillId="21" borderId="35" xfId="38578" applyNumberFormat="1" applyFont="1" applyFill="1" applyBorder="1" applyAlignment="1">
      <alignment horizontal="right"/>
    </xf>
    <xf numFmtId="0" fontId="3" fillId="21" borderId="5" xfId="38578" applyNumberFormat="1" applyFont="1" applyFill="1" applyBorder="1"/>
    <xf numFmtId="0" fontId="3" fillId="21" borderId="28" xfId="38578" applyNumberFormat="1" applyFont="1" applyFill="1" applyBorder="1" applyAlignment="1">
      <alignment horizontal="right"/>
    </xf>
    <xf numFmtId="0" fontId="3" fillId="21" borderId="8" xfId="38578" applyNumberFormat="1" applyFont="1" applyFill="1" applyBorder="1" applyAlignment="1">
      <alignment horizontal="center"/>
    </xf>
    <xf numFmtId="3" fontId="3" fillId="21" borderId="7" xfId="38578" applyNumberFormat="1" applyFont="1" applyFill="1" applyBorder="1" applyAlignment="1"/>
    <xf numFmtId="3" fontId="3" fillId="21" borderId="5" xfId="38578" applyNumberFormat="1" applyFont="1" applyFill="1" applyBorder="1" applyAlignment="1"/>
    <xf numFmtId="3" fontId="3" fillId="21" borderId="8" xfId="38578" applyNumberFormat="1" applyFont="1" applyFill="1" applyBorder="1" applyAlignment="1">
      <alignment horizontal="center"/>
    </xf>
    <xf numFmtId="3" fontId="3" fillId="22" borderId="8" xfId="38578" applyNumberFormat="1" applyFont="1" applyFill="1" applyBorder="1" applyAlignment="1"/>
    <xf numFmtId="0" fontId="3" fillId="21" borderId="8" xfId="38578" applyFont="1" applyFill="1" applyBorder="1" applyAlignment="1"/>
    <xf numFmtId="0" fontId="3" fillId="21" borderId="13" xfId="38578" applyNumberFormat="1" applyFont="1" applyFill="1" applyBorder="1" applyAlignment="1">
      <alignment horizontal="right"/>
    </xf>
    <xf numFmtId="3" fontId="3" fillId="21" borderId="0" xfId="38578" applyNumberFormat="1" applyFont="1" applyFill="1" applyBorder="1" applyAlignment="1">
      <alignment horizontal="right" wrapText="1"/>
    </xf>
    <xf numFmtId="3" fontId="3" fillId="21" borderId="5" xfId="38578" applyNumberFormat="1" applyFont="1" applyFill="1" applyBorder="1" applyAlignment="1">
      <alignment wrapText="1"/>
    </xf>
    <xf numFmtId="176" fontId="3" fillId="21" borderId="28" xfId="38578" applyNumberFormat="1" applyFont="1" applyFill="1" applyBorder="1" applyAlignment="1">
      <alignment horizontal="right" wrapText="1"/>
    </xf>
    <xf numFmtId="3" fontId="3" fillId="21" borderId="8" xfId="38578" applyNumberFormat="1" applyFont="1" applyFill="1" applyBorder="1" applyAlignment="1">
      <alignment horizontal="center" wrapText="1"/>
    </xf>
    <xf numFmtId="3" fontId="3" fillId="23" borderId="8" xfId="38578" applyNumberFormat="1" applyFont="1" applyFill="1" applyBorder="1" applyAlignment="1">
      <alignment wrapText="1"/>
    </xf>
    <xf numFmtId="0" fontId="3" fillId="21" borderId="8" xfId="38578" applyFont="1" applyFill="1" applyBorder="1" applyAlignment="1">
      <alignment wrapText="1"/>
    </xf>
    <xf numFmtId="175" fontId="3" fillId="21" borderId="28" xfId="38578" applyNumberFormat="1" applyFont="1" applyFill="1" applyBorder="1" applyAlignment="1">
      <alignment horizontal="right"/>
    </xf>
    <xf numFmtId="3" fontId="3" fillId="21" borderId="5" xfId="38578" applyNumberFormat="1" applyFont="1" applyFill="1" applyBorder="1" applyAlignment="1">
      <alignment horizontal="center"/>
    </xf>
    <xf numFmtId="3" fontId="3" fillId="23" borderId="8" xfId="38578" applyNumberFormat="1" applyFont="1" applyFill="1" applyBorder="1" applyAlignment="1"/>
    <xf numFmtId="175" fontId="3" fillId="21" borderId="13" xfId="38578" applyNumberFormat="1" applyFont="1" applyFill="1" applyBorder="1" applyAlignment="1">
      <alignment horizontal="center" wrapText="1"/>
    </xf>
    <xf numFmtId="175" fontId="3" fillId="21" borderId="26" xfId="38578" applyNumberFormat="1" applyFont="1" applyFill="1" applyBorder="1" applyAlignment="1">
      <alignment horizontal="center"/>
    </xf>
    <xf numFmtId="0" fontId="3" fillId="21" borderId="0" xfId="38578" applyNumberFormat="1" applyFont="1" applyFill="1" applyBorder="1" applyAlignment="1">
      <alignment wrapText="1"/>
    </xf>
    <xf numFmtId="3" fontId="3" fillId="21" borderId="13" xfId="38578" applyNumberFormat="1" applyFont="1" applyFill="1" applyBorder="1" applyAlignment="1">
      <alignment wrapText="1"/>
    </xf>
    <xf numFmtId="164" fontId="3" fillId="21" borderId="8" xfId="1" applyNumberFormat="1" applyFont="1" applyFill="1" applyBorder="1" applyAlignment="1"/>
    <xf numFmtId="175" fontId="3" fillId="21" borderId="16" xfId="38578" applyNumberFormat="1" applyFont="1" applyFill="1" applyBorder="1" applyAlignment="1">
      <alignment horizontal="center"/>
    </xf>
    <xf numFmtId="0" fontId="3" fillId="21" borderId="17" xfId="38578" applyFont="1" applyFill="1" applyBorder="1" applyAlignment="1">
      <alignment horizontal="center"/>
    </xf>
    <xf numFmtId="3" fontId="4" fillId="21" borderId="10" xfId="38578" applyNumberFormat="1" applyFont="1" applyFill="1" applyBorder="1" applyAlignment="1"/>
    <xf numFmtId="0" fontId="3" fillId="21" borderId="31" xfId="38578" applyFont="1" applyFill="1" applyBorder="1" applyAlignment="1">
      <alignment horizontal="right"/>
    </xf>
    <xf numFmtId="0" fontId="3" fillId="21" borderId="36" xfId="38578" applyFont="1" applyFill="1" applyBorder="1" applyAlignment="1">
      <alignment horizontal="center"/>
    </xf>
    <xf numFmtId="0" fontId="3" fillId="21" borderId="36" xfId="38578" applyFont="1" applyFill="1" applyBorder="1" applyAlignment="1"/>
    <xf numFmtId="42" fontId="3" fillId="21" borderId="24" xfId="38578" applyNumberFormat="1" applyFont="1" applyFill="1" applyBorder="1" applyAlignment="1">
      <alignment horizontal="right"/>
    </xf>
    <xf numFmtId="3" fontId="3" fillId="21" borderId="6" xfId="38578" applyNumberFormat="1" applyFont="1" applyFill="1" applyBorder="1" applyAlignment="1">
      <alignment horizontal="fill"/>
    </xf>
    <xf numFmtId="0" fontId="3" fillId="21" borderId="8" xfId="38578" applyNumberFormat="1" applyFont="1" applyFill="1" applyBorder="1"/>
    <xf numFmtId="37" fontId="3" fillId="21" borderId="28" xfId="38578" applyNumberFormat="1" applyFont="1" applyFill="1" applyBorder="1" applyAlignment="1">
      <alignment horizontal="right"/>
    </xf>
    <xf numFmtId="3" fontId="3" fillId="21" borderId="28" xfId="38578" applyNumberFormat="1" applyFont="1" applyFill="1" applyBorder="1"/>
    <xf numFmtId="0" fontId="3" fillId="21" borderId="5" xfId="38578" applyFont="1" applyFill="1" applyBorder="1" applyAlignment="1">
      <alignment horizontal="center"/>
    </xf>
    <xf numFmtId="0" fontId="3" fillId="21" borderId="8" xfId="38578" applyFont="1" applyFill="1" applyBorder="1"/>
    <xf numFmtId="0" fontId="3" fillId="21" borderId="37" xfId="38578" applyNumberFormat="1" applyFont="1" applyFill="1" applyBorder="1"/>
    <xf numFmtId="42" fontId="3" fillId="21" borderId="38" xfId="38578" applyNumberFormat="1" applyFont="1" applyFill="1" applyBorder="1"/>
    <xf numFmtId="0" fontId="3" fillId="21" borderId="36" xfId="38578" applyNumberFormat="1" applyFont="1" applyFill="1" applyBorder="1" applyAlignment="1">
      <alignment horizontal="center"/>
    </xf>
    <xf numFmtId="3" fontId="3" fillId="21" borderId="17" xfId="38578" applyNumberFormat="1" applyFont="1" applyFill="1" applyBorder="1"/>
    <xf numFmtId="0" fontId="3" fillId="21" borderId="36" xfId="38578" applyNumberFormat="1" applyFont="1" applyFill="1" applyBorder="1"/>
    <xf numFmtId="0" fontId="3" fillId="21" borderId="17" xfId="38578" applyFont="1" applyFill="1" applyBorder="1"/>
    <xf numFmtId="0" fontId="3" fillId="21" borderId="0" xfId="38578" applyNumberFormat="1" applyFont="1" applyFill="1"/>
    <xf numFmtId="49" fontId="3" fillId="21" borderId="0" xfId="38578" applyNumberFormat="1" applyFont="1" applyFill="1" applyAlignment="1">
      <alignment horizontal="center"/>
    </xf>
    <xf numFmtId="49" fontId="3" fillId="21" borderId="0" xfId="38578" applyNumberFormat="1" applyFont="1" applyFill="1" applyAlignment="1">
      <alignment horizontal="right"/>
    </xf>
    <xf numFmtId="0" fontId="3" fillId="21" borderId="0" xfId="38578" applyNumberFormat="1" applyFont="1" applyFill="1" applyAlignment="1">
      <alignment horizontal="center"/>
    </xf>
    <xf numFmtId="0" fontId="3" fillId="21" borderId="0" xfId="38578" applyFont="1" applyFill="1" applyAlignment="1">
      <alignment horizontal="center"/>
    </xf>
    <xf numFmtId="0" fontId="4" fillId="21" borderId="0" xfId="38578" applyFont="1" applyFill="1" applyAlignment="1">
      <alignment horizontal="center"/>
    </xf>
    <xf numFmtId="0" fontId="3" fillId="21" borderId="0" xfId="38578" applyNumberFormat="1" applyFont="1" applyFill="1" applyAlignment="1">
      <alignment horizontal="right"/>
    </xf>
    <xf numFmtId="0" fontId="3" fillId="21" borderId="0" xfId="38578" applyNumberFormat="1" applyFont="1" applyFill="1" applyAlignment="1">
      <alignment horizontal="left"/>
    </xf>
    <xf numFmtId="0" fontId="3" fillId="21" borderId="0" xfId="38578" applyNumberFormat="1" applyFont="1" applyFill="1" applyAlignment="1"/>
    <xf numFmtId="0" fontId="3" fillId="21" borderId="0" xfId="38578" applyFont="1" applyFill="1" applyAlignment="1">
      <alignment horizontal="right"/>
    </xf>
    <xf numFmtId="0" fontId="3" fillId="21" borderId="0" xfId="38578" applyFont="1" applyFill="1" applyAlignment="1"/>
    <xf numFmtId="0" fontId="3" fillId="21" borderId="0" xfId="38578" applyFont="1" applyFill="1" applyBorder="1" applyAlignment="1">
      <alignment horizontal="left"/>
    </xf>
    <xf numFmtId="0" fontId="46" fillId="0" borderId="0" xfId="0" applyFont="1" applyBorder="1"/>
    <xf numFmtId="0" fontId="46" fillId="0" borderId="0" xfId="0" applyFont="1" applyBorder="1" applyAlignment="1">
      <alignment horizontal="center"/>
    </xf>
    <xf numFmtId="3" fontId="3" fillId="0" borderId="0" xfId="0" applyNumberFormat="1" applyFont="1" applyFill="1" applyBorder="1"/>
    <xf numFmtId="0" fontId="53" fillId="0" borderId="0" xfId="0" applyFont="1" applyBorder="1"/>
    <xf numFmtId="164" fontId="0" fillId="0" borderId="0" xfId="1" applyNumberFormat="1" applyFont="1"/>
    <xf numFmtId="0" fontId="46" fillId="0" borderId="0" xfId="0" applyFont="1"/>
    <xf numFmtId="0" fontId="3" fillId="21" borderId="18" xfId="38578" applyFont="1" applyFill="1" applyBorder="1" applyAlignment="1">
      <alignment horizontal="left"/>
    </xf>
    <xf numFmtId="0" fontId="46" fillId="21" borderId="17" xfId="0" applyFont="1" applyFill="1" applyBorder="1"/>
    <xf numFmtId="0" fontId="46" fillId="21" borderId="0" xfId="0" applyFont="1" applyFill="1" applyBorder="1"/>
    <xf numFmtId="0" fontId="46" fillId="21" borderId="14" xfId="0" applyFont="1" applyFill="1" applyBorder="1"/>
    <xf numFmtId="0" fontId="55" fillId="21" borderId="0" xfId="0" applyFont="1" applyFill="1" applyBorder="1" applyAlignment="1">
      <alignment horizontal="centerContinuous" wrapText="1"/>
    </xf>
    <xf numFmtId="0" fontId="55" fillId="21" borderId="0" xfId="0" applyFont="1" applyFill="1" applyBorder="1" applyAlignment="1">
      <alignment horizontal="center" wrapText="1"/>
    </xf>
    <xf numFmtId="0" fontId="55" fillId="21" borderId="13" xfId="0" applyFont="1" applyFill="1" applyBorder="1" applyAlignment="1">
      <alignment horizontal="centerContinuous" wrapText="1"/>
    </xf>
    <xf numFmtId="0" fontId="54" fillId="21" borderId="12" xfId="0" applyFont="1" applyFill="1" applyBorder="1" applyAlignment="1">
      <alignment horizontal="center"/>
    </xf>
    <xf numFmtId="37" fontId="3" fillId="21" borderId="6" xfId="42321" applyNumberFormat="1" applyFont="1" applyFill="1" applyBorder="1" applyAlignment="1">
      <alignment horizontal="center"/>
    </xf>
    <xf numFmtId="37" fontId="3" fillId="21" borderId="11" xfId="42321" applyNumberFormat="1" applyFont="1" applyFill="1" applyBorder="1" applyAlignment="1">
      <alignment horizontal="center"/>
    </xf>
    <xf numFmtId="0" fontId="3" fillId="21" borderId="14" xfId="38787" applyFont="1" applyFill="1" applyBorder="1" applyAlignment="1">
      <alignment horizontal="center"/>
    </xf>
    <xf numFmtId="0" fontId="3" fillId="21" borderId="0" xfId="39548" applyFont="1" applyFill="1" applyBorder="1"/>
    <xf numFmtId="175" fontId="3" fillId="21" borderId="0" xfId="42188" applyNumberFormat="1" applyFont="1" applyFill="1" applyBorder="1"/>
    <xf numFmtId="0" fontId="3" fillId="21" borderId="0" xfId="38791" applyFont="1" applyFill="1" applyBorder="1"/>
    <xf numFmtId="167" fontId="3" fillId="21" borderId="42" xfId="18360" applyNumberFormat="1" applyFont="1" applyFill="1" applyBorder="1"/>
    <xf numFmtId="0" fontId="46" fillId="21" borderId="13" xfId="0" quotePrefix="1" applyFont="1" applyFill="1" applyBorder="1"/>
    <xf numFmtId="167" fontId="3" fillId="21" borderId="0" xfId="18360" applyNumberFormat="1" applyFont="1" applyFill="1" applyBorder="1"/>
    <xf numFmtId="0" fontId="3" fillId="21" borderId="0" xfId="39550" applyFont="1" applyFill="1" applyBorder="1"/>
    <xf numFmtId="44" fontId="3" fillId="21" borderId="0" xfId="18360" applyFont="1" applyFill="1" applyBorder="1"/>
    <xf numFmtId="0" fontId="3" fillId="21" borderId="0" xfId="39552" applyFont="1" applyFill="1" applyBorder="1"/>
    <xf numFmtId="0" fontId="46" fillId="21" borderId="43" xfId="0" quotePrefix="1" applyFont="1" applyFill="1" applyBorder="1"/>
    <xf numFmtId="3" fontId="3" fillId="21" borderId="0" xfId="18360" applyNumberFormat="1" applyFont="1" applyFill="1" applyBorder="1"/>
    <xf numFmtId="49" fontId="3" fillId="21" borderId="14" xfId="39562" applyNumberFormat="1" applyFont="1" applyFill="1" applyBorder="1" applyAlignment="1">
      <alignment horizontal="center"/>
    </xf>
    <xf numFmtId="0" fontId="3" fillId="21" borderId="0" xfId="39562" applyFont="1" applyFill="1" applyBorder="1"/>
    <xf numFmtId="49" fontId="3" fillId="21" borderId="12" xfId="39562" applyNumberFormat="1" applyFont="1" applyFill="1" applyBorder="1" applyAlignment="1">
      <alignment horizontal="center"/>
    </xf>
    <xf numFmtId="0" fontId="46" fillId="21" borderId="6" xfId="0" applyFont="1" applyFill="1" applyBorder="1"/>
    <xf numFmtId="0" fontId="46" fillId="21" borderId="16" xfId="0" applyFont="1" applyFill="1" applyBorder="1"/>
    <xf numFmtId="0" fontId="46" fillId="21" borderId="13" xfId="0" applyFont="1" applyFill="1" applyBorder="1"/>
    <xf numFmtId="0" fontId="46" fillId="21" borderId="43" xfId="0" applyFont="1" applyFill="1" applyBorder="1"/>
    <xf numFmtId="0" fontId="46" fillId="21" borderId="11" xfId="0" applyFont="1" applyFill="1" applyBorder="1"/>
    <xf numFmtId="0" fontId="3" fillId="21" borderId="35" xfId="39554" applyFont="1" applyFill="1" applyBorder="1"/>
    <xf numFmtId="167" fontId="3" fillId="21" borderId="44" xfId="18360" applyNumberFormat="1" applyFont="1" applyFill="1" applyBorder="1"/>
    <xf numFmtId="0" fontId="46" fillId="21" borderId="16" xfId="0" quotePrefix="1" applyFont="1" applyFill="1" applyBorder="1"/>
    <xf numFmtId="175" fontId="3" fillId="21" borderId="10" xfId="42188" applyNumberFormat="1" applyFont="1" applyFill="1" applyBorder="1"/>
    <xf numFmtId="167" fontId="3" fillId="21" borderId="45" xfId="18360" applyNumberFormat="1" applyFont="1" applyFill="1" applyBorder="1"/>
    <xf numFmtId="0" fontId="3" fillId="21" borderId="14" xfId="38790" applyFont="1" applyFill="1" applyBorder="1" applyAlignment="1">
      <alignment horizontal="center"/>
    </xf>
    <xf numFmtId="0" fontId="3" fillId="21" borderId="0" xfId="38791" applyFont="1" applyFill="1" applyBorder="1" applyAlignment="1">
      <alignment vertical="center"/>
    </xf>
    <xf numFmtId="38" fontId="3" fillId="21" borderId="0" xfId="38792" applyNumberFormat="1" applyFont="1" applyFill="1" applyBorder="1"/>
    <xf numFmtId="5" fontId="3" fillId="21" borderId="0" xfId="38792" applyNumberFormat="1" applyFont="1" applyFill="1" applyBorder="1"/>
    <xf numFmtId="5" fontId="3" fillId="21" borderId="9" xfId="38792" applyNumberFormat="1" applyFont="1" applyFill="1" applyBorder="1"/>
    <xf numFmtId="49" fontId="3" fillId="21" borderId="14" xfId="38790" applyNumberFormat="1" applyFont="1" applyFill="1" applyBorder="1" applyAlignment="1">
      <alignment horizontal="center"/>
    </xf>
    <xf numFmtId="0" fontId="3" fillId="21" borderId="0" xfId="38791" applyFont="1" applyFill="1" applyBorder="1" applyAlignment="1">
      <alignment horizontal="left"/>
    </xf>
    <xf numFmtId="0" fontId="54" fillId="21" borderId="17" xfId="0" applyFont="1" applyFill="1" applyBorder="1" applyAlignment="1">
      <alignment horizontal="centerContinuous" wrapText="1"/>
    </xf>
    <xf numFmtId="0" fontId="54" fillId="21" borderId="16" xfId="0" applyFont="1" applyFill="1" applyBorder="1" applyAlignment="1">
      <alignment horizontal="centerContinuous" wrapText="1"/>
    </xf>
    <xf numFmtId="0" fontId="54" fillId="21" borderId="0" xfId="0" applyFont="1" applyFill="1" applyBorder="1" applyAlignment="1">
      <alignment horizontal="centerContinuous" wrapText="1"/>
    </xf>
    <xf numFmtId="0" fontId="54" fillId="21" borderId="13" xfId="0" applyFont="1" applyFill="1" applyBorder="1" applyAlignment="1">
      <alignment horizontal="centerContinuous" wrapText="1"/>
    </xf>
    <xf numFmtId="0" fontId="54" fillId="21" borderId="14" xfId="0" applyFont="1" applyFill="1" applyBorder="1" applyAlignment="1">
      <alignment horizontal="center"/>
    </xf>
    <xf numFmtId="0" fontId="55" fillId="21" borderId="9" xfId="0" applyFont="1" applyFill="1" applyBorder="1"/>
    <xf numFmtId="0" fontId="54" fillId="21" borderId="28" xfId="0" applyFont="1" applyFill="1" applyBorder="1"/>
    <xf numFmtId="0" fontId="54" fillId="21" borderId="8" xfId="0" applyFont="1" applyFill="1" applyBorder="1"/>
    <xf numFmtId="0" fontId="54" fillId="21" borderId="36" xfId="0" applyFont="1" applyFill="1" applyBorder="1"/>
    <xf numFmtId="0" fontId="54" fillId="21" borderId="13" xfId="0" applyFont="1" applyFill="1" applyBorder="1"/>
    <xf numFmtId="0" fontId="54" fillId="21" borderId="0" xfId="0" applyFont="1" applyFill="1" applyBorder="1"/>
    <xf numFmtId="5" fontId="54" fillId="21" borderId="28" xfId="0" applyNumberFormat="1" applyFont="1" applyFill="1" applyBorder="1"/>
    <xf numFmtId="5" fontId="54" fillId="21" borderId="8" xfId="0" applyNumberFormat="1" applyFont="1" applyFill="1" applyBorder="1"/>
    <xf numFmtId="175" fontId="54" fillId="21" borderId="41" xfId="0" applyNumberFormat="1" applyFont="1" applyFill="1" applyBorder="1"/>
    <xf numFmtId="175" fontId="54" fillId="21" borderId="40" xfId="0" applyNumberFormat="1" applyFont="1" applyFill="1" applyBorder="1"/>
    <xf numFmtId="175" fontId="54" fillId="21" borderId="28" xfId="0" applyNumberFormat="1" applyFont="1" applyFill="1" applyBorder="1"/>
    <xf numFmtId="175" fontId="54" fillId="21" borderId="8" xfId="0" applyNumberFormat="1" applyFont="1" applyFill="1" applyBorder="1"/>
    <xf numFmtId="3" fontId="54" fillId="21" borderId="13" xfId="0" applyNumberFormat="1" applyFont="1" applyFill="1" applyBorder="1" applyAlignment="1">
      <alignment horizontal="right"/>
    </xf>
    <xf numFmtId="3" fontId="54" fillId="21" borderId="13" xfId="0" applyNumberFormat="1" applyFont="1" applyFill="1" applyBorder="1" applyAlignment="1">
      <alignment horizontal="left"/>
    </xf>
    <xf numFmtId="5" fontId="54" fillId="21" borderId="28" xfId="0" applyNumberFormat="1" applyFont="1" applyFill="1" applyBorder="1" applyAlignment="1">
      <alignment horizontal="right"/>
    </xf>
    <xf numFmtId="5" fontId="54" fillId="21" borderId="8" xfId="0" applyNumberFormat="1" applyFont="1" applyFill="1" applyBorder="1" applyAlignment="1">
      <alignment horizontal="right"/>
    </xf>
    <xf numFmtId="0" fontId="54" fillId="21" borderId="6" xfId="0" applyFont="1" applyFill="1" applyBorder="1"/>
    <xf numFmtId="5" fontId="54" fillId="21" borderId="24" xfId="0" applyNumberFormat="1" applyFont="1" applyFill="1" applyBorder="1"/>
    <xf numFmtId="5" fontId="54" fillId="21" borderId="33" xfId="0" applyNumberFormat="1" applyFont="1" applyFill="1" applyBorder="1"/>
    <xf numFmtId="0" fontId="54" fillId="21" borderId="11" xfId="0" applyFont="1" applyFill="1" applyBorder="1"/>
    <xf numFmtId="0" fontId="54" fillId="21" borderId="13" xfId="0" applyFont="1" applyFill="1" applyBorder="1" applyAlignment="1">
      <alignment wrapText="1"/>
    </xf>
    <xf numFmtId="49" fontId="3" fillId="21" borderId="12" xfId="38790" applyNumberFormat="1" applyFont="1" applyFill="1" applyBorder="1" applyAlignment="1">
      <alignment horizontal="center"/>
    </xf>
    <xf numFmtId="0" fontId="3" fillId="21" borderId="6" xfId="38791" applyFont="1" applyFill="1" applyBorder="1"/>
    <xf numFmtId="0" fontId="46" fillId="21" borderId="46" xfId="0" applyFont="1" applyFill="1" applyBorder="1"/>
    <xf numFmtId="0" fontId="57" fillId="21" borderId="0" xfId="0" applyFont="1" applyFill="1" applyBorder="1"/>
    <xf numFmtId="5" fontId="57" fillId="21" borderId="0" xfId="0" applyNumberFormat="1" applyFont="1" applyFill="1" applyBorder="1"/>
    <xf numFmtId="0" fontId="4" fillId="21" borderId="0" xfId="0" applyFont="1" applyFill="1" applyBorder="1" applyAlignment="1">
      <alignment horizontal="left"/>
    </xf>
    <xf numFmtId="0" fontId="3" fillId="21" borderId="0" xfId="0" applyFont="1" applyFill="1" applyBorder="1"/>
    <xf numFmtId="164" fontId="3" fillId="21" borderId="0" xfId="1" applyNumberFormat="1" applyFont="1" applyFill="1" applyBorder="1" applyAlignment="1">
      <alignment horizontal="left"/>
    </xf>
    <xf numFmtId="38" fontId="3" fillId="21" borderId="0" xfId="0" applyNumberFormat="1" applyFont="1" applyFill="1" applyBorder="1"/>
    <xf numFmtId="164" fontId="3" fillId="21" borderId="13" xfId="1" applyNumberFormat="1" applyFont="1" applyFill="1" applyBorder="1"/>
    <xf numFmtId="164" fontId="3" fillId="21" borderId="0" xfId="1" applyNumberFormat="1" applyFont="1" applyFill="1" applyBorder="1"/>
    <xf numFmtId="0" fontId="3" fillId="21" borderId="6" xfId="0" applyFont="1" applyFill="1" applyBorder="1"/>
    <xf numFmtId="164" fontId="3" fillId="21" borderId="6" xfId="1" applyNumberFormat="1" applyFont="1" applyFill="1" applyBorder="1"/>
    <xf numFmtId="38" fontId="3" fillId="21" borderId="6" xfId="0" applyNumberFormat="1" applyFont="1" applyFill="1" applyBorder="1"/>
    <xf numFmtId="164" fontId="3" fillId="21" borderId="11" xfId="1" applyNumberFormat="1" applyFont="1" applyFill="1" applyBorder="1"/>
    <xf numFmtId="0" fontId="4" fillId="21" borderId="14" xfId="0" applyFont="1" applyFill="1" applyBorder="1" applyAlignment="1">
      <alignment horizontal="center"/>
    </xf>
    <xf numFmtId="164" fontId="3" fillId="21" borderId="19" xfId="0" applyNumberFormat="1" applyFont="1" applyFill="1" applyBorder="1"/>
    <xf numFmtId="0" fontId="3" fillId="21" borderId="17" xfId="0" applyFont="1" applyFill="1" applyBorder="1"/>
    <xf numFmtId="43" fontId="3" fillId="21" borderId="17" xfId="0" applyNumberFormat="1" applyFont="1" applyFill="1" applyBorder="1"/>
    <xf numFmtId="164" fontId="3" fillId="21" borderId="17" xfId="0" applyNumberFormat="1" applyFont="1" applyFill="1" applyBorder="1"/>
    <xf numFmtId="38" fontId="3" fillId="21" borderId="17" xfId="0" applyNumberFormat="1" applyFont="1" applyFill="1" applyBorder="1"/>
    <xf numFmtId="0" fontId="3" fillId="21" borderId="17" xfId="38578" applyFont="1" applyFill="1" applyBorder="1" applyAlignment="1">
      <alignment horizontal="left"/>
    </xf>
    <xf numFmtId="0" fontId="46" fillId="21" borderId="14" xfId="0" applyFont="1" applyFill="1" applyBorder="1" applyAlignment="1">
      <alignment horizontal="center"/>
    </xf>
    <xf numFmtId="0" fontId="49" fillId="21" borderId="0" xfId="0" applyFont="1" applyFill="1" applyBorder="1" applyAlignment="1">
      <alignment horizontal="center"/>
    </xf>
    <xf numFmtId="37" fontId="4" fillId="21" borderId="0" xfId="19386" applyNumberFormat="1" applyFont="1" applyFill="1" applyBorder="1" applyAlignment="1">
      <alignment horizontal="center"/>
    </xf>
    <xf numFmtId="37" fontId="4" fillId="21" borderId="0" xfId="42321" applyNumberFormat="1" applyFont="1" applyFill="1" applyBorder="1" applyAlignment="1">
      <alignment horizontal="center"/>
    </xf>
    <xf numFmtId="0" fontId="46" fillId="21" borderId="12" xfId="0" applyFont="1" applyFill="1" applyBorder="1" applyAlignment="1">
      <alignment horizontal="center"/>
    </xf>
    <xf numFmtId="37" fontId="3" fillId="21" borderId="6" xfId="19386" applyNumberFormat="1" applyFont="1" applyFill="1" applyBorder="1" applyAlignment="1">
      <alignment horizontal="center"/>
    </xf>
    <xf numFmtId="0" fontId="3" fillId="21" borderId="6" xfId="19386" applyFont="1" applyFill="1" applyBorder="1" applyAlignment="1">
      <alignment horizontal="center"/>
    </xf>
    <xf numFmtId="38" fontId="3" fillId="21" borderId="6" xfId="42321" applyFont="1" applyFill="1" applyBorder="1" applyAlignment="1">
      <alignment horizontal="center"/>
    </xf>
    <xf numFmtId="0" fontId="46" fillId="21" borderId="11" xfId="0" applyFont="1" applyFill="1" applyBorder="1" applyAlignment="1">
      <alignment horizontal="center"/>
    </xf>
    <xf numFmtId="3" fontId="4" fillId="21" borderId="0" xfId="42321" applyNumberFormat="1" applyFont="1" applyFill="1" applyBorder="1" applyAlignment="1">
      <alignment horizontal="left"/>
    </xf>
    <xf numFmtId="38" fontId="3" fillId="21" borderId="0" xfId="42321" applyFont="1" applyFill="1" applyBorder="1" applyAlignment="1">
      <alignment horizontal="centerContinuous"/>
    </xf>
    <xf numFmtId="38" fontId="3" fillId="21" borderId="0" xfId="42321" applyFont="1" applyFill="1" applyBorder="1"/>
    <xf numFmtId="38" fontId="3" fillId="21" borderId="0" xfId="42321" applyFont="1" applyFill="1" applyBorder="1" applyAlignment="1">
      <alignment horizontal="right"/>
    </xf>
    <xf numFmtId="38" fontId="3" fillId="21" borderId="0" xfId="42321" applyFont="1" applyFill="1" applyBorder="1" applyAlignment="1">
      <alignment horizontal="center"/>
    </xf>
    <xf numFmtId="173" fontId="3" fillId="21" borderId="0" xfId="42321" applyNumberFormat="1" applyFont="1" applyFill="1" applyBorder="1"/>
    <xf numFmtId="174" fontId="3" fillId="21" borderId="0" xfId="42321" applyNumberFormat="1" applyFont="1" applyFill="1" applyBorder="1" applyAlignment="1">
      <alignment horizontal="center"/>
    </xf>
    <xf numFmtId="38" fontId="3" fillId="21" borderId="0" xfId="19386" applyNumberFormat="1" applyFont="1" applyFill="1" applyBorder="1" applyAlignment="1">
      <alignment horizontal="center"/>
    </xf>
    <xf numFmtId="38" fontId="3" fillId="21" borderId="9" xfId="42321" applyFont="1" applyFill="1" applyBorder="1"/>
    <xf numFmtId="38" fontId="3" fillId="21" borderId="9" xfId="42321" applyFont="1" applyFill="1" applyBorder="1" applyAlignment="1">
      <alignment horizontal="center"/>
    </xf>
    <xf numFmtId="38" fontId="3" fillId="21" borderId="9" xfId="42321" applyFont="1" applyFill="1" applyBorder="1" applyAlignment="1">
      <alignment horizontal="right"/>
    </xf>
    <xf numFmtId="3" fontId="3" fillId="21" borderId="0" xfId="19386" applyNumberFormat="1" applyFont="1" applyFill="1" applyBorder="1"/>
    <xf numFmtId="179" fontId="3" fillId="21" borderId="0" xfId="42321" applyNumberFormat="1" applyFont="1" applyFill="1" applyBorder="1"/>
    <xf numFmtId="38" fontId="3" fillId="21" borderId="6" xfId="42321" applyFont="1" applyFill="1" applyBorder="1"/>
    <xf numFmtId="38" fontId="3" fillId="21" borderId="9" xfId="0" applyNumberFormat="1" applyFont="1" applyFill="1" applyBorder="1"/>
    <xf numFmtId="38" fontId="3" fillId="21" borderId="9" xfId="0" applyNumberFormat="1" applyFont="1" applyFill="1" applyBorder="1" applyAlignment="1">
      <alignment horizontal="center"/>
    </xf>
    <xf numFmtId="38" fontId="3" fillId="21" borderId="13" xfId="42321" applyFont="1" applyFill="1" applyBorder="1"/>
    <xf numFmtId="3" fontId="3" fillId="21" borderId="0" xfId="0" applyNumberFormat="1" applyFont="1" applyFill="1" applyBorder="1"/>
    <xf numFmtId="3" fontId="3" fillId="21" borderId="6" xfId="0" applyNumberFormat="1" applyFont="1" applyFill="1" applyBorder="1"/>
    <xf numFmtId="38" fontId="3" fillId="21" borderId="11" xfId="42321" applyFont="1" applyFill="1" applyBorder="1"/>
    <xf numFmtId="38" fontId="4" fillId="21" borderId="0" xfId="42321" applyFont="1" applyFill="1" applyBorder="1"/>
    <xf numFmtId="175" fontId="3" fillId="21" borderId="0" xfId="42321" applyNumberFormat="1" applyFont="1" applyFill="1" applyBorder="1"/>
    <xf numFmtId="10" fontId="3" fillId="21" borderId="0" xfId="42321" applyNumberFormat="1" applyFont="1" applyFill="1" applyBorder="1" applyAlignment="1">
      <alignment horizontal="center"/>
    </xf>
    <xf numFmtId="10" fontId="3" fillId="21" borderId="0" xfId="42321" applyNumberFormat="1" applyFont="1" applyFill="1" applyBorder="1"/>
    <xf numFmtId="174" fontId="3" fillId="21" borderId="0" xfId="42321" applyNumberFormat="1" applyFont="1" applyFill="1" applyBorder="1"/>
    <xf numFmtId="38" fontId="3" fillId="21" borderId="13" xfId="42321" applyFont="1" applyFill="1" applyBorder="1" applyAlignment="1">
      <alignment horizontal="center"/>
    </xf>
    <xf numFmtId="10" fontId="3" fillId="21" borderId="0" xfId="42321" applyNumberFormat="1" applyFont="1" applyFill="1" applyBorder="1" applyAlignment="1">
      <alignment horizontal="centerContinuous"/>
    </xf>
    <xf numFmtId="3" fontId="3" fillId="21" borderId="0" xfId="0" applyNumberFormat="1" applyFont="1" applyFill="1" applyBorder="1" applyAlignment="1">
      <alignment horizontal="centerContinuous"/>
    </xf>
    <xf numFmtId="3" fontId="4" fillId="21" borderId="0" xfId="0" applyNumberFormat="1" applyFont="1" applyFill="1" applyBorder="1" applyAlignment="1">
      <alignment horizontal="center"/>
    </xf>
    <xf numFmtId="3" fontId="3" fillId="21" borderId="0" xfId="0" applyNumberFormat="1" applyFont="1" applyFill="1" applyBorder="1" applyAlignment="1">
      <alignment horizontal="center"/>
    </xf>
    <xf numFmtId="178" fontId="3" fillId="21" borderId="0" xfId="0" applyNumberFormat="1" applyFont="1" applyFill="1" applyBorder="1" applyAlignment="1">
      <alignment horizontal="center"/>
    </xf>
    <xf numFmtId="178" fontId="3" fillId="21" borderId="9" xfId="0" applyNumberFormat="1" applyFont="1" applyFill="1" applyBorder="1" applyAlignment="1">
      <alignment horizontal="center"/>
    </xf>
    <xf numFmtId="0" fontId="46" fillId="21" borderId="9" xfId="0" applyFont="1" applyFill="1" applyBorder="1"/>
    <xf numFmtId="38" fontId="4" fillId="21" borderId="0" xfId="0" applyNumberFormat="1" applyFont="1" applyFill="1" applyBorder="1" applyAlignment="1">
      <alignment horizontal="left" vertical="center"/>
    </xf>
    <xf numFmtId="38" fontId="3" fillId="21" borderId="0" xfId="0" applyNumberFormat="1" applyFont="1" applyFill="1" applyBorder="1" applyAlignment="1">
      <alignment vertical="center"/>
    </xf>
    <xf numFmtId="38" fontId="3" fillId="21" borderId="0" xfId="0" applyNumberFormat="1" applyFont="1" applyFill="1" applyBorder="1" applyAlignment="1">
      <alignment horizontal="left" vertical="center"/>
    </xf>
    <xf numFmtId="38" fontId="3" fillId="21" borderId="6" xfId="0" applyNumberFormat="1" applyFont="1" applyFill="1" applyBorder="1" applyAlignment="1">
      <alignment horizontal="left" vertical="center"/>
    </xf>
    <xf numFmtId="38" fontId="3" fillId="21" borderId="6" xfId="0" applyNumberFormat="1" applyFont="1" applyFill="1" applyBorder="1" applyAlignment="1">
      <alignment vertical="center"/>
    </xf>
    <xf numFmtId="3" fontId="4" fillId="21" borderId="0" xfId="0" applyNumberFormat="1" applyFont="1" applyFill="1" applyBorder="1" applyAlignment="1">
      <alignment horizontal="right"/>
    </xf>
    <xf numFmtId="3" fontId="4" fillId="21" borderId="0" xfId="0" applyNumberFormat="1" applyFont="1" applyFill="1" applyBorder="1" applyAlignment="1">
      <alignment horizontal="left"/>
    </xf>
    <xf numFmtId="3" fontId="4" fillId="21" borderId="39" xfId="0" applyNumberFormat="1" applyFont="1" applyFill="1" applyBorder="1" applyAlignment="1">
      <alignment horizontal="left"/>
    </xf>
    <xf numFmtId="3" fontId="3" fillId="21" borderId="39" xfId="0" applyNumberFormat="1" applyFont="1" applyFill="1" applyBorder="1"/>
    <xf numFmtId="0" fontId="46" fillId="21" borderId="39" xfId="0" applyFont="1" applyFill="1" applyBorder="1"/>
    <xf numFmtId="3" fontId="4" fillId="21" borderId="0" xfId="0" applyNumberFormat="1" applyFont="1" applyFill="1" applyBorder="1" applyAlignment="1">
      <alignment vertical="center"/>
    </xf>
    <xf numFmtId="3" fontId="3" fillId="21" borderId="0" xfId="0" applyNumberFormat="1" applyFont="1" applyFill="1" applyBorder="1" applyAlignment="1">
      <alignment vertical="center"/>
    </xf>
    <xf numFmtId="0" fontId="46" fillId="21" borderId="18" xfId="0" applyFont="1" applyFill="1" applyBorder="1" applyAlignment="1">
      <alignment horizontal="center"/>
    </xf>
    <xf numFmtId="3" fontId="4" fillId="21" borderId="17" xfId="42321" applyNumberFormat="1" applyFont="1" applyFill="1" applyBorder="1" applyAlignment="1">
      <alignment horizontal="left"/>
    </xf>
    <xf numFmtId="3" fontId="3" fillId="21" borderId="17" xfId="0" applyNumberFormat="1" applyFont="1" applyFill="1" applyBorder="1" applyAlignment="1">
      <alignment horizontal="centerContinuous"/>
    </xf>
    <xf numFmtId="0" fontId="0" fillId="0" borderId="0" xfId="0" applyBorder="1"/>
    <xf numFmtId="38" fontId="3" fillId="21" borderId="2" xfId="0" applyNumberFormat="1" applyFont="1" applyFill="1" applyBorder="1"/>
    <xf numFmtId="164" fontId="3" fillId="21" borderId="16" xfId="0" applyNumberFormat="1" applyFont="1" applyFill="1" applyBorder="1"/>
    <xf numFmtId="0" fontId="0" fillId="0" borderId="0" xfId="0" applyFont="1"/>
    <xf numFmtId="0" fontId="49" fillId="21" borderId="0" xfId="0" applyFont="1" applyFill="1" applyBorder="1" applyAlignment="1">
      <alignment horizontal="center" vertical="center" wrapText="1"/>
    </xf>
    <xf numFmtId="1" fontId="3" fillId="23" borderId="8" xfId="1" applyNumberFormat="1" applyFont="1" applyFill="1" applyBorder="1" applyAlignment="1">
      <alignment wrapText="1"/>
    </xf>
    <xf numFmtId="1" fontId="3" fillId="23" borderId="8" xfId="1" applyNumberFormat="1" applyFont="1" applyFill="1" applyBorder="1" applyAlignment="1"/>
    <xf numFmtId="0" fontId="0" fillId="0" borderId="0" xfId="0" applyFont="1" applyBorder="1"/>
    <xf numFmtId="0" fontId="49" fillId="21" borderId="0" xfId="0" applyFont="1" applyFill="1" applyBorder="1" applyAlignment="1">
      <alignment horizontal="center" vertical="center"/>
    </xf>
    <xf numFmtId="164" fontId="0" fillId="0" borderId="0" xfId="1" applyNumberFormat="1" applyFont="1" applyBorder="1"/>
    <xf numFmtId="0" fontId="53" fillId="21" borderId="13" xfId="0" applyFont="1" applyFill="1" applyBorder="1"/>
    <xf numFmtId="0" fontId="57" fillId="21" borderId="6" xfId="0" applyFont="1" applyFill="1" applyBorder="1"/>
    <xf numFmtId="5" fontId="57" fillId="21" borderId="6" xfId="0" applyNumberFormat="1" applyFont="1" applyFill="1" applyBorder="1"/>
    <xf numFmtId="0" fontId="57" fillId="21" borderId="11" xfId="0" applyFont="1" applyFill="1" applyBorder="1"/>
    <xf numFmtId="164" fontId="46" fillId="21" borderId="14" xfId="1" applyNumberFormat="1" applyFont="1" applyFill="1" applyBorder="1"/>
    <xf numFmtId="3" fontId="3" fillId="21" borderId="0" xfId="42321" applyNumberFormat="1" applyFont="1" applyFill="1" applyBorder="1" applyAlignment="1">
      <alignment horizontal="right"/>
    </xf>
    <xf numFmtId="0" fontId="56" fillId="21" borderId="17" xfId="0" applyFont="1" applyFill="1" applyBorder="1" applyAlignment="1">
      <alignment horizontal="centerContinuous" wrapText="1"/>
    </xf>
    <xf numFmtId="0" fontId="3" fillId="21" borderId="0" xfId="38578" applyFont="1" applyFill="1"/>
    <xf numFmtId="0" fontId="3" fillId="0" borderId="0" xfId="0" applyFont="1" applyFill="1" applyBorder="1" applyAlignment="1">
      <alignment vertical="top"/>
    </xf>
    <xf numFmtId="164" fontId="4" fillId="0" borderId="0" xfId="1" applyNumberFormat="1" applyFont="1" applyFill="1" applyBorder="1" applyAlignment="1">
      <alignment horizontal="center" wrapText="1"/>
    </xf>
    <xf numFmtId="42" fontId="0" fillId="0" borderId="0" xfId="0" applyNumberFormat="1" applyBorder="1"/>
    <xf numFmtId="0" fontId="3" fillId="0" borderId="0" xfId="0" applyFont="1" applyFill="1" applyBorder="1" applyAlignment="1">
      <alignment horizontal="right"/>
    </xf>
    <xf numFmtId="0" fontId="3" fillId="21" borderId="14" xfId="0" applyFont="1" applyFill="1" applyBorder="1" applyAlignment="1">
      <alignment horizontal="center"/>
    </xf>
    <xf numFmtId="0" fontId="3" fillId="21" borderId="12" xfId="0" applyFont="1" applyFill="1" applyBorder="1" applyAlignment="1">
      <alignment horizontal="center"/>
    </xf>
    <xf numFmtId="0" fontId="3" fillId="21" borderId="0" xfId="38578" applyFont="1" applyFill="1" applyBorder="1"/>
    <xf numFmtId="38" fontId="3" fillId="0" borderId="0" xfId="0" applyNumberFormat="1" applyFont="1" applyFill="1" applyBorder="1" applyAlignment="1">
      <alignment horizontal="left"/>
    </xf>
    <xf numFmtId="0" fontId="3" fillId="21" borderId="0" xfId="38578" applyFont="1" applyFill="1" applyBorder="1" applyAlignment="1">
      <alignment wrapText="1"/>
    </xf>
    <xf numFmtId="0" fontId="3" fillId="21" borderId="14" xfId="38578" applyNumberFormat="1" applyFont="1" applyFill="1" applyBorder="1" applyAlignment="1">
      <alignment horizontal="center" vertical="top"/>
    </xf>
    <xf numFmtId="164" fontId="3" fillId="21" borderId="42" xfId="5447" applyNumberFormat="1" applyFont="1" applyFill="1" applyBorder="1"/>
    <xf numFmtId="3" fontId="3" fillId="21" borderId="0" xfId="18360" applyNumberFormat="1" applyFont="1" applyFill="1" applyBorder="1" applyAlignment="1">
      <alignment horizontal="right"/>
    </xf>
    <xf numFmtId="38" fontId="3" fillId="0" borderId="0" xfId="0" applyNumberFormat="1" applyFont="1" applyFill="1" applyBorder="1" applyAlignment="1">
      <alignment wrapText="1"/>
    </xf>
    <xf numFmtId="0" fontId="3" fillId="0" borderId="0" xfId="0" applyFont="1" applyFill="1" applyBorder="1" applyAlignment="1"/>
    <xf numFmtId="164" fontId="49" fillId="21" borderId="14" xfId="1" applyNumberFormat="1" applyFont="1" applyFill="1" applyBorder="1" applyAlignment="1">
      <alignment horizontal="center" wrapText="1"/>
    </xf>
    <xf numFmtId="164" fontId="49" fillId="21" borderId="0" xfId="1" applyNumberFormat="1" applyFont="1" applyFill="1" applyBorder="1" applyAlignment="1">
      <alignment horizontal="center"/>
    </xf>
    <xf numFmtId="38" fontId="49" fillId="21" borderId="0" xfId="0" applyNumberFormat="1" applyFont="1" applyFill="1" applyBorder="1" applyAlignment="1">
      <alignment horizontal="center"/>
    </xf>
    <xf numFmtId="10" fontId="46" fillId="21" borderId="0" xfId="3" applyNumberFormat="1" applyFont="1" applyFill="1" applyBorder="1"/>
    <xf numFmtId="38" fontId="46" fillId="21" borderId="0" xfId="0" applyNumberFormat="1" applyFont="1" applyFill="1" applyBorder="1"/>
    <xf numFmtId="164" fontId="46" fillId="21" borderId="13" xfId="0" applyNumberFormat="1" applyFont="1" applyFill="1" applyBorder="1"/>
    <xf numFmtId="0" fontId="46" fillId="21" borderId="2" xfId="0" applyFont="1" applyFill="1" applyBorder="1"/>
    <xf numFmtId="10" fontId="46" fillId="21" borderId="2" xfId="3" applyNumberFormat="1" applyFont="1" applyFill="1" applyBorder="1"/>
    <xf numFmtId="0" fontId="46" fillId="0" borderId="0" xfId="0" applyFont="1" applyFill="1"/>
    <xf numFmtId="0" fontId="46" fillId="21" borderId="12" xfId="0" applyFont="1" applyFill="1" applyBorder="1"/>
    <xf numFmtId="0" fontId="46" fillId="21" borderId="48" xfId="0" applyFont="1" applyFill="1" applyBorder="1"/>
    <xf numFmtId="38" fontId="46" fillId="21" borderId="48" xfId="0" applyNumberFormat="1" applyFont="1" applyFill="1" applyBorder="1"/>
    <xf numFmtId="164" fontId="46" fillId="21" borderId="22" xfId="0" applyNumberFormat="1" applyFont="1" applyFill="1" applyBorder="1"/>
    <xf numFmtId="38" fontId="46" fillId="0" borderId="0" xfId="0" applyNumberFormat="1" applyFont="1"/>
    <xf numFmtId="164" fontId="46" fillId="0" borderId="0" xfId="0" applyNumberFormat="1" applyFont="1"/>
    <xf numFmtId="164" fontId="49" fillId="21" borderId="13" xfId="0" applyNumberFormat="1" applyFont="1" applyFill="1" applyBorder="1" applyAlignment="1">
      <alignment horizontal="center" wrapText="1"/>
    </xf>
    <xf numFmtId="164" fontId="4" fillId="21" borderId="0" xfId="1" applyNumberFormat="1" applyFont="1" applyFill="1" applyBorder="1" applyAlignment="1">
      <alignment horizontal="center" wrapText="1"/>
    </xf>
    <xf numFmtId="38" fontId="4" fillId="21" borderId="0" xfId="0" applyNumberFormat="1" applyFont="1" applyFill="1" applyBorder="1" applyAlignment="1">
      <alignment horizontal="center" wrapText="1"/>
    </xf>
    <xf numFmtId="164" fontId="4" fillId="21" borderId="13" xfId="1" applyNumberFormat="1" applyFont="1" applyFill="1" applyBorder="1" applyAlignment="1">
      <alignment horizontal="center" wrapText="1"/>
    </xf>
    <xf numFmtId="164" fontId="46" fillId="21" borderId="0" xfId="1" applyNumberFormat="1" applyFont="1" applyFill="1" applyBorder="1"/>
    <xf numFmtId="38" fontId="46" fillId="21" borderId="17" xfId="0" applyNumberFormat="1" applyFont="1" applyFill="1" applyBorder="1"/>
    <xf numFmtId="164" fontId="46" fillId="21" borderId="16" xfId="0" applyNumberFormat="1" applyFont="1" applyFill="1" applyBorder="1"/>
    <xf numFmtId="0" fontId="4" fillId="21" borderId="14" xfId="0" applyFont="1" applyFill="1" applyBorder="1" applyAlignment="1">
      <alignment horizontal="center" wrapText="1"/>
    </xf>
    <xf numFmtId="0" fontId="3" fillId="21" borderId="0" xfId="0" applyFont="1" applyFill="1" applyBorder="1" applyAlignment="1">
      <alignment horizontal="left"/>
    </xf>
    <xf numFmtId="0" fontId="46" fillId="21" borderId="54" xfId="0" applyFont="1" applyFill="1" applyBorder="1"/>
    <xf numFmtId="0" fontId="46" fillId="21" borderId="55" xfId="0" applyFont="1" applyFill="1" applyBorder="1"/>
    <xf numFmtId="38" fontId="4" fillId="21" borderId="55" xfId="0" applyNumberFormat="1" applyFont="1" applyFill="1" applyBorder="1" applyAlignment="1">
      <alignment horizontal="center"/>
    </xf>
    <xf numFmtId="38" fontId="3" fillId="21" borderId="55" xfId="0" applyNumberFormat="1" applyFont="1" applyFill="1" applyBorder="1"/>
    <xf numFmtId="38" fontId="3" fillId="21" borderId="56" xfId="0" applyNumberFormat="1" applyFont="1" applyFill="1" applyBorder="1"/>
    <xf numFmtId="0" fontId="53" fillId="0" borderId="0" xfId="0" applyFont="1" applyFill="1" applyBorder="1" applyAlignment="1">
      <alignment horizontal="left" vertical="top"/>
    </xf>
    <xf numFmtId="0" fontId="53" fillId="0" borderId="17" xfId="0" applyFont="1" applyFill="1" applyBorder="1"/>
    <xf numFmtId="0" fontId="53" fillId="0" borderId="17" xfId="0" applyFont="1" applyFill="1" applyBorder="1" applyAlignment="1">
      <alignment horizontal="center" vertical="top"/>
    </xf>
    <xf numFmtId="167" fontId="53" fillId="0" borderId="17" xfId="2" applyNumberFormat="1" applyFont="1" applyFill="1" applyBorder="1"/>
    <xf numFmtId="0" fontId="53" fillId="0" borderId="16" xfId="0" applyFont="1" applyFill="1" applyBorder="1"/>
    <xf numFmtId="0" fontId="53" fillId="0" borderId="0" xfId="0" applyFont="1" applyFill="1" applyBorder="1"/>
    <xf numFmtId="0" fontId="53" fillId="0" borderId="14" xfId="0" applyFont="1" applyFill="1" applyBorder="1" applyAlignment="1">
      <alignment horizontal="left" vertical="top"/>
    </xf>
    <xf numFmtId="0" fontId="53" fillId="0" borderId="4" xfId="0" applyFont="1" applyFill="1" applyBorder="1" applyAlignment="1">
      <alignment horizontal="left" vertical="top" wrapText="1"/>
    </xf>
    <xf numFmtId="0" fontId="53" fillId="0" borderId="4" xfId="0" applyFont="1" applyFill="1" applyBorder="1"/>
    <xf numFmtId="0" fontId="53" fillId="0" borderId="4" xfId="0" applyFont="1" applyFill="1" applyBorder="1" applyAlignment="1">
      <alignment horizontal="center" vertical="top"/>
    </xf>
    <xf numFmtId="167" fontId="53" fillId="0" borderId="4" xfId="2" applyNumberFormat="1" applyFont="1" applyFill="1" applyBorder="1"/>
    <xf numFmtId="0" fontId="53" fillId="0" borderId="26" xfId="0" applyFont="1" applyFill="1" applyBorder="1"/>
    <xf numFmtId="0" fontId="61" fillId="0" borderId="28" xfId="0" applyFont="1" applyFill="1" applyBorder="1" applyAlignment="1">
      <alignment horizontal="center" vertical="center" wrapText="1" readingOrder="1"/>
    </xf>
    <xf numFmtId="0" fontId="61" fillId="0" borderId="14" xfId="0" applyFont="1" applyFill="1" applyBorder="1" applyAlignment="1">
      <alignment horizontal="center" vertical="center" wrapText="1" readingOrder="1"/>
    </xf>
    <xf numFmtId="0" fontId="61" fillId="0" borderId="5" xfId="0" applyFont="1" applyFill="1" applyBorder="1" applyAlignment="1">
      <alignment horizontal="center" vertical="center" wrapText="1"/>
    </xf>
    <xf numFmtId="0" fontId="61" fillId="0" borderId="0" xfId="0" applyFont="1" applyFill="1" applyBorder="1" applyAlignment="1">
      <alignment horizontal="center" vertical="center" wrapText="1" readingOrder="1"/>
    </xf>
    <xf numFmtId="167" fontId="61" fillId="0" borderId="0" xfId="2" applyNumberFormat="1" applyFont="1" applyFill="1" applyBorder="1" applyAlignment="1">
      <alignment horizontal="center" vertical="center" wrapText="1" readingOrder="1"/>
    </xf>
    <xf numFmtId="0" fontId="62" fillId="0" borderId="8" xfId="0" applyFont="1" applyFill="1" applyBorder="1" applyAlignment="1">
      <alignment horizontal="center" vertical="center" wrapText="1" readingOrder="1"/>
    </xf>
    <xf numFmtId="0" fontId="61" fillId="0" borderId="13" xfId="0" applyFont="1" applyFill="1" applyBorder="1" applyAlignment="1">
      <alignment horizontal="center" vertical="center" wrapText="1" readingOrder="1"/>
    </xf>
    <xf numFmtId="0" fontId="61" fillId="0" borderId="0" xfId="0" applyFont="1" applyFill="1" applyBorder="1" applyAlignment="1">
      <alignment horizontal="left" vertical="top"/>
    </xf>
    <xf numFmtId="0" fontId="53" fillId="0" borderId="14" xfId="0" applyFont="1" applyFill="1" applyBorder="1" applyAlignment="1">
      <alignment horizontal="center" vertical="top" readingOrder="1"/>
    </xf>
    <xf numFmtId="0" fontId="61" fillId="0" borderId="0" xfId="0" applyFont="1" applyFill="1" applyBorder="1" applyAlignment="1">
      <alignment horizontal="left" vertical="top" wrapText="1"/>
    </xf>
    <xf numFmtId="0" fontId="61" fillId="0" borderId="0" xfId="0" applyFont="1" applyFill="1" applyBorder="1" applyAlignment="1">
      <alignment vertical="top" wrapText="1"/>
    </xf>
    <xf numFmtId="0" fontId="61" fillId="0" borderId="0" xfId="0" applyFont="1" applyFill="1" applyBorder="1" applyAlignment="1">
      <alignment horizontal="center" vertical="top"/>
    </xf>
    <xf numFmtId="167" fontId="61" fillId="0" borderId="0" xfId="2" applyNumberFormat="1" applyFont="1" applyFill="1" applyBorder="1"/>
    <xf numFmtId="0" fontId="61" fillId="0" borderId="8" xfId="0" applyFont="1" applyFill="1" applyBorder="1" applyAlignment="1">
      <alignment vertical="top" wrapText="1"/>
    </xf>
    <xf numFmtId="0" fontId="61" fillId="0" borderId="8" xfId="0" applyFont="1" applyFill="1" applyBorder="1" applyAlignment="1">
      <alignment vertical="top"/>
    </xf>
    <xf numFmtId="167" fontId="61" fillId="0" borderId="8" xfId="2" applyNumberFormat="1" applyFont="1" applyFill="1" applyBorder="1" applyAlignment="1">
      <alignment vertical="top"/>
    </xf>
    <xf numFmtId="0" fontId="61" fillId="0" borderId="13" xfId="0" applyFont="1" applyFill="1" applyBorder="1" applyAlignment="1">
      <alignment wrapText="1"/>
    </xf>
    <xf numFmtId="0" fontId="61" fillId="0" borderId="0" xfId="0" applyFont="1" applyFill="1" applyBorder="1"/>
    <xf numFmtId="0" fontId="53" fillId="0" borderId="0" xfId="0" applyFont="1" applyFill="1" applyBorder="1" applyAlignment="1">
      <alignment horizontal="left" vertical="top" wrapText="1"/>
    </xf>
    <xf numFmtId="0" fontId="53" fillId="0" borderId="0" xfId="0" applyFont="1" applyFill="1" applyBorder="1" applyAlignment="1">
      <alignment vertical="top" wrapText="1"/>
    </xf>
    <xf numFmtId="0" fontId="53" fillId="0" borderId="0" xfId="0" applyFont="1" applyFill="1" applyBorder="1" applyAlignment="1">
      <alignment horizontal="center" vertical="top"/>
    </xf>
    <xf numFmtId="167" fontId="63" fillId="0" borderId="0" xfId="2" applyNumberFormat="1" applyFont="1" applyFill="1" applyBorder="1"/>
    <xf numFmtId="0" fontId="53" fillId="0" borderId="8" xfId="0" applyFont="1" applyFill="1" applyBorder="1" applyAlignment="1">
      <alignment vertical="top" wrapText="1"/>
    </xf>
    <xf numFmtId="0" fontId="53" fillId="0" borderId="8" xfId="0" applyFont="1" applyFill="1" applyBorder="1" applyAlignment="1">
      <alignment vertical="top"/>
    </xf>
    <xf numFmtId="167" fontId="53" fillId="0" borderId="8" xfId="2" applyNumberFormat="1" applyFont="1" applyFill="1" applyBorder="1" applyAlignment="1">
      <alignment vertical="top"/>
    </xf>
    <xf numFmtId="0" fontId="53" fillId="0" borderId="13" xfId="0" applyFont="1" applyFill="1" applyBorder="1" applyAlignment="1">
      <alignment wrapText="1"/>
    </xf>
    <xf numFmtId="167" fontId="53" fillId="0" borderId="0" xfId="2" applyNumberFormat="1" applyFont="1" applyFill="1" applyBorder="1"/>
    <xf numFmtId="0" fontId="53" fillId="0" borderId="13" xfId="0" applyFont="1" applyFill="1" applyBorder="1" applyAlignment="1">
      <alignment vertical="top" wrapText="1"/>
    </xf>
    <xf numFmtId="0" fontId="65" fillId="0" borderId="0" xfId="0" applyFont="1" applyFill="1" applyBorder="1" applyAlignment="1">
      <alignment vertical="top" wrapText="1"/>
    </xf>
    <xf numFmtId="167" fontId="65" fillId="0" borderId="0" xfId="2" applyNumberFormat="1" applyFont="1" applyFill="1" applyBorder="1"/>
    <xf numFmtId="0" fontId="53" fillId="0" borderId="0" xfId="0" applyFont="1" applyFill="1" applyBorder="1" applyAlignment="1">
      <alignment vertical="top"/>
    </xf>
    <xf numFmtId="167" fontId="64" fillId="0" borderId="0" xfId="2" applyNumberFormat="1" applyFont="1" applyFill="1" applyBorder="1"/>
    <xf numFmtId="180" fontId="53" fillId="0" borderId="13" xfId="0" applyNumberFormat="1" applyFont="1" applyFill="1" applyBorder="1" applyAlignment="1">
      <alignment wrapText="1"/>
    </xf>
    <xf numFmtId="0" fontId="53" fillId="0" borderId="28" xfId="0" applyFont="1" applyFill="1" applyBorder="1" applyAlignment="1">
      <alignment vertical="top"/>
    </xf>
    <xf numFmtId="0" fontId="53" fillId="0" borderId="28" xfId="0" applyFont="1" applyFill="1" applyBorder="1" applyAlignment="1">
      <alignment horizontal="left" vertical="top"/>
    </xf>
    <xf numFmtId="0" fontId="53" fillId="0" borderId="28" xfId="0" applyFont="1" applyFill="1" applyBorder="1" applyAlignment="1">
      <alignment horizontal="center" vertical="top"/>
    </xf>
    <xf numFmtId="167" fontId="63" fillId="0" borderId="8" xfId="2" applyNumberFormat="1" applyFont="1" applyFill="1" applyBorder="1" applyAlignment="1">
      <alignment vertical="top"/>
    </xf>
    <xf numFmtId="167" fontId="64" fillId="0" borderId="8" xfId="2" applyNumberFormat="1" applyFont="1" applyFill="1" applyBorder="1" applyAlignment="1">
      <alignment vertical="top"/>
    </xf>
    <xf numFmtId="0" fontId="54" fillId="0" borderId="0" xfId="0" applyFont="1" applyFill="1" applyBorder="1" applyAlignment="1">
      <alignment vertical="top"/>
    </xf>
    <xf numFmtId="167" fontId="63" fillId="0" borderId="28" xfId="2" applyNumberFormat="1" applyFont="1" applyFill="1" applyBorder="1" applyAlignment="1">
      <alignment vertical="top"/>
    </xf>
    <xf numFmtId="0" fontId="53" fillId="0" borderId="43" xfId="0" applyFont="1" applyFill="1" applyBorder="1" applyAlignment="1">
      <alignment wrapText="1"/>
    </xf>
    <xf numFmtId="167" fontId="53" fillId="0" borderId="28" xfId="2" applyNumberFormat="1" applyFont="1" applyFill="1" applyBorder="1" applyAlignment="1">
      <alignment vertical="top"/>
    </xf>
    <xf numFmtId="180" fontId="53" fillId="0" borderId="43" xfId="0" applyNumberFormat="1" applyFont="1" applyFill="1" applyBorder="1" applyAlignment="1">
      <alignment wrapText="1"/>
    </xf>
    <xf numFmtId="0" fontId="65" fillId="0" borderId="0" xfId="0" applyFont="1" applyFill="1" applyBorder="1" applyAlignment="1">
      <alignment horizontal="left" vertical="top"/>
    </xf>
    <xf numFmtId="0" fontId="61" fillId="0" borderId="0" xfId="0" applyFont="1" applyFill="1" applyBorder="1" applyAlignment="1">
      <alignment wrapText="1"/>
    </xf>
    <xf numFmtId="0" fontId="53" fillId="0" borderId="0" xfId="0" applyFont="1" applyFill="1" applyBorder="1" applyAlignment="1">
      <alignment wrapText="1"/>
    </xf>
    <xf numFmtId="0" fontId="53" fillId="0" borderId="8" xfId="0" applyFont="1" applyFill="1" applyBorder="1" applyAlignment="1">
      <alignment horizontal="left" vertical="top"/>
    </xf>
    <xf numFmtId="0" fontId="53" fillId="0" borderId="8" xfId="0" applyFont="1" applyFill="1" applyBorder="1" applyAlignment="1">
      <alignment horizontal="center" vertical="top"/>
    </xf>
    <xf numFmtId="167" fontId="53" fillId="0" borderId="13" xfId="2" applyNumberFormat="1" applyFont="1" applyFill="1" applyBorder="1" applyAlignment="1">
      <alignment wrapText="1"/>
    </xf>
    <xf numFmtId="167" fontId="63" fillId="0" borderId="0" xfId="0" applyNumberFormat="1" applyFont="1" applyFill="1" applyBorder="1"/>
    <xf numFmtId="0" fontId="53" fillId="0" borderId="13" xfId="0" applyFont="1" applyFill="1" applyBorder="1"/>
    <xf numFmtId="0" fontId="62" fillId="0" borderId="0" xfId="0" applyFont="1" applyFill="1" applyBorder="1" applyAlignment="1">
      <alignment horizontal="center" vertical="center" wrapText="1" readingOrder="1"/>
    </xf>
    <xf numFmtId="0" fontId="53" fillId="0" borderId="12" xfId="0" applyFont="1" applyFill="1" applyBorder="1" applyAlignment="1">
      <alignment horizontal="left" vertical="top"/>
    </xf>
    <xf numFmtId="0" fontId="67" fillId="0" borderId="18" xfId="0" applyFont="1" applyFill="1" applyBorder="1" applyAlignment="1">
      <alignment horizontal="left" vertical="top"/>
    </xf>
    <xf numFmtId="0" fontId="67" fillId="0" borderId="17" xfId="0" applyFont="1" applyFill="1" applyBorder="1" applyAlignment="1">
      <alignment horizontal="left" vertical="top"/>
    </xf>
    <xf numFmtId="0" fontId="67" fillId="0" borderId="16" xfId="0" applyFont="1" applyFill="1" applyBorder="1" applyAlignment="1">
      <alignment horizontal="left" vertical="top"/>
    </xf>
    <xf numFmtId="0" fontId="54" fillId="0" borderId="17" xfId="0" applyFont="1" applyFill="1" applyBorder="1"/>
    <xf numFmtId="0" fontId="54" fillId="0" borderId="54" xfId="0" applyFont="1" applyFill="1" applyBorder="1"/>
    <xf numFmtId="0" fontId="54" fillId="0" borderId="0" xfId="0" applyFont="1" applyFill="1" applyBorder="1"/>
    <xf numFmtId="0" fontId="55" fillId="0" borderId="51" xfId="0" applyFont="1" applyFill="1" applyBorder="1" applyAlignment="1">
      <alignment horizontal="center" readingOrder="1"/>
    </xf>
    <xf numFmtId="0" fontId="55" fillId="0" borderId="0" xfId="0" applyFont="1" applyFill="1" applyBorder="1" applyAlignment="1">
      <alignment horizontal="center" readingOrder="1"/>
    </xf>
    <xf numFmtId="0" fontId="55" fillId="0" borderId="0" xfId="0" applyFont="1" applyFill="1" applyBorder="1" applyAlignment="1">
      <alignment horizontal="center" wrapText="1" readingOrder="1"/>
    </xf>
    <xf numFmtId="0" fontId="55" fillId="0" borderId="55" xfId="0" applyFont="1" applyFill="1" applyBorder="1" applyAlignment="1">
      <alignment horizontal="center" readingOrder="1"/>
    </xf>
    <xf numFmtId="0" fontId="54" fillId="25" borderId="14" xfId="0" applyFont="1" applyFill="1" applyBorder="1" applyAlignment="1">
      <alignment horizontal="left" vertical="top"/>
    </xf>
    <xf numFmtId="0" fontId="55" fillId="0" borderId="0" xfId="0" applyFont="1" applyFill="1" applyBorder="1" applyAlignment="1">
      <alignment horizontal="left" vertical="top"/>
    </xf>
    <xf numFmtId="0" fontId="55" fillId="0" borderId="0" xfId="0" applyFont="1" applyFill="1" applyBorder="1"/>
    <xf numFmtId="0" fontId="55" fillId="0" borderId="55" xfId="0" applyFont="1" applyFill="1" applyBorder="1"/>
    <xf numFmtId="0" fontId="54" fillId="0" borderId="14" xfId="0" applyFont="1" applyFill="1" applyBorder="1" applyAlignment="1">
      <alignment horizontal="left" vertical="top"/>
    </xf>
    <xf numFmtId="0" fontId="54" fillId="0" borderId="0" xfId="0" applyFont="1" applyFill="1" applyBorder="1" applyAlignment="1">
      <alignment horizontal="left" vertical="top"/>
    </xf>
    <xf numFmtId="0" fontId="54" fillId="26" borderId="0" xfId="0" applyFont="1" applyFill="1" applyBorder="1"/>
    <xf numFmtId="0" fontId="54" fillId="0" borderId="55" xfId="0" applyFont="1" applyFill="1" applyBorder="1"/>
    <xf numFmtId="0" fontId="4" fillId="0" borderId="42" xfId="0" applyFont="1" applyFill="1" applyBorder="1" applyAlignment="1">
      <alignment horizontal="center"/>
    </xf>
    <xf numFmtId="0" fontId="4" fillId="0" borderId="42" xfId="0" applyFont="1" applyFill="1" applyBorder="1"/>
    <xf numFmtId="164" fontId="4" fillId="0" borderId="42" xfId="0" applyNumberFormat="1" applyFont="1" applyFill="1" applyBorder="1" applyAlignment="1">
      <alignment horizontal="right"/>
    </xf>
    <xf numFmtId="164" fontId="4" fillId="0" borderId="42" xfId="1" applyNumberFormat="1" applyFont="1" applyFill="1" applyBorder="1"/>
    <xf numFmtId="164" fontId="3" fillId="0" borderId="0" xfId="1" applyNumberFormat="1" applyFont="1" applyFill="1" applyBorder="1" applyAlignment="1">
      <alignment horizontal="left"/>
    </xf>
    <xf numFmtId="0" fontId="46" fillId="0" borderId="0" xfId="0" applyFont="1" applyFill="1" applyBorder="1"/>
    <xf numFmtId="0" fontId="3" fillId="0" borderId="29" xfId="38578" applyFont="1" applyFill="1" applyBorder="1" applyAlignment="1">
      <alignment horizontal="left"/>
    </xf>
    <xf numFmtId="0" fontId="46" fillId="0" borderId="29" xfId="0" applyFont="1" applyFill="1" applyBorder="1"/>
    <xf numFmtId="0" fontId="46" fillId="21" borderId="57" xfId="0" applyFont="1" applyFill="1" applyBorder="1"/>
    <xf numFmtId="0" fontId="46" fillId="21" borderId="58" xfId="0" applyFont="1" applyFill="1" applyBorder="1"/>
    <xf numFmtId="0" fontId="54" fillId="0" borderId="13" xfId="0" applyFont="1" applyFill="1" applyBorder="1"/>
    <xf numFmtId="0" fontId="53" fillId="26" borderId="14" xfId="0" applyFont="1" applyFill="1" applyBorder="1" applyAlignment="1">
      <alignment horizontal="left" vertical="top"/>
    </xf>
    <xf numFmtId="0" fontId="54" fillId="26" borderId="0" xfId="0" applyFont="1" applyFill="1" applyBorder="1" applyAlignment="1">
      <alignment horizontal="left" vertical="top"/>
    </xf>
    <xf numFmtId="0" fontId="54" fillId="26" borderId="13" xfId="0" applyFont="1" applyFill="1" applyBorder="1"/>
    <xf numFmtId="0" fontId="54" fillId="0" borderId="12" xfId="0" applyFont="1" applyFill="1" applyBorder="1"/>
    <xf numFmtId="49" fontId="60" fillId="24" borderId="0" xfId="19632" applyNumberFormat="1" applyFont="1" applyFill="1" applyBorder="1" applyAlignment="1">
      <alignment horizontal="left"/>
    </xf>
    <xf numFmtId="0" fontId="3" fillId="21" borderId="9" xfId="0" applyFont="1" applyFill="1" applyBorder="1"/>
    <xf numFmtId="49" fontId="60" fillId="24" borderId="6" xfId="19632" applyNumberFormat="1" applyFont="1" applyFill="1" applyBorder="1" applyAlignment="1">
      <alignment horizontal="left"/>
    </xf>
    <xf numFmtId="164" fontId="46" fillId="21" borderId="2" xfId="1" applyNumberFormat="1" applyFont="1" applyFill="1" applyBorder="1"/>
    <xf numFmtId="49" fontId="60" fillId="21" borderId="2" xfId="19632" applyNumberFormat="1" applyFont="1" applyFill="1" applyBorder="1" applyAlignment="1">
      <alignment horizontal="left"/>
    </xf>
    <xf numFmtId="49" fontId="60" fillId="24" borderId="9" xfId="19632" applyNumberFormat="1" applyFont="1" applyFill="1" applyBorder="1" applyAlignment="1">
      <alignment horizontal="left"/>
    </xf>
    <xf numFmtId="164" fontId="46" fillId="21" borderId="55" xfId="1" applyNumberFormat="1" applyFont="1" applyFill="1" applyBorder="1"/>
    <xf numFmtId="0" fontId="46" fillId="21" borderId="56" xfId="0" applyFont="1" applyFill="1" applyBorder="1"/>
    <xf numFmtId="43" fontId="46" fillId="21" borderId="17" xfId="1" applyNumberFormat="1" applyFont="1" applyFill="1" applyBorder="1"/>
    <xf numFmtId="43" fontId="46" fillId="21" borderId="0" xfId="1" applyNumberFormat="1" applyFont="1" applyFill="1" applyBorder="1"/>
    <xf numFmtId="43" fontId="4" fillId="21" borderId="0" xfId="1" applyNumberFormat="1" applyFont="1" applyFill="1" applyBorder="1" applyAlignment="1">
      <alignment horizontal="center" wrapText="1"/>
    </xf>
    <xf numFmtId="43" fontId="3" fillId="21" borderId="0" xfId="1" applyNumberFormat="1" applyFont="1" applyFill="1" applyBorder="1"/>
    <xf numFmtId="43" fontId="3" fillId="21" borderId="6" xfId="1" applyNumberFormat="1" applyFont="1" applyFill="1" applyBorder="1"/>
    <xf numFmtId="43" fontId="3" fillId="21" borderId="17" xfId="1" applyNumberFormat="1" applyFont="1" applyFill="1" applyBorder="1"/>
    <xf numFmtId="43" fontId="49" fillId="21" borderId="0" xfId="1" applyNumberFormat="1" applyFont="1" applyFill="1" applyBorder="1" applyAlignment="1">
      <alignment horizontal="center"/>
    </xf>
    <xf numFmtId="43" fontId="3" fillId="21" borderId="2" xfId="1" applyNumberFormat="1" applyFont="1" applyFill="1" applyBorder="1"/>
    <xf numFmtId="43" fontId="3" fillId="21" borderId="9" xfId="1" applyNumberFormat="1" applyFont="1" applyFill="1" applyBorder="1"/>
    <xf numFmtId="43" fontId="46" fillId="21" borderId="6" xfId="1" applyNumberFormat="1" applyFont="1" applyFill="1" applyBorder="1"/>
    <xf numFmtId="43" fontId="46" fillId="0" borderId="0" xfId="1" applyNumberFormat="1" applyFont="1"/>
    <xf numFmtId="38" fontId="3" fillId="0" borderId="0" xfId="0" applyNumberFormat="1" applyFont="1" applyFill="1" applyBorder="1" applyAlignment="1">
      <alignment wrapText="1"/>
    </xf>
    <xf numFmtId="38" fontId="3" fillId="21" borderId="0" xfId="19386" applyNumberFormat="1" applyFont="1" applyFill="1" applyBorder="1"/>
    <xf numFmtId="38" fontId="3" fillId="21" borderId="45" xfId="38792" applyNumberFormat="1" applyFont="1" applyFill="1" applyBorder="1"/>
    <xf numFmtId="0" fontId="0" fillId="0" borderId="7" xfId="0" applyBorder="1"/>
    <xf numFmtId="0" fontId="0" fillId="0" borderId="7" xfId="0" applyBorder="1" applyAlignment="1">
      <alignment vertical="center" wrapText="1"/>
    </xf>
    <xf numFmtId="0" fontId="3" fillId="21" borderId="0" xfId="38578" applyFont="1" applyFill="1" applyBorder="1"/>
    <xf numFmtId="0" fontId="4" fillId="21" borderId="0" xfId="38578" applyFont="1" applyFill="1" applyBorder="1" applyAlignment="1">
      <alignment horizontal="center"/>
    </xf>
    <xf numFmtId="49" fontId="3" fillId="21" borderId="6" xfId="38578" applyNumberFormat="1" applyFont="1" applyFill="1" applyBorder="1" applyAlignment="1">
      <alignment horizontal="center"/>
    </xf>
    <xf numFmtId="3" fontId="3" fillId="21" borderId="36" xfId="38578" applyNumberFormat="1" applyFont="1" applyFill="1" applyBorder="1" applyAlignment="1">
      <alignment horizontal="center"/>
    </xf>
    <xf numFmtId="3" fontId="3" fillId="21" borderId="31" xfId="38578" applyNumberFormat="1" applyFont="1" applyFill="1" applyBorder="1"/>
    <xf numFmtId="0" fontId="3" fillId="21" borderId="16" xfId="38578" applyNumberFormat="1" applyFont="1" applyFill="1" applyBorder="1"/>
    <xf numFmtId="9" fontId="3" fillId="21" borderId="0" xfId="3" applyFont="1" applyFill="1" applyBorder="1" applyAlignment="1">
      <alignment horizontal="right"/>
    </xf>
    <xf numFmtId="3" fontId="3" fillId="21" borderId="57" xfId="38578" applyNumberFormat="1" applyFont="1" applyFill="1" applyBorder="1" applyAlignment="1">
      <alignment horizontal="right"/>
    </xf>
    <xf numFmtId="0" fontId="3" fillId="21" borderId="9" xfId="38578" applyNumberFormat="1" applyFont="1" applyFill="1" applyBorder="1"/>
    <xf numFmtId="0" fontId="3" fillId="21" borderId="15" xfId="38578" applyNumberFormat="1" applyFont="1" applyFill="1" applyBorder="1"/>
    <xf numFmtId="0" fontId="3" fillId="21" borderId="10" xfId="38578" applyFont="1" applyFill="1" applyBorder="1"/>
    <xf numFmtId="0" fontId="3" fillId="21" borderId="5" xfId="38578" applyFont="1" applyFill="1" applyBorder="1"/>
    <xf numFmtId="0" fontId="3" fillId="21" borderId="28" xfId="38578" applyNumberFormat="1" applyFont="1" applyFill="1" applyBorder="1"/>
    <xf numFmtId="0" fontId="3" fillId="21" borderId="5" xfId="38578" applyNumberFormat="1" applyFont="1" applyFill="1" applyBorder="1" applyAlignment="1">
      <alignment horizontal="center"/>
    </xf>
    <xf numFmtId="0" fontId="3" fillId="21" borderId="33" xfId="38578" applyNumberFormat="1" applyFont="1" applyFill="1" applyBorder="1"/>
    <xf numFmtId="0" fontId="3" fillId="21" borderId="33" xfId="38578" applyNumberFormat="1" applyFont="1" applyFill="1" applyBorder="1" applyAlignment="1">
      <alignment horizontal="center"/>
    </xf>
    <xf numFmtId="17" fontId="3" fillId="21" borderId="10" xfId="38578" applyNumberFormat="1" applyFont="1" applyFill="1" applyBorder="1" applyAlignment="1">
      <alignment horizontal="left"/>
    </xf>
    <xf numFmtId="17" fontId="3" fillId="21" borderId="5" xfId="38578" applyNumberFormat="1" applyFont="1" applyFill="1" applyBorder="1" applyAlignment="1">
      <alignment horizontal="left"/>
    </xf>
    <xf numFmtId="0" fontId="3" fillId="21" borderId="0" xfId="38578" applyFont="1" applyFill="1" applyBorder="1" applyAlignment="1">
      <alignment horizontal="left"/>
    </xf>
    <xf numFmtId="0" fontId="3" fillId="21" borderId="0" xfId="38578" applyFont="1" applyFill="1" applyBorder="1" applyAlignment="1"/>
    <xf numFmtId="0" fontId="3" fillId="0" borderId="0" xfId="0" applyFont="1" applyFill="1" applyBorder="1" applyAlignment="1"/>
    <xf numFmtId="3" fontId="3" fillId="21" borderId="57" xfId="38578" applyNumberFormat="1" applyFont="1" applyFill="1" applyBorder="1"/>
    <xf numFmtId="9" fontId="3" fillId="21" borderId="17" xfId="3" applyFont="1" applyFill="1" applyBorder="1" applyAlignment="1">
      <alignment horizontal="right"/>
    </xf>
    <xf numFmtId="17" fontId="3" fillId="21" borderId="28" xfId="38578" applyNumberFormat="1" applyFont="1" applyFill="1" applyBorder="1"/>
    <xf numFmtId="164" fontId="3" fillId="22" borderId="10" xfId="1" applyNumberFormat="1" applyFont="1" applyFill="1" applyBorder="1" applyAlignment="1">
      <alignment horizontal="right"/>
    </xf>
    <xf numFmtId="164" fontId="3" fillId="22" borderId="0" xfId="1" applyNumberFormat="1" applyFont="1" applyFill="1" applyBorder="1" applyAlignment="1">
      <alignment horizontal="right"/>
    </xf>
    <xf numFmtId="164" fontId="3" fillId="22" borderId="8" xfId="1" applyNumberFormat="1" applyFont="1" applyFill="1" applyBorder="1" applyAlignment="1">
      <alignment horizontal="right"/>
    </xf>
    <xf numFmtId="164" fontId="3" fillId="22" borderId="30" xfId="1" applyNumberFormat="1" applyFont="1" applyFill="1" applyBorder="1" applyAlignment="1">
      <alignment horizontal="right"/>
    </xf>
    <xf numFmtId="164" fontId="3" fillId="21" borderId="6" xfId="1" applyNumberFormat="1" applyFont="1" applyFill="1" applyBorder="1" applyAlignment="1">
      <alignment horizontal="right"/>
    </xf>
    <xf numFmtId="0" fontId="0" fillId="21" borderId="12" xfId="0" applyFill="1" applyBorder="1"/>
    <xf numFmtId="0" fontId="56" fillId="21" borderId="0" xfId="0" applyFont="1" applyFill="1" applyBorder="1" applyAlignment="1">
      <alignment horizontal="centerContinuous" wrapText="1"/>
    </xf>
    <xf numFmtId="0" fontId="54" fillId="21" borderId="9" xfId="0" applyFont="1" applyFill="1" applyBorder="1" applyAlignment="1">
      <alignment horizontal="center"/>
    </xf>
    <xf numFmtId="37" fontId="3" fillId="21" borderId="9" xfId="42321" applyNumberFormat="1" applyFont="1" applyFill="1" applyBorder="1" applyAlignment="1">
      <alignment horizontal="center"/>
    </xf>
    <xf numFmtId="0" fontId="54" fillId="21" borderId="0" xfId="0" applyFont="1" applyFill="1" applyBorder="1" applyAlignment="1">
      <alignment horizontal="center"/>
    </xf>
    <xf numFmtId="0" fontId="54" fillId="21" borderId="0" xfId="0" applyFont="1" applyFill="1" applyBorder="1" applyAlignment="1">
      <alignment horizontal="left"/>
    </xf>
    <xf numFmtId="5" fontId="54" fillId="21" borderId="0" xfId="0" applyNumberFormat="1" applyFont="1" applyFill="1" applyBorder="1" applyAlignment="1">
      <alignment horizontal="center"/>
    </xf>
    <xf numFmtId="38" fontId="54" fillId="21" borderId="0" xfId="0" applyNumberFormat="1" applyFont="1" applyFill="1" applyBorder="1"/>
    <xf numFmtId="175" fontId="54" fillId="21" borderId="0" xfId="3" applyNumberFormat="1" applyFont="1" applyFill="1" applyBorder="1"/>
    <xf numFmtId="5" fontId="54" fillId="21" borderId="0" xfId="0" applyNumberFormat="1" applyFont="1" applyFill="1" applyBorder="1"/>
    <xf numFmtId="164" fontId="54" fillId="21" borderId="0" xfId="1" applyNumberFormat="1" applyFont="1" applyFill="1" applyBorder="1"/>
    <xf numFmtId="167" fontId="54" fillId="21" borderId="0" xfId="2" applyNumberFormat="1" applyFont="1" applyFill="1" applyBorder="1"/>
    <xf numFmtId="167" fontId="54" fillId="21" borderId="0" xfId="0" applyNumberFormat="1" applyFont="1" applyFill="1" applyBorder="1"/>
    <xf numFmtId="0" fontId="55" fillId="21" borderId="0" xfId="0" applyFont="1" applyFill="1" applyBorder="1" applyAlignment="1">
      <alignment horizontal="left"/>
    </xf>
    <xf numFmtId="0" fontId="54" fillId="21" borderId="0" xfId="0" applyFont="1" applyFill="1" applyBorder="1" applyAlignment="1">
      <alignment wrapText="1"/>
    </xf>
    <xf numFmtId="175" fontId="54" fillId="21" borderId="0" xfId="0" applyNumberFormat="1" applyFont="1" applyFill="1" applyBorder="1"/>
    <xf numFmtId="3" fontId="54" fillId="21" borderId="0" xfId="0" applyNumberFormat="1" applyFont="1" applyFill="1" applyBorder="1" applyAlignment="1">
      <alignment horizontal="right"/>
    </xf>
    <xf numFmtId="0" fontId="71" fillId="21" borderId="0" xfId="0" applyFont="1" applyFill="1" applyBorder="1" applyAlignment="1">
      <alignment horizontal="left"/>
    </xf>
    <xf numFmtId="167" fontId="57" fillId="21" borderId="0" xfId="2" applyNumberFormat="1" applyFont="1" applyFill="1" applyBorder="1"/>
    <xf numFmtId="0" fontId="54" fillId="0" borderId="14" xfId="0" applyFont="1" applyFill="1" applyBorder="1" applyAlignment="1">
      <alignment horizontal="center"/>
    </xf>
    <xf numFmtId="0" fontId="57" fillId="0" borderId="0" xfId="0" applyFont="1" applyBorder="1"/>
    <xf numFmtId="0" fontId="53" fillId="21" borderId="0" xfId="0" applyFont="1" applyFill="1" applyBorder="1"/>
    <xf numFmtId="0" fontId="3" fillId="21" borderId="59" xfId="38578" applyFont="1" applyFill="1" applyBorder="1" applyAlignment="1">
      <alignment horizontal="left"/>
    </xf>
    <xf numFmtId="164" fontId="46" fillId="21" borderId="17" xfId="1" applyNumberFormat="1" applyFont="1" applyFill="1" applyBorder="1"/>
    <xf numFmtId="0" fontId="46" fillId="21" borderId="60" xfId="0" applyFont="1" applyFill="1" applyBorder="1"/>
    <xf numFmtId="0" fontId="4" fillId="21" borderId="60" xfId="0" applyFont="1" applyFill="1" applyBorder="1" applyAlignment="1">
      <alignment horizontal="center" wrapText="1"/>
    </xf>
    <xf numFmtId="38" fontId="4" fillId="21" borderId="13" xfId="0" applyNumberFormat="1" applyFont="1" applyFill="1" applyBorder="1" applyAlignment="1">
      <alignment horizontal="center"/>
    </xf>
    <xf numFmtId="0" fontId="3" fillId="21" borderId="61" xfId="0" applyFont="1" applyFill="1" applyBorder="1" applyAlignment="1">
      <alignment horizontal="center"/>
    </xf>
    <xf numFmtId="38" fontId="3" fillId="21" borderId="11" xfId="0" applyNumberFormat="1" applyFont="1" applyFill="1" applyBorder="1"/>
    <xf numFmtId="38" fontId="3" fillId="21" borderId="43" xfId="0" applyNumberFormat="1" applyFont="1" applyFill="1" applyBorder="1"/>
    <xf numFmtId="0" fontId="3" fillId="21" borderId="18" xfId="0" applyFont="1" applyFill="1" applyBorder="1"/>
    <xf numFmtId="164" fontId="3" fillId="21" borderId="17" xfId="1" applyNumberFormat="1" applyFont="1" applyFill="1" applyBorder="1"/>
    <xf numFmtId="38" fontId="4" fillId="21" borderId="43" xfId="0" applyNumberFormat="1" applyFont="1" applyFill="1" applyBorder="1" applyAlignment="1">
      <alignment horizontal="center"/>
    </xf>
    <xf numFmtId="0" fontId="4" fillId="21" borderId="14" xfId="0" applyFont="1" applyFill="1" applyBorder="1" applyAlignment="1">
      <alignment horizontal="left"/>
    </xf>
    <xf numFmtId="164" fontId="49" fillId="21" borderId="0" xfId="1" applyNumberFormat="1" applyFont="1" applyFill="1" applyBorder="1" applyAlignment="1">
      <alignment horizontal="center" wrapText="1"/>
    </xf>
    <xf numFmtId="164" fontId="46" fillId="21" borderId="43" xfId="1" applyNumberFormat="1" applyFont="1" applyFill="1" applyBorder="1"/>
    <xf numFmtId="164" fontId="46" fillId="21" borderId="47" xfId="1" applyNumberFormat="1" applyFont="1" applyFill="1" applyBorder="1"/>
    <xf numFmtId="164" fontId="3" fillId="21" borderId="2" xfId="1" applyNumberFormat="1" applyFont="1" applyFill="1" applyBorder="1"/>
    <xf numFmtId="164" fontId="46" fillId="0" borderId="0" xfId="1" applyNumberFormat="1" applyFont="1"/>
    <xf numFmtId="5" fontId="54" fillId="27" borderId="8" xfId="0" applyNumberFormat="1" applyFont="1" applyFill="1" applyBorder="1"/>
    <xf numFmtId="0" fontId="0" fillId="21" borderId="0" xfId="0" applyFill="1"/>
    <xf numFmtId="0" fontId="59" fillId="21" borderId="0" xfId="0" applyFont="1" applyFill="1"/>
    <xf numFmtId="0" fontId="0" fillId="21" borderId="0" xfId="0" applyFill="1" applyAlignment="1">
      <alignment horizontal="left"/>
    </xf>
    <xf numFmtId="0" fontId="72" fillId="21" borderId="0" xfId="42329" applyFill="1"/>
    <xf numFmtId="0" fontId="46" fillId="21" borderId="18" xfId="0" applyFont="1" applyFill="1" applyBorder="1"/>
    <xf numFmtId="0" fontId="49" fillId="21" borderId="17" xfId="0" applyFont="1" applyFill="1" applyBorder="1" applyAlignment="1">
      <alignment horizontal="center" vertical="center"/>
    </xf>
    <xf numFmtId="0" fontId="49" fillId="21" borderId="49" xfId="0" applyFont="1" applyFill="1" applyBorder="1" applyAlignment="1">
      <alignment horizontal="center" vertical="center" wrapText="1"/>
    </xf>
    <xf numFmtId="0" fontId="49" fillId="21" borderId="20" xfId="0" applyFont="1" applyFill="1" applyBorder="1" applyAlignment="1">
      <alignment wrapText="1"/>
    </xf>
    <xf numFmtId="0" fontId="49" fillId="21" borderId="9" xfId="0" applyFont="1" applyFill="1" applyBorder="1" applyAlignment="1">
      <alignment horizontal="center" vertical="center" wrapText="1"/>
    </xf>
    <xf numFmtId="0" fontId="49" fillId="21" borderId="50" xfId="0" applyFont="1" applyFill="1" applyBorder="1" applyAlignment="1">
      <alignment horizontal="center" vertical="center"/>
    </xf>
    <xf numFmtId="0" fontId="46" fillId="21" borderId="14" xfId="0" applyFont="1" applyFill="1" applyBorder="1" applyAlignment="1">
      <alignment wrapText="1"/>
    </xf>
    <xf numFmtId="164" fontId="46" fillId="21" borderId="9" xfId="1" applyNumberFormat="1" applyFont="1" applyFill="1" applyBorder="1"/>
    <xf numFmtId="164" fontId="46" fillId="21" borderId="50" xfId="1" applyNumberFormat="1" applyFont="1" applyFill="1" applyBorder="1"/>
    <xf numFmtId="42" fontId="46" fillId="21" borderId="0" xfId="0" applyNumberFormat="1" applyFont="1" applyFill="1" applyBorder="1"/>
    <xf numFmtId="42" fontId="46" fillId="21" borderId="13" xfId="0" applyNumberFormat="1" applyFont="1" applyFill="1" applyBorder="1"/>
    <xf numFmtId="0" fontId="46" fillId="21" borderId="47" xfId="0" applyFont="1" applyFill="1" applyBorder="1"/>
    <xf numFmtId="42" fontId="46" fillId="21" borderId="2" xfId="0" applyNumberFormat="1" applyFont="1" applyFill="1" applyBorder="1"/>
    <xf numFmtId="42" fontId="46" fillId="21" borderId="19" xfId="0" applyNumberFormat="1" applyFont="1" applyFill="1" applyBorder="1"/>
    <xf numFmtId="164" fontId="49" fillId="21" borderId="2" xfId="1" applyNumberFormat="1" applyFont="1" applyFill="1" applyBorder="1"/>
    <xf numFmtId="42" fontId="49" fillId="21" borderId="19" xfId="0" applyNumberFormat="1" applyFont="1" applyFill="1" applyBorder="1"/>
    <xf numFmtId="0" fontId="3" fillId="21" borderId="14" xfId="38578" applyFont="1" applyFill="1" applyBorder="1" applyAlignment="1">
      <alignment wrapText="1"/>
    </xf>
    <xf numFmtId="0" fontId="49" fillId="21" borderId="14" xfId="0" applyFont="1" applyFill="1" applyBorder="1"/>
    <xf numFmtId="42" fontId="49" fillId="21" borderId="13" xfId="0" applyNumberFormat="1" applyFont="1" applyFill="1" applyBorder="1" applyAlignment="1">
      <alignment horizontal="center" wrapText="1"/>
    </xf>
    <xf numFmtId="42" fontId="46" fillId="21" borderId="34" xfId="0" applyNumberFormat="1" applyFont="1" applyFill="1" applyBorder="1"/>
    <xf numFmtId="164" fontId="46" fillId="21" borderId="13" xfId="1" applyNumberFormat="1" applyFont="1" applyFill="1" applyBorder="1"/>
    <xf numFmtId="42" fontId="49" fillId="21" borderId="19" xfId="0" applyNumberFormat="1" applyFont="1" applyFill="1" applyBorder="1" applyAlignment="1">
      <alignment horizontal="center" wrapText="1"/>
    </xf>
    <xf numFmtId="0" fontId="0" fillId="21" borderId="0" xfId="0" applyFill="1" applyBorder="1"/>
    <xf numFmtId="38" fontId="46" fillId="21" borderId="13" xfId="0" applyNumberFormat="1" applyFont="1" applyFill="1" applyBorder="1"/>
    <xf numFmtId="0" fontId="0" fillId="21" borderId="6" xfId="0" applyFill="1" applyBorder="1"/>
    <xf numFmtId="0" fontId="0" fillId="21" borderId="11" xfId="0" applyFill="1" applyBorder="1"/>
    <xf numFmtId="0" fontId="54" fillId="21" borderId="4" xfId="0" applyFont="1" applyFill="1" applyBorder="1" applyAlignment="1">
      <alignment horizontal="center"/>
    </xf>
    <xf numFmtId="0" fontId="71" fillId="21" borderId="4" xfId="0" applyFont="1" applyFill="1" applyBorder="1" applyAlignment="1">
      <alignment horizontal="left"/>
    </xf>
    <xf numFmtId="5" fontId="57" fillId="21" borderId="4" xfId="0" applyNumberFormat="1" applyFont="1" applyFill="1" applyBorder="1"/>
    <xf numFmtId="0" fontId="57" fillId="21" borderId="4" xfId="0" applyFont="1" applyFill="1" applyBorder="1"/>
    <xf numFmtId="0" fontId="53" fillId="21" borderId="4" xfId="0" applyFont="1" applyFill="1" applyBorder="1"/>
    <xf numFmtId="0" fontId="3" fillId="21" borderId="0" xfId="38578" applyFont="1" applyFill="1" applyBorder="1" applyAlignment="1">
      <alignment wrapText="1"/>
    </xf>
    <xf numFmtId="37" fontId="3" fillId="21" borderId="31" xfId="38578" applyNumberFormat="1" applyFont="1" applyFill="1" applyBorder="1"/>
    <xf numFmtId="37" fontId="3" fillId="21" borderId="28" xfId="38578" applyNumberFormat="1" applyFont="1" applyFill="1" applyBorder="1"/>
    <xf numFmtId="37" fontId="3" fillId="21" borderId="57" xfId="38578" applyNumberFormat="1" applyFont="1" applyFill="1" applyBorder="1"/>
    <xf numFmtId="37" fontId="3" fillId="21" borderId="24" xfId="38578" applyNumberFormat="1" applyFont="1" applyFill="1" applyBorder="1" applyAlignment="1">
      <alignment horizontal="right"/>
    </xf>
    <xf numFmtId="0" fontId="49" fillId="21" borderId="9" xfId="0" applyFont="1" applyFill="1" applyBorder="1" applyAlignment="1">
      <alignment wrapText="1"/>
    </xf>
    <xf numFmtId="0" fontId="46" fillId="21" borderId="0" xfId="0" applyFont="1" applyFill="1" applyBorder="1" applyAlignment="1">
      <alignment wrapText="1"/>
    </xf>
    <xf numFmtId="0" fontId="49" fillId="21" borderId="0" xfId="0" applyFont="1" applyFill="1" applyBorder="1"/>
    <xf numFmtId="5" fontId="46" fillId="21" borderId="0" xfId="0" applyNumberFormat="1" applyFont="1" applyFill="1" applyBorder="1"/>
    <xf numFmtId="167" fontId="46" fillId="21" borderId="39" xfId="2" applyNumberFormat="1" applyFont="1" applyFill="1" applyBorder="1"/>
    <xf numFmtId="167" fontId="46" fillId="21" borderId="0" xfId="2" applyNumberFormat="1" applyFont="1" applyFill="1" applyBorder="1"/>
    <xf numFmtId="167" fontId="49" fillId="21" borderId="2" xfId="2" applyNumberFormat="1" applyFont="1" applyFill="1" applyBorder="1" applyAlignment="1">
      <alignment horizontal="right" wrapText="1"/>
    </xf>
    <xf numFmtId="167" fontId="49" fillId="21" borderId="0" xfId="2" applyNumberFormat="1" applyFont="1" applyFill="1" applyBorder="1" applyAlignment="1">
      <alignment horizontal="right" wrapText="1"/>
    </xf>
    <xf numFmtId="42" fontId="46" fillId="21" borderId="4" xfId="0" applyNumberFormat="1" applyFont="1" applyFill="1" applyBorder="1"/>
    <xf numFmtId="167" fontId="46" fillId="21" borderId="4" xfId="2" applyNumberFormat="1" applyFont="1" applyFill="1" applyBorder="1"/>
    <xf numFmtId="9" fontId="49" fillId="21" borderId="17" xfId="3" applyFont="1" applyFill="1" applyBorder="1" applyAlignment="1">
      <alignment horizontal="center" vertical="center"/>
    </xf>
    <xf numFmtId="9" fontId="49" fillId="21" borderId="9" xfId="3" applyFont="1" applyFill="1" applyBorder="1" applyAlignment="1">
      <alignment horizontal="center" vertical="center" wrapText="1"/>
    </xf>
    <xf numFmtId="9" fontId="46" fillId="21" borderId="0" xfId="3" applyFont="1" applyFill="1" applyBorder="1"/>
    <xf numFmtId="9" fontId="49" fillId="21" borderId="0" xfId="3" applyFont="1" applyFill="1" applyBorder="1" applyAlignment="1">
      <alignment horizontal="center" vertical="center" wrapText="1"/>
    </xf>
    <xf numFmtId="9" fontId="49" fillId="21" borderId="0" xfId="3" applyFont="1" applyFill="1" applyBorder="1" applyAlignment="1">
      <alignment horizontal="right" wrapText="1"/>
    </xf>
    <xf numFmtId="9" fontId="0" fillId="21" borderId="0" xfId="3" applyFont="1" applyFill="1" applyBorder="1"/>
    <xf numFmtId="9" fontId="0" fillId="0" borderId="0" xfId="3" applyFont="1"/>
    <xf numFmtId="9" fontId="46" fillId="21" borderId="2" xfId="3" applyFont="1" applyFill="1" applyBorder="1"/>
    <xf numFmtId="9" fontId="46" fillId="21" borderId="62" xfId="3" applyFont="1" applyFill="1" applyBorder="1"/>
    <xf numFmtId="9" fontId="49" fillId="21" borderId="2" xfId="3" applyFont="1" applyFill="1" applyBorder="1"/>
    <xf numFmtId="9" fontId="46" fillId="21" borderId="4" xfId="3" applyFont="1" applyFill="1" applyBorder="1"/>
    <xf numFmtId="9" fontId="46" fillId="21" borderId="39" xfId="3" applyFont="1" applyFill="1" applyBorder="1"/>
    <xf numFmtId="9" fontId="49" fillId="21" borderId="2" xfId="3" applyFont="1" applyFill="1" applyBorder="1" applyAlignment="1">
      <alignment horizontal="right" wrapText="1"/>
    </xf>
    <xf numFmtId="0" fontId="3" fillId="21" borderId="0" xfId="38578" applyFont="1" applyFill="1" applyBorder="1" applyAlignment="1">
      <alignment horizontal="left"/>
    </xf>
    <xf numFmtId="0" fontId="3" fillId="21" borderId="0" xfId="38578" applyNumberFormat="1" applyFont="1" applyFill="1" applyBorder="1" applyAlignment="1">
      <alignment horizontal="left"/>
    </xf>
    <xf numFmtId="0" fontId="0" fillId="21" borderId="17" xfId="0" applyFill="1" applyBorder="1"/>
    <xf numFmtId="0" fontId="0" fillId="21" borderId="16" xfId="0" applyFill="1" applyBorder="1"/>
    <xf numFmtId="0" fontId="0" fillId="21" borderId="13" xfId="0" applyFill="1" applyBorder="1"/>
    <xf numFmtId="0" fontId="3" fillId="21" borderId="14" xfId="38578" applyFont="1" applyFill="1" applyBorder="1" applyAlignment="1">
      <alignment horizontal="left"/>
    </xf>
    <xf numFmtId="0" fontId="3" fillId="21" borderId="60" xfId="38578" applyFont="1" applyFill="1" applyBorder="1" applyAlignment="1">
      <alignment horizontal="left"/>
    </xf>
    <xf numFmtId="0" fontId="53" fillId="0" borderId="53" xfId="0" applyFont="1" applyFill="1" applyBorder="1" applyAlignment="1">
      <alignment horizontal="left" vertical="top"/>
    </xf>
    <xf numFmtId="0" fontId="67" fillId="0" borderId="14" xfId="0" applyFont="1" applyFill="1" applyBorder="1" applyAlignment="1">
      <alignment horizontal="left" vertical="top"/>
    </xf>
    <xf numFmtId="0" fontId="67" fillId="0" borderId="0" xfId="0" applyFont="1" applyFill="1" applyBorder="1" applyAlignment="1">
      <alignment horizontal="left" vertical="top"/>
    </xf>
    <xf numFmtId="0" fontId="46" fillId="0" borderId="5" xfId="0" applyFont="1" applyFill="1" applyBorder="1"/>
    <xf numFmtId="0" fontId="3" fillId="0" borderId="14" xfId="38578" applyFont="1" applyFill="1" applyBorder="1" applyAlignment="1">
      <alignment horizontal="left"/>
    </xf>
    <xf numFmtId="167" fontId="3" fillId="21" borderId="0" xfId="2" applyNumberFormat="1" applyFont="1" applyFill="1" applyBorder="1"/>
    <xf numFmtId="0" fontId="72" fillId="21" borderId="0" xfId="42329" applyFill="1" applyAlignment="1">
      <alignment horizontal="left"/>
    </xf>
    <xf numFmtId="0" fontId="2" fillId="21" borderId="0" xfId="0" applyFont="1" applyFill="1" applyBorder="1" applyAlignment="1">
      <alignment horizontal="center"/>
    </xf>
    <xf numFmtId="0" fontId="3" fillId="21" borderId="0" xfId="38578" applyFont="1" applyFill="1" applyBorder="1"/>
    <xf numFmtId="0" fontId="72" fillId="21" borderId="0" xfId="42329" applyFill="1" applyAlignment="1">
      <alignment horizontal="left"/>
    </xf>
    <xf numFmtId="0" fontId="59" fillId="21" borderId="0" xfId="0" applyFont="1" applyFill="1" applyAlignment="1">
      <alignment horizontal="center"/>
    </xf>
    <xf numFmtId="0" fontId="73" fillId="21" borderId="0" xfId="0" applyFont="1" applyFill="1" applyAlignment="1">
      <alignment horizontal="center"/>
    </xf>
    <xf numFmtId="0" fontId="2" fillId="21" borderId="0" xfId="0" applyFont="1" applyFill="1" applyBorder="1" applyAlignment="1">
      <alignment horizontal="center"/>
    </xf>
    <xf numFmtId="0" fontId="2" fillId="21" borderId="14" xfId="0" applyFont="1" applyFill="1" applyBorder="1" applyAlignment="1">
      <alignment horizontal="center"/>
    </xf>
    <xf numFmtId="0" fontId="2" fillId="21" borderId="13" xfId="0" applyFont="1" applyFill="1" applyBorder="1" applyAlignment="1">
      <alignment horizontal="center"/>
    </xf>
    <xf numFmtId="0" fontId="2" fillId="21" borderId="12" xfId="0" applyFont="1" applyFill="1" applyBorder="1" applyAlignment="1">
      <alignment horizontal="center"/>
    </xf>
    <xf numFmtId="0" fontId="2" fillId="21" borderId="6" xfId="0" applyFont="1" applyFill="1" applyBorder="1" applyAlignment="1">
      <alignment horizontal="center"/>
    </xf>
    <xf numFmtId="0" fontId="2" fillId="21" borderId="11" xfId="0" applyFont="1" applyFill="1" applyBorder="1" applyAlignment="1">
      <alignment horizontal="center"/>
    </xf>
    <xf numFmtId="0" fontId="46" fillId="21" borderId="51" xfId="0" applyFont="1" applyFill="1" applyBorder="1" applyAlignment="1">
      <alignment horizontal="left" wrapText="1"/>
    </xf>
    <xf numFmtId="0" fontId="46" fillId="21" borderId="39" xfId="0" applyFont="1" applyFill="1" applyBorder="1" applyAlignment="1">
      <alignment horizontal="left" wrapText="1"/>
    </xf>
    <xf numFmtId="0" fontId="46" fillId="21" borderId="53" xfId="0" applyFont="1" applyFill="1" applyBorder="1" applyAlignment="1">
      <alignment horizontal="left" wrapText="1"/>
    </xf>
    <xf numFmtId="0" fontId="46" fillId="21" borderId="4" xfId="0" applyFont="1" applyFill="1" applyBorder="1" applyAlignment="1">
      <alignment horizontal="left" wrapText="1"/>
    </xf>
    <xf numFmtId="0" fontId="46" fillId="21" borderId="14" xfId="0" applyFont="1" applyFill="1" applyBorder="1" applyAlignment="1">
      <alignment horizontal="left" wrapText="1"/>
    </xf>
    <xf numFmtId="0" fontId="46" fillId="21" borderId="0" xfId="0" applyFont="1" applyFill="1" applyBorder="1" applyAlignment="1">
      <alignment horizontal="left" wrapText="1"/>
    </xf>
    <xf numFmtId="0" fontId="46" fillId="21" borderId="47" xfId="0" applyFont="1" applyFill="1" applyBorder="1" applyAlignment="1">
      <alignment horizontal="left" wrapText="1"/>
    </xf>
    <xf numFmtId="0" fontId="46" fillId="21" borderId="2" xfId="0" applyFont="1" applyFill="1" applyBorder="1" applyAlignment="1">
      <alignment horizontal="left" wrapText="1"/>
    </xf>
    <xf numFmtId="0" fontId="46" fillId="21" borderId="51" xfId="0" applyFont="1" applyFill="1" applyBorder="1" applyAlignment="1">
      <alignment horizontal="left"/>
    </xf>
    <xf numFmtId="0" fontId="46" fillId="21" borderId="39" xfId="0" applyFont="1" applyFill="1" applyBorder="1" applyAlignment="1">
      <alignment horizontal="left"/>
    </xf>
    <xf numFmtId="0" fontId="3" fillId="21" borderId="0" xfId="38578" applyFont="1" applyFill="1" applyBorder="1" applyAlignment="1">
      <alignment wrapText="1"/>
    </xf>
    <xf numFmtId="0" fontId="3" fillId="21" borderId="13" xfId="38578" applyFont="1" applyFill="1" applyBorder="1" applyAlignment="1">
      <alignment wrapText="1"/>
    </xf>
    <xf numFmtId="0" fontId="3" fillId="21" borderId="0" xfId="38578" applyFont="1" applyFill="1" applyBorder="1"/>
    <xf numFmtId="0" fontId="3" fillId="21" borderId="13" xfId="38578" applyFont="1" applyFill="1" applyBorder="1"/>
    <xf numFmtId="0" fontId="3" fillId="21" borderId="0" xfId="38578" applyFont="1" applyFill="1" applyBorder="1" applyAlignment="1"/>
    <xf numFmtId="0" fontId="3" fillId="21" borderId="13" xfId="38578" applyFont="1" applyFill="1" applyBorder="1" applyAlignment="1"/>
    <xf numFmtId="0" fontId="3" fillId="21" borderId="0" xfId="38578" applyFont="1" applyFill="1" applyBorder="1" applyAlignment="1">
      <alignment horizontal="left"/>
    </xf>
    <xf numFmtId="0" fontId="3" fillId="21" borderId="13" xfId="38578"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38"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61" fillId="0" borderId="27" xfId="0" applyFont="1" applyFill="1" applyBorder="1" applyAlignment="1">
      <alignment horizontal="center"/>
    </xf>
    <xf numFmtId="0" fontId="61" fillId="0" borderId="4" xfId="0" applyFont="1" applyFill="1" applyBorder="1" applyAlignment="1">
      <alignment horizontal="center"/>
    </xf>
    <xf numFmtId="0" fontId="61" fillId="0" borderId="52" xfId="0" applyFont="1" applyFill="1" applyBorder="1" applyAlignment="1">
      <alignment horizontal="center"/>
    </xf>
    <xf numFmtId="0" fontId="53" fillId="0" borderId="6" xfId="0" applyFont="1" applyFill="1" applyBorder="1" applyAlignment="1">
      <alignment horizontal="left" vertical="top" wrapText="1"/>
    </xf>
    <xf numFmtId="0" fontId="53" fillId="0" borderId="11" xfId="0" applyFont="1" applyFill="1" applyBorder="1" applyAlignment="1">
      <alignment horizontal="left" vertical="top" wrapText="1"/>
    </xf>
    <xf numFmtId="0" fontId="74" fillId="0" borderId="18" xfId="0" applyFont="1" applyFill="1" applyBorder="1" applyAlignment="1">
      <alignment horizontal="left" vertical="top"/>
    </xf>
    <xf numFmtId="0" fontId="74" fillId="0" borderId="14" xfId="0" applyFont="1" applyFill="1" applyBorder="1" applyAlignment="1">
      <alignment horizontal="left" vertical="top"/>
    </xf>
    <xf numFmtId="0" fontId="57" fillId="0" borderId="17" xfId="0" applyFont="1" applyFill="1" applyBorder="1" applyAlignment="1">
      <alignment horizontal="left" vertical="top" wrapText="1"/>
    </xf>
    <xf numFmtId="0" fontId="57" fillId="0" borderId="0" xfId="0" applyFont="1" applyFill="1" applyBorder="1" applyAlignment="1">
      <alignment horizontal="left" vertical="top" wrapText="1"/>
    </xf>
    <xf numFmtId="0" fontId="3" fillId="21" borderId="14" xfId="38578" applyFont="1" applyFill="1" applyBorder="1"/>
    <xf numFmtId="0" fontId="75" fillId="21" borderId="0" xfId="0" applyFont="1" applyFill="1" applyBorder="1" applyAlignment="1">
      <alignment horizontal="left"/>
    </xf>
  </cellXfs>
  <cellStyles count="42330">
    <cellStyle name="20% - Accent1 10" xfId="4"/>
    <cellStyle name="20% - Accent1 10 2" xfId="5"/>
    <cellStyle name="20% - Accent1 10 2 2" xfId="6"/>
    <cellStyle name="20% - Accent1 10 2 2 2" xfId="7"/>
    <cellStyle name="20% - Accent1 10 2 3" xfId="8"/>
    <cellStyle name="20% - Accent1 10 2 4" xfId="9"/>
    <cellStyle name="20% - Accent1 10 2 5" xfId="10"/>
    <cellStyle name="20% - Accent1 10 3" xfId="11"/>
    <cellStyle name="20% - Accent1 10 3 2" xfId="12"/>
    <cellStyle name="20% - Accent1 10 3 3" xfId="13"/>
    <cellStyle name="20% - Accent1 10 3 4" xfId="14"/>
    <cellStyle name="20% - Accent1 10 4" xfId="15"/>
    <cellStyle name="20% - Accent1 10 4 2" xfId="16"/>
    <cellStyle name="20% - Accent1 10 5" xfId="17"/>
    <cellStyle name="20% - Accent1 10 6" xfId="18"/>
    <cellStyle name="20% - Accent1 10 7" xfId="19"/>
    <cellStyle name="20% - Accent1 10 8" xfId="20"/>
    <cellStyle name="20% - Accent1 11" xfId="21"/>
    <cellStyle name="20% - Accent1 11 2" xfId="22"/>
    <cellStyle name="20% - Accent1 11 2 2" xfId="23"/>
    <cellStyle name="20% - Accent1 11 2 2 2" xfId="24"/>
    <cellStyle name="20% - Accent1 11 2 3" xfId="25"/>
    <cellStyle name="20% - Accent1 11 2 4" xfId="26"/>
    <cellStyle name="20% - Accent1 11 2 5" xfId="27"/>
    <cellStyle name="20% - Accent1 11 3" xfId="28"/>
    <cellStyle name="20% - Accent1 11 3 2" xfId="29"/>
    <cellStyle name="20% - Accent1 11 3 3" xfId="30"/>
    <cellStyle name="20% - Accent1 11 3 4" xfId="31"/>
    <cellStyle name="20% - Accent1 11 4" xfId="32"/>
    <cellStyle name="20% - Accent1 11 4 2" xfId="33"/>
    <cellStyle name="20% - Accent1 11 5" xfId="34"/>
    <cellStyle name="20% - Accent1 11 6" xfId="35"/>
    <cellStyle name="20% - Accent1 11 7" xfId="36"/>
    <cellStyle name="20% - Accent1 11 8" xfId="37"/>
    <cellStyle name="20% - Accent1 12" xfId="38"/>
    <cellStyle name="20% - Accent1 12 2" xfId="39"/>
    <cellStyle name="20% - Accent1 12 2 2" xfId="40"/>
    <cellStyle name="20% - Accent1 12 2 2 2" xfId="41"/>
    <cellStyle name="20% - Accent1 12 2 3" xfId="42"/>
    <cellStyle name="20% - Accent1 12 2 4" xfId="43"/>
    <cellStyle name="20% - Accent1 12 2 5" xfId="44"/>
    <cellStyle name="20% - Accent1 12 3" xfId="45"/>
    <cellStyle name="20% - Accent1 12 3 2" xfId="46"/>
    <cellStyle name="20% - Accent1 12 3 3" xfId="47"/>
    <cellStyle name="20% - Accent1 12 3 4" xfId="48"/>
    <cellStyle name="20% - Accent1 12 4" xfId="49"/>
    <cellStyle name="20% - Accent1 12 4 2" xfId="50"/>
    <cellStyle name="20% - Accent1 12 5" xfId="51"/>
    <cellStyle name="20% - Accent1 12 6" xfId="52"/>
    <cellStyle name="20% - Accent1 12 7" xfId="53"/>
    <cellStyle name="20% - Accent1 12 8" xfId="54"/>
    <cellStyle name="20% - Accent1 13" xfId="55"/>
    <cellStyle name="20% - Accent1 13 2" xfId="56"/>
    <cellStyle name="20% - Accent1 13 2 2" xfId="57"/>
    <cellStyle name="20% - Accent1 13 2 3" xfId="58"/>
    <cellStyle name="20% - Accent1 13 2 4" xfId="59"/>
    <cellStyle name="20% - Accent1 13 3" xfId="60"/>
    <cellStyle name="20% - Accent1 13 3 2" xfId="61"/>
    <cellStyle name="20% - Accent1 13 4" xfId="62"/>
    <cellStyle name="20% - Accent1 13 5" xfId="63"/>
    <cellStyle name="20% - Accent1 13 6" xfId="64"/>
    <cellStyle name="20% - Accent1 14" xfId="65"/>
    <cellStyle name="20% - Accent1 14 2" xfId="66"/>
    <cellStyle name="20% - Accent1 14 2 2" xfId="67"/>
    <cellStyle name="20% - Accent1 14 3" xfId="68"/>
    <cellStyle name="20% - Accent1 14 4" xfId="69"/>
    <cellStyle name="20% - Accent1 14 5" xfId="70"/>
    <cellStyle name="20% - Accent1 15" xfId="71"/>
    <cellStyle name="20% - Accent1 15 2" xfId="72"/>
    <cellStyle name="20% - Accent1 15 2 2" xfId="73"/>
    <cellStyle name="20% - Accent1 15 3" xfId="74"/>
    <cellStyle name="20% - Accent1 15 4" xfId="75"/>
    <cellStyle name="20% - Accent1 15 5" xfId="76"/>
    <cellStyle name="20% - Accent1 16" xfId="77"/>
    <cellStyle name="20% - Accent1 16 2" xfId="78"/>
    <cellStyle name="20% - Accent1 17" xfId="79"/>
    <cellStyle name="20% - Accent1 18" xfId="80"/>
    <cellStyle name="20% - Accent1 19" xfId="81"/>
    <cellStyle name="20% - Accent1 2" xfId="82"/>
    <cellStyle name="20% - Accent1 2 10" xfId="83"/>
    <cellStyle name="20% - Accent1 2 11" xfId="84"/>
    <cellStyle name="20% - Accent1 2 2" xfId="85"/>
    <cellStyle name="20% - Accent1 2 2 10" xfId="86"/>
    <cellStyle name="20% - Accent1 2 2 2" xfId="87"/>
    <cellStyle name="20% - Accent1 2 2 2 2" xfId="88"/>
    <cellStyle name="20% - Accent1 2 2 2 2 2" xfId="89"/>
    <cellStyle name="20% - Accent1 2 2 2 2 2 2" xfId="90"/>
    <cellStyle name="20% - Accent1 2 2 2 2 2 3" xfId="91"/>
    <cellStyle name="20% - Accent1 2 2 2 2 3" xfId="92"/>
    <cellStyle name="20% - Accent1 2 2 2 2 4" xfId="93"/>
    <cellStyle name="20% - Accent1 2 2 2 2 5" xfId="94"/>
    <cellStyle name="20% - Accent1 2 2 2 2 6" xfId="95"/>
    <cellStyle name="20% - Accent1 2 2 2 3" xfId="96"/>
    <cellStyle name="20% - Accent1 2 2 2 3 2" xfId="97"/>
    <cellStyle name="20% - Accent1 2 2 2 3 2 2" xfId="98"/>
    <cellStyle name="20% - Accent1 2 2 2 3 3" xfId="99"/>
    <cellStyle name="20% - Accent1 2 2 2 3 4" xfId="100"/>
    <cellStyle name="20% - Accent1 2 2 2 3 5" xfId="101"/>
    <cellStyle name="20% - Accent1 2 2 2 4" xfId="102"/>
    <cellStyle name="20% - Accent1 2 2 2 4 2" xfId="103"/>
    <cellStyle name="20% - Accent1 2 2 2 4 3" xfId="104"/>
    <cellStyle name="20% - Accent1 2 2 2 4 4" xfId="105"/>
    <cellStyle name="20% - Accent1 2 2 2 5" xfId="106"/>
    <cellStyle name="20% - Accent1 2 2 2 5 2" xfId="107"/>
    <cellStyle name="20% - Accent1 2 2 2 6" xfId="108"/>
    <cellStyle name="20% - Accent1 2 2 2 7" xfId="109"/>
    <cellStyle name="20% - Accent1 2 2 2 8" xfId="110"/>
    <cellStyle name="20% - Accent1 2 2 2 9" xfId="111"/>
    <cellStyle name="20% - Accent1 2 2 3" xfId="112"/>
    <cellStyle name="20% - Accent1 2 2 3 2" xfId="113"/>
    <cellStyle name="20% - Accent1 2 2 3 2 2" xfId="114"/>
    <cellStyle name="20% - Accent1 2 2 3 2 3" xfId="115"/>
    <cellStyle name="20% - Accent1 2 2 3 3" xfId="116"/>
    <cellStyle name="20% - Accent1 2 2 3 4" xfId="117"/>
    <cellStyle name="20% - Accent1 2 2 3 5" xfId="118"/>
    <cellStyle name="20% - Accent1 2 2 3 6" xfId="119"/>
    <cellStyle name="20% - Accent1 2 2 4" xfId="120"/>
    <cellStyle name="20% - Accent1 2 2 4 2" xfId="121"/>
    <cellStyle name="20% - Accent1 2 2 4 2 2" xfId="122"/>
    <cellStyle name="20% - Accent1 2 2 4 3" xfId="123"/>
    <cellStyle name="20% - Accent1 2 2 4 4" xfId="124"/>
    <cellStyle name="20% - Accent1 2 2 4 5" xfId="125"/>
    <cellStyle name="20% - Accent1 2 2 5" xfId="126"/>
    <cellStyle name="20% - Accent1 2 2 5 2" xfId="127"/>
    <cellStyle name="20% - Accent1 2 2 5 3" xfId="128"/>
    <cellStyle name="20% - Accent1 2 2 5 4" xfId="129"/>
    <cellStyle name="20% - Accent1 2 2 6" xfId="130"/>
    <cellStyle name="20% - Accent1 2 2 6 2" xfId="131"/>
    <cellStyle name="20% - Accent1 2 2 7" xfId="132"/>
    <cellStyle name="20% - Accent1 2 2 8" xfId="133"/>
    <cellStyle name="20% - Accent1 2 2 9" xfId="134"/>
    <cellStyle name="20% - Accent1 2 3" xfId="135"/>
    <cellStyle name="20% - Accent1 2 3 2" xfId="136"/>
    <cellStyle name="20% - Accent1 2 3 2 2" xfId="137"/>
    <cellStyle name="20% - Accent1 2 3 2 2 2" xfId="138"/>
    <cellStyle name="20% - Accent1 2 3 2 2 3" xfId="139"/>
    <cellStyle name="20% - Accent1 2 3 2 3" xfId="140"/>
    <cellStyle name="20% - Accent1 2 3 2 4" xfId="141"/>
    <cellStyle name="20% - Accent1 2 3 2 5" xfId="142"/>
    <cellStyle name="20% - Accent1 2 3 2 6" xfId="143"/>
    <cellStyle name="20% - Accent1 2 3 3" xfId="144"/>
    <cellStyle name="20% - Accent1 2 3 3 2" xfId="145"/>
    <cellStyle name="20% - Accent1 2 3 3 2 2" xfId="146"/>
    <cellStyle name="20% - Accent1 2 3 3 3" xfId="147"/>
    <cellStyle name="20% - Accent1 2 3 3 4" xfId="148"/>
    <cellStyle name="20% - Accent1 2 3 3 5" xfId="149"/>
    <cellStyle name="20% - Accent1 2 3 4" xfId="150"/>
    <cellStyle name="20% - Accent1 2 3 4 2" xfId="151"/>
    <cellStyle name="20% - Accent1 2 3 4 3" xfId="152"/>
    <cellStyle name="20% - Accent1 2 3 4 4" xfId="153"/>
    <cellStyle name="20% - Accent1 2 3 5" xfId="154"/>
    <cellStyle name="20% - Accent1 2 3 5 2" xfId="155"/>
    <cellStyle name="20% - Accent1 2 3 6" xfId="156"/>
    <cellStyle name="20% - Accent1 2 3 7" xfId="157"/>
    <cellStyle name="20% - Accent1 2 3 8" xfId="158"/>
    <cellStyle name="20% - Accent1 2 3 9" xfId="159"/>
    <cellStyle name="20% - Accent1 2 4" xfId="160"/>
    <cellStyle name="20% - Accent1 2 4 2" xfId="161"/>
    <cellStyle name="20% - Accent1 2 4 2 2" xfId="162"/>
    <cellStyle name="20% - Accent1 2 4 2 3" xfId="163"/>
    <cellStyle name="20% - Accent1 2 4 3" xfId="164"/>
    <cellStyle name="20% - Accent1 2 4 4" xfId="165"/>
    <cellStyle name="20% - Accent1 2 4 5" xfId="166"/>
    <cellStyle name="20% - Accent1 2 4 6" xfId="167"/>
    <cellStyle name="20% - Accent1 2 5" xfId="168"/>
    <cellStyle name="20% - Accent1 2 5 2" xfId="169"/>
    <cellStyle name="20% - Accent1 2 5 2 2" xfId="170"/>
    <cellStyle name="20% - Accent1 2 5 3" xfId="171"/>
    <cellStyle name="20% - Accent1 2 5 4" xfId="172"/>
    <cellStyle name="20% - Accent1 2 5 5" xfId="173"/>
    <cellStyle name="20% - Accent1 2 6" xfId="174"/>
    <cellStyle name="20% - Accent1 2 6 2" xfId="175"/>
    <cellStyle name="20% - Accent1 2 6 2 2" xfId="176"/>
    <cellStyle name="20% - Accent1 2 6 3" xfId="177"/>
    <cellStyle name="20% - Accent1 2 6 4" xfId="178"/>
    <cellStyle name="20% - Accent1 2 6 5" xfId="179"/>
    <cellStyle name="20% - Accent1 2 7" xfId="180"/>
    <cellStyle name="20% - Accent1 2 7 2" xfId="181"/>
    <cellStyle name="20% - Accent1 2 8" xfId="182"/>
    <cellStyle name="20% - Accent1 2 9" xfId="183"/>
    <cellStyle name="20% - Accent1 3" xfId="184"/>
    <cellStyle name="20% - Accent1 3 10" xfId="185"/>
    <cellStyle name="20% - Accent1 3 2" xfId="186"/>
    <cellStyle name="20% - Accent1 3 2 2" xfId="187"/>
    <cellStyle name="20% - Accent1 3 2 2 2" xfId="188"/>
    <cellStyle name="20% - Accent1 3 2 2 2 2" xfId="189"/>
    <cellStyle name="20% - Accent1 3 2 2 2 3" xfId="190"/>
    <cellStyle name="20% - Accent1 3 2 2 3" xfId="191"/>
    <cellStyle name="20% - Accent1 3 2 2 4" xfId="192"/>
    <cellStyle name="20% - Accent1 3 2 2 5" xfId="193"/>
    <cellStyle name="20% - Accent1 3 2 2 6" xfId="194"/>
    <cellStyle name="20% - Accent1 3 2 3" xfId="195"/>
    <cellStyle name="20% - Accent1 3 2 3 2" xfId="196"/>
    <cellStyle name="20% - Accent1 3 2 3 2 2" xfId="197"/>
    <cellStyle name="20% - Accent1 3 2 3 3" xfId="198"/>
    <cellStyle name="20% - Accent1 3 2 3 4" xfId="199"/>
    <cellStyle name="20% - Accent1 3 2 3 5" xfId="200"/>
    <cellStyle name="20% - Accent1 3 2 4" xfId="201"/>
    <cellStyle name="20% - Accent1 3 2 4 2" xfId="202"/>
    <cellStyle name="20% - Accent1 3 2 4 3" xfId="203"/>
    <cellStyle name="20% - Accent1 3 2 4 4" xfId="204"/>
    <cellStyle name="20% - Accent1 3 2 5" xfId="205"/>
    <cellStyle name="20% - Accent1 3 2 5 2" xfId="206"/>
    <cellStyle name="20% - Accent1 3 2 6" xfId="207"/>
    <cellStyle name="20% - Accent1 3 2 7" xfId="208"/>
    <cellStyle name="20% - Accent1 3 2 8" xfId="209"/>
    <cellStyle name="20% - Accent1 3 2 9" xfId="210"/>
    <cellStyle name="20% - Accent1 3 3" xfId="211"/>
    <cellStyle name="20% - Accent1 3 3 2" xfId="212"/>
    <cellStyle name="20% - Accent1 3 3 2 2" xfId="213"/>
    <cellStyle name="20% - Accent1 3 3 2 3" xfId="214"/>
    <cellStyle name="20% - Accent1 3 3 3" xfId="215"/>
    <cellStyle name="20% - Accent1 3 3 4" xfId="216"/>
    <cellStyle name="20% - Accent1 3 3 5" xfId="217"/>
    <cellStyle name="20% - Accent1 3 3 6" xfId="218"/>
    <cellStyle name="20% - Accent1 3 4" xfId="219"/>
    <cellStyle name="20% - Accent1 3 4 2" xfId="220"/>
    <cellStyle name="20% - Accent1 3 4 2 2" xfId="221"/>
    <cellStyle name="20% - Accent1 3 4 3" xfId="222"/>
    <cellStyle name="20% - Accent1 3 4 4" xfId="223"/>
    <cellStyle name="20% - Accent1 3 4 5" xfId="224"/>
    <cellStyle name="20% - Accent1 3 5" xfId="225"/>
    <cellStyle name="20% - Accent1 3 5 2" xfId="226"/>
    <cellStyle name="20% - Accent1 3 5 2 2" xfId="227"/>
    <cellStyle name="20% - Accent1 3 5 3" xfId="228"/>
    <cellStyle name="20% - Accent1 3 5 4" xfId="229"/>
    <cellStyle name="20% - Accent1 3 5 5" xfId="230"/>
    <cellStyle name="20% - Accent1 3 6" xfId="231"/>
    <cellStyle name="20% - Accent1 3 6 2" xfId="232"/>
    <cellStyle name="20% - Accent1 3 7" xfId="233"/>
    <cellStyle name="20% - Accent1 3 8" xfId="234"/>
    <cellStyle name="20% - Accent1 3 9" xfId="235"/>
    <cellStyle name="20% - Accent1 4" xfId="236"/>
    <cellStyle name="20% - Accent1 4 10" xfId="237"/>
    <cellStyle name="20% - Accent1 4 2" xfId="238"/>
    <cellStyle name="20% - Accent1 4 2 2" xfId="239"/>
    <cellStyle name="20% - Accent1 4 2 2 2" xfId="240"/>
    <cellStyle name="20% - Accent1 4 2 2 2 2" xfId="241"/>
    <cellStyle name="20% - Accent1 4 2 2 2 3" xfId="242"/>
    <cellStyle name="20% - Accent1 4 2 2 3" xfId="243"/>
    <cellStyle name="20% - Accent1 4 2 2 4" xfId="244"/>
    <cellStyle name="20% - Accent1 4 2 2 5" xfId="245"/>
    <cellStyle name="20% - Accent1 4 2 2 6" xfId="246"/>
    <cellStyle name="20% - Accent1 4 2 3" xfId="247"/>
    <cellStyle name="20% - Accent1 4 2 3 2" xfId="248"/>
    <cellStyle name="20% - Accent1 4 2 3 2 2" xfId="249"/>
    <cellStyle name="20% - Accent1 4 2 3 3" xfId="250"/>
    <cellStyle name="20% - Accent1 4 2 3 4" xfId="251"/>
    <cellStyle name="20% - Accent1 4 2 3 5" xfId="252"/>
    <cellStyle name="20% - Accent1 4 2 4" xfId="253"/>
    <cellStyle name="20% - Accent1 4 2 4 2" xfId="254"/>
    <cellStyle name="20% - Accent1 4 2 4 3" xfId="255"/>
    <cellStyle name="20% - Accent1 4 2 4 4" xfId="256"/>
    <cellStyle name="20% - Accent1 4 2 5" xfId="257"/>
    <cellStyle name="20% - Accent1 4 2 5 2" xfId="258"/>
    <cellStyle name="20% - Accent1 4 2 6" xfId="259"/>
    <cellStyle name="20% - Accent1 4 2 7" xfId="260"/>
    <cellStyle name="20% - Accent1 4 2 8" xfId="261"/>
    <cellStyle name="20% - Accent1 4 2 9" xfId="262"/>
    <cellStyle name="20% - Accent1 4 3" xfId="263"/>
    <cellStyle name="20% - Accent1 4 3 2" xfId="264"/>
    <cellStyle name="20% - Accent1 4 3 2 2" xfId="265"/>
    <cellStyle name="20% - Accent1 4 3 2 3" xfId="266"/>
    <cellStyle name="20% - Accent1 4 3 3" xfId="267"/>
    <cellStyle name="20% - Accent1 4 3 4" xfId="268"/>
    <cellStyle name="20% - Accent1 4 3 5" xfId="269"/>
    <cellStyle name="20% - Accent1 4 3 6" xfId="270"/>
    <cellStyle name="20% - Accent1 4 4" xfId="271"/>
    <cellStyle name="20% - Accent1 4 4 2" xfId="272"/>
    <cellStyle name="20% - Accent1 4 4 2 2" xfId="273"/>
    <cellStyle name="20% - Accent1 4 4 3" xfId="274"/>
    <cellStyle name="20% - Accent1 4 4 4" xfId="275"/>
    <cellStyle name="20% - Accent1 4 4 5" xfId="276"/>
    <cellStyle name="20% - Accent1 4 5" xfId="277"/>
    <cellStyle name="20% - Accent1 4 5 2" xfId="278"/>
    <cellStyle name="20% - Accent1 4 5 2 2" xfId="279"/>
    <cellStyle name="20% - Accent1 4 5 3" xfId="280"/>
    <cellStyle name="20% - Accent1 4 5 4" xfId="281"/>
    <cellStyle name="20% - Accent1 4 5 5" xfId="282"/>
    <cellStyle name="20% - Accent1 4 6" xfId="283"/>
    <cellStyle name="20% - Accent1 4 6 2" xfId="284"/>
    <cellStyle name="20% - Accent1 4 7" xfId="285"/>
    <cellStyle name="20% - Accent1 4 8" xfId="286"/>
    <cellStyle name="20% - Accent1 4 9" xfId="287"/>
    <cellStyle name="20% - Accent1 5" xfId="288"/>
    <cellStyle name="20% - Accent1 5 10" xfId="289"/>
    <cellStyle name="20% - Accent1 5 2" xfId="290"/>
    <cellStyle name="20% - Accent1 5 2 2" xfId="291"/>
    <cellStyle name="20% - Accent1 5 2 2 2" xfId="292"/>
    <cellStyle name="20% - Accent1 5 2 2 2 2" xfId="293"/>
    <cellStyle name="20% - Accent1 5 2 2 2 3" xfId="294"/>
    <cellStyle name="20% - Accent1 5 2 2 3" xfId="295"/>
    <cellStyle name="20% - Accent1 5 2 2 4" xfId="296"/>
    <cellStyle name="20% - Accent1 5 2 2 5" xfId="297"/>
    <cellStyle name="20% - Accent1 5 2 2 6" xfId="298"/>
    <cellStyle name="20% - Accent1 5 2 3" xfId="299"/>
    <cellStyle name="20% - Accent1 5 2 3 2" xfId="300"/>
    <cellStyle name="20% - Accent1 5 2 3 2 2" xfId="301"/>
    <cellStyle name="20% - Accent1 5 2 3 3" xfId="302"/>
    <cellStyle name="20% - Accent1 5 2 3 4" xfId="303"/>
    <cellStyle name="20% - Accent1 5 2 3 5" xfId="304"/>
    <cellStyle name="20% - Accent1 5 2 4" xfId="305"/>
    <cellStyle name="20% - Accent1 5 2 4 2" xfId="306"/>
    <cellStyle name="20% - Accent1 5 2 4 3" xfId="307"/>
    <cellStyle name="20% - Accent1 5 2 4 4" xfId="308"/>
    <cellStyle name="20% - Accent1 5 2 5" xfId="309"/>
    <cellStyle name="20% - Accent1 5 2 5 2" xfId="310"/>
    <cellStyle name="20% - Accent1 5 2 6" xfId="311"/>
    <cellStyle name="20% - Accent1 5 2 7" xfId="312"/>
    <cellStyle name="20% - Accent1 5 2 8" xfId="313"/>
    <cellStyle name="20% - Accent1 5 2 9" xfId="314"/>
    <cellStyle name="20% - Accent1 5 3" xfId="315"/>
    <cellStyle name="20% - Accent1 5 3 2" xfId="316"/>
    <cellStyle name="20% - Accent1 5 3 2 2" xfId="317"/>
    <cellStyle name="20% - Accent1 5 3 2 3" xfId="318"/>
    <cellStyle name="20% - Accent1 5 3 3" xfId="319"/>
    <cellStyle name="20% - Accent1 5 3 4" xfId="320"/>
    <cellStyle name="20% - Accent1 5 3 5" xfId="321"/>
    <cellStyle name="20% - Accent1 5 3 6" xfId="322"/>
    <cellStyle name="20% - Accent1 5 4" xfId="323"/>
    <cellStyle name="20% - Accent1 5 4 2" xfId="324"/>
    <cellStyle name="20% - Accent1 5 4 2 2" xfId="325"/>
    <cellStyle name="20% - Accent1 5 4 3" xfId="326"/>
    <cellStyle name="20% - Accent1 5 4 4" xfId="327"/>
    <cellStyle name="20% - Accent1 5 4 5" xfId="328"/>
    <cellStyle name="20% - Accent1 5 5" xfId="329"/>
    <cellStyle name="20% - Accent1 5 5 2" xfId="330"/>
    <cellStyle name="20% - Accent1 5 5 3" xfId="331"/>
    <cellStyle name="20% - Accent1 5 5 4" xfId="332"/>
    <cellStyle name="20% - Accent1 5 6" xfId="333"/>
    <cellStyle name="20% - Accent1 5 6 2" xfId="334"/>
    <cellStyle name="20% - Accent1 5 7" xfId="335"/>
    <cellStyle name="20% - Accent1 5 8" xfId="336"/>
    <cellStyle name="20% - Accent1 5 9" xfId="337"/>
    <cellStyle name="20% - Accent1 6" xfId="338"/>
    <cellStyle name="20% - Accent1 6 10" xfId="339"/>
    <cellStyle name="20% - Accent1 6 2" xfId="340"/>
    <cellStyle name="20% - Accent1 6 2 2" xfId="341"/>
    <cellStyle name="20% - Accent1 6 2 2 2" xfId="342"/>
    <cellStyle name="20% - Accent1 6 2 2 2 2" xfId="343"/>
    <cellStyle name="20% - Accent1 6 2 2 2 3" xfId="344"/>
    <cellStyle name="20% - Accent1 6 2 2 3" xfId="345"/>
    <cellStyle name="20% - Accent1 6 2 2 4" xfId="346"/>
    <cellStyle name="20% - Accent1 6 2 2 5" xfId="347"/>
    <cellStyle name="20% - Accent1 6 2 2 6" xfId="348"/>
    <cellStyle name="20% - Accent1 6 2 3" xfId="349"/>
    <cellStyle name="20% - Accent1 6 2 3 2" xfId="350"/>
    <cellStyle name="20% - Accent1 6 2 3 2 2" xfId="351"/>
    <cellStyle name="20% - Accent1 6 2 3 3" xfId="352"/>
    <cellStyle name="20% - Accent1 6 2 3 4" xfId="353"/>
    <cellStyle name="20% - Accent1 6 2 3 5" xfId="354"/>
    <cellStyle name="20% - Accent1 6 2 4" xfId="355"/>
    <cellStyle name="20% - Accent1 6 2 4 2" xfId="356"/>
    <cellStyle name="20% - Accent1 6 2 4 3" xfId="357"/>
    <cellStyle name="20% - Accent1 6 2 4 4" xfId="358"/>
    <cellStyle name="20% - Accent1 6 2 5" xfId="359"/>
    <cellStyle name="20% - Accent1 6 2 5 2" xfId="360"/>
    <cellStyle name="20% - Accent1 6 2 6" xfId="361"/>
    <cellStyle name="20% - Accent1 6 2 7" xfId="362"/>
    <cellStyle name="20% - Accent1 6 2 8" xfId="363"/>
    <cellStyle name="20% - Accent1 6 2 9" xfId="364"/>
    <cellStyle name="20% - Accent1 6 3" xfId="365"/>
    <cellStyle name="20% - Accent1 6 3 2" xfId="366"/>
    <cellStyle name="20% - Accent1 6 3 2 2" xfId="367"/>
    <cellStyle name="20% - Accent1 6 3 2 3" xfId="368"/>
    <cellStyle name="20% - Accent1 6 3 3" xfId="369"/>
    <cellStyle name="20% - Accent1 6 3 4" xfId="370"/>
    <cellStyle name="20% - Accent1 6 3 5" xfId="371"/>
    <cellStyle name="20% - Accent1 6 3 6" xfId="372"/>
    <cellStyle name="20% - Accent1 6 4" xfId="373"/>
    <cellStyle name="20% - Accent1 6 4 2" xfId="374"/>
    <cellStyle name="20% - Accent1 6 4 2 2" xfId="375"/>
    <cellStyle name="20% - Accent1 6 4 3" xfId="376"/>
    <cellStyle name="20% - Accent1 6 4 4" xfId="377"/>
    <cellStyle name="20% - Accent1 6 4 5" xfId="378"/>
    <cellStyle name="20% - Accent1 6 5" xfId="379"/>
    <cellStyle name="20% - Accent1 6 5 2" xfId="380"/>
    <cellStyle name="20% - Accent1 6 5 3" xfId="381"/>
    <cellStyle name="20% - Accent1 6 5 4" xfId="382"/>
    <cellStyle name="20% - Accent1 6 6" xfId="383"/>
    <cellStyle name="20% - Accent1 6 6 2" xfId="384"/>
    <cellStyle name="20% - Accent1 6 7" xfId="385"/>
    <cellStyle name="20% - Accent1 6 8" xfId="386"/>
    <cellStyle name="20% - Accent1 6 9" xfId="387"/>
    <cellStyle name="20% - Accent1 7" xfId="388"/>
    <cellStyle name="20% - Accent1 7 2" xfId="389"/>
    <cellStyle name="20% - Accent1 7 2 2" xfId="390"/>
    <cellStyle name="20% - Accent1 7 2 2 2" xfId="391"/>
    <cellStyle name="20% - Accent1 7 2 2 3" xfId="392"/>
    <cellStyle name="20% - Accent1 7 2 3" xfId="393"/>
    <cellStyle name="20% - Accent1 7 2 4" xfId="394"/>
    <cellStyle name="20% - Accent1 7 2 5" xfId="395"/>
    <cellStyle name="20% - Accent1 7 2 6" xfId="396"/>
    <cellStyle name="20% - Accent1 7 3" xfId="397"/>
    <cellStyle name="20% - Accent1 7 3 2" xfId="398"/>
    <cellStyle name="20% - Accent1 7 3 2 2" xfId="399"/>
    <cellStyle name="20% - Accent1 7 3 3" xfId="400"/>
    <cellStyle name="20% - Accent1 7 3 4" xfId="401"/>
    <cellStyle name="20% - Accent1 7 3 5" xfId="402"/>
    <cellStyle name="20% - Accent1 7 4" xfId="403"/>
    <cellStyle name="20% - Accent1 7 4 2" xfId="404"/>
    <cellStyle name="20% - Accent1 7 4 3" xfId="405"/>
    <cellStyle name="20% - Accent1 7 4 4" xfId="406"/>
    <cellStyle name="20% - Accent1 7 5" xfId="407"/>
    <cellStyle name="20% - Accent1 7 5 2" xfId="408"/>
    <cellStyle name="20% - Accent1 7 6" xfId="409"/>
    <cellStyle name="20% - Accent1 7 7" xfId="410"/>
    <cellStyle name="20% - Accent1 7 8" xfId="411"/>
    <cellStyle name="20% - Accent1 7 9" xfId="412"/>
    <cellStyle name="20% - Accent1 8" xfId="413"/>
    <cellStyle name="20% - Accent1 8 2" xfId="414"/>
    <cellStyle name="20% - Accent1 8 2 2" xfId="415"/>
    <cellStyle name="20% - Accent1 8 2 2 2" xfId="416"/>
    <cellStyle name="20% - Accent1 8 2 2 3" xfId="417"/>
    <cellStyle name="20% - Accent1 8 2 3" xfId="418"/>
    <cellStyle name="20% - Accent1 8 2 4" xfId="419"/>
    <cellStyle name="20% - Accent1 8 2 5" xfId="420"/>
    <cellStyle name="20% - Accent1 8 2 6" xfId="421"/>
    <cellStyle name="20% - Accent1 8 3" xfId="422"/>
    <cellStyle name="20% - Accent1 8 3 2" xfId="423"/>
    <cellStyle name="20% - Accent1 8 3 2 2" xfId="424"/>
    <cellStyle name="20% - Accent1 8 3 3" xfId="425"/>
    <cellStyle name="20% - Accent1 8 3 4" xfId="426"/>
    <cellStyle name="20% - Accent1 8 3 5" xfId="427"/>
    <cellStyle name="20% - Accent1 8 4" xfId="428"/>
    <cellStyle name="20% - Accent1 8 4 2" xfId="429"/>
    <cellStyle name="20% - Accent1 8 4 3" xfId="430"/>
    <cellStyle name="20% - Accent1 8 4 4" xfId="431"/>
    <cellStyle name="20% - Accent1 8 5" xfId="432"/>
    <cellStyle name="20% - Accent1 8 5 2" xfId="433"/>
    <cellStyle name="20% - Accent1 8 6" xfId="434"/>
    <cellStyle name="20% - Accent1 8 7" xfId="435"/>
    <cellStyle name="20% - Accent1 8 8" xfId="436"/>
    <cellStyle name="20% - Accent1 8 9" xfId="437"/>
    <cellStyle name="20% - Accent1 9" xfId="438"/>
    <cellStyle name="20% - Accent1 9 2" xfId="439"/>
    <cellStyle name="20% - Accent1 9 2 2" xfId="440"/>
    <cellStyle name="20% - Accent1 9 2 2 2" xfId="441"/>
    <cellStyle name="20% - Accent1 9 2 3" xfId="442"/>
    <cellStyle name="20% - Accent1 9 2 4" xfId="443"/>
    <cellStyle name="20% - Accent1 9 2 5" xfId="444"/>
    <cellStyle name="20% - Accent1 9 3" xfId="445"/>
    <cellStyle name="20% - Accent1 9 3 2" xfId="446"/>
    <cellStyle name="20% - Accent1 9 3 3" xfId="447"/>
    <cellStyle name="20% - Accent1 9 3 4" xfId="448"/>
    <cellStyle name="20% - Accent1 9 4" xfId="449"/>
    <cellStyle name="20% - Accent1 9 4 2" xfId="450"/>
    <cellStyle name="20% - Accent1 9 5" xfId="451"/>
    <cellStyle name="20% - Accent1 9 6" xfId="452"/>
    <cellStyle name="20% - Accent1 9 7" xfId="453"/>
    <cellStyle name="20% - Accent1 9 8" xfId="454"/>
    <cellStyle name="20% - Accent2 10" xfId="455"/>
    <cellStyle name="20% - Accent2 10 2" xfId="456"/>
    <cellStyle name="20% - Accent2 10 2 2" xfId="457"/>
    <cellStyle name="20% - Accent2 10 2 2 2" xfId="458"/>
    <cellStyle name="20% - Accent2 10 2 3" xfId="459"/>
    <cellStyle name="20% - Accent2 10 2 4" xfId="460"/>
    <cellStyle name="20% - Accent2 10 2 5" xfId="461"/>
    <cellStyle name="20% - Accent2 10 3" xfId="462"/>
    <cellStyle name="20% - Accent2 10 3 2" xfId="463"/>
    <cellStyle name="20% - Accent2 10 3 3" xfId="464"/>
    <cellStyle name="20% - Accent2 10 3 4" xfId="465"/>
    <cellStyle name="20% - Accent2 10 4" xfId="466"/>
    <cellStyle name="20% - Accent2 10 4 2" xfId="467"/>
    <cellStyle name="20% - Accent2 10 5" xfId="468"/>
    <cellStyle name="20% - Accent2 10 6" xfId="469"/>
    <cellStyle name="20% - Accent2 10 7" xfId="470"/>
    <cellStyle name="20% - Accent2 10 8" xfId="471"/>
    <cellStyle name="20% - Accent2 11" xfId="472"/>
    <cellStyle name="20% - Accent2 11 2" xfId="473"/>
    <cellStyle name="20% - Accent2 11 2 2" xfId="474"/>
    <cellStyle name="20% - Accent2 11 2 2 2" xfId="475"/>
    <cellStyle name="20% - Accent2 11 2 3" xfId="476"/>
    <cellStyle name="20% - Accent2 11 2 4" xfId="477"/>
    <cellStyle name="20% - Accent2 11 2 5" xfId="478"/>
    <cellStyle name="20% - Accent2 11 3" xfId="479"/>
    <cellStyle name="20% - Accent2 11 3 2" xfId="480"/>
    <cellStyle name="20% - Accent2 11 3 3" xfId="481"/>
    <cellStyle name="20% - Accent2 11 3 4" xfId="482"/>
    <cellStyle name="20% - Accent2 11 4" xfId="483"/>
    <cellStyle name="20% - Accent2 11 4 2" xfId="484"/>
    <cellStyle name="20% - Accent2 11 5" xfId="485"/>
    <cellStyle name="20% - Accent2 11 6" xfId="486"/>
    <cellStyle name="20% - Accent2 11 7" xfId="487"/>
    <cellStyle name="20% - Accent2 11 8" xfId="488"/>
    <cellStyle name="20% - Accent2 12" xfId="489"/>
    <cellStyle name="20% - Accent2 12 2" xfId="490"/>
    <cellStyle name="20% - Accent2 12 2 2" xfId="491"/>
    <cellStyle name="20% - Accent2 12 2 2 2" xfId="492"/>
    <cellStyle name="20% - Accent2 12 2 3" xfId="493"/>
    <cellStyle name="20% - Accent2 12 2 4" xfId="494"/>
    <cellStyle name="20% - Accent2 12 2 5" xfId="495"/>
    <cellStyle name="20% - Accent2 12 3" xfId="496"/>
    <cellStyle name="20% - Accent2 12 3 2" xfId="497"/>
    <cellStyle name="20% - Accent2 12 3 3" xfId="498"/>
    <cellStyle name="20% - Accent2 12 3 4" xfId="499"/>
    <cellStyle name="20% - Accent2 12 4" xfId="500"/>
    <cellStyle name="20% - Accent2 12 4 2" xfId="501"/>
    <cellStyle name="20% - Accent2 12 5" xfId="502"/>
    <cellStyle name="20% - Accent2 12 6" xfId="503"/>
    <cellStyle name="20% - Accent2 12 7" xfId="504"/>
    <cellStyle name="20% - Accent2 12 8" xfId="505"/>
    <cellStyle name="20% - Accent2 13" xfId="506"/>
    <cellStyle name="20% - Accent2 13 2" xfId="507"/>
    <cellStyle name="20% - Accent2 13 2 2" xfId="508"/>
    <cellStyle name="20% - Accent2 13 2 3" xfId="509"/>
    <cellStyle name="20% - Accent2 13 2 4" xfId="510"/>
    <cellStyle name="20% - Accent2 13 3" xfId="511"/>
    <cellStyle name="20% - Accent2 13 3 2" xfId="512"/>
    <cellStyle name="20% - Accent2 13 4" xfId="513"/>
    <cellStyle name="20% - Accent2 13 5" xfId="514"/>
    <cellStyle name="20% - Accent2 13 6" xfId="515"/>
    <cellStyle name="20% - Accent2 14" xfId="516"/>
    <cellStyle name="20% - Accent2 14 2" xfId="517"/>
    <cellStyle name="20% - Accent2 14 2 2" xfId="518"/>
    <cellStyle name="20% - Accent2 14 3" xfId="519"/>
    <cellStyle name="20% - Accent2 14 4" xfId="520"/>
    <cellStyle name="20% - Accent2 14 5" xfId="521"/>
    <cellStyle name="20% - Accent2 15" xfId="522"/>
    <cellStyle name="20% - Accent2 15 2" xfId="523"/>
    <cellStyle name="20% - Accent2 15 2 2" xfId="524"/>
    <cellStyle name="20% - Accent2 15 3" xfId="525"/>
    <cellStyle name="20% - Accent2 15 4" xfId="526"/>
    <cellStyle name="20% - Accent2 15 5" xfId="527"/>
    <cellStyle name="20% - Accent2 16" xfId="528"/>
    <cellStyle name="20% - Accent2 16 2" xfId="529"/>
    <cellStyle name="20% - Accent2 17" xfId="530"/>
    <cellStyle name="20% - Accent2 18" xfId="531"/>
    <cellStyle name="20% - Accent2 19" xfId="532"/>
    <cellStyle name="20% - Accent2 2" xfId="533"/>
    <cellStyle name="20% - Accent2 2 10" xfId="534"/>
    <cellStyle name="20% - Accent2 2 11" xfId="535"/>
    <cellStyle name="20% - Accent2 2 2" xfId="536"/>
    <cellStyle name="20% - Accent2 2 2 10" xfId="537"/>
    <cellStyle name="20% - Accent2 2 2 2" xfId="538"/>
    <cellStyle name="20% - Accent2 2 2 2 2" xfId="539"/>
    <cellStyle name="20% - Accent2 2 2 2 2 2" xfId="540"/>
    <cellStyle name="20% - Accent2 2 2 2 2 2 2" xfId="541"/>
    <cellStyle name="20% - Accent2 2 2 2 2 2 3" xfId="542"/>
    <cellStyle name="20% - Accent2 2 2 2 2 3" xfId="543"/>
    <cellStyle name="20% - Accent2 2 2 2 2 4" xfId="544"/>
    <cellStyle name="20% - Accent2 2 2 2 2 5" xfId="545"/>
    <cellStyle name="20% - Accent2 2 2 2 2 6" xfId="546"/>
    <cellStyle name="20% - Accent2 2 2 2 3" xfId="547"/>
    <cellStyle name="20% - Accent2 2 2 2 3 2" xfId="548"/>
    <cellStyle name="20% - Accent2 2 2 2 3 2 2" xfId="549"/>
    <cellStyle name="20% - Accent2 2 2 2 3 3" xfId="550"/>
    <cellStyle name="20% - Accent2 2 2 2 3 4" xfId="551"/>
    <cellStyle name="20% - Accent2 2 2 2 3 5" xfId="552"/>
    <cellStyle name="20% - Accent2 2 2 2 4" xfId="553"/>
    <cellStyle name="20% - Accent2 2 2 2 4 2" xfId="554"/>
    <cellStyle name="20% - Accent2 2 2 2 4 3" xfId="555"/>
    <cellStyle name="20% - Accent2 2 2 2 4 4" xfId="556"/>
    <cellStyle name="20% - Accent2 2 2 2 5" xfId="557"/>
    <cellStyle name="20% - Accent2 2 2 2 5 2" xfId="558"/>
    <cellStyle name="20% - Accent2 2 2 2 6" xfId="559"/>
    <cellStyle name="20% - Accent2 2 2 2 7" xfId="560"/>
    <cellStyle name="20% - Accent2 2 2 2 8" xfId="561"/>
    <cellStyle name="20% - Accent2 2 2 2 9" xfId="562"/>
    <cellStyle name="20% - Accent2 2 2 3" xfId="563"/>
    <cellStyle name="20% - Accent2 2 2 3 2" xfId="564"/>
    <cellStyle name="20% - Accent2 2 2 3 2 2" xfId="565"/>
    <cellStyle name="20% - Accent2 2 2 3 2 3" xfId="566"/>
    <cellStyle name="20% - Accent2 2 2 3 3" xfId="567"/>
    <cellStyle name="20% - Accent2 2 2 3 4" xfId="568"/>
    <cellStyle name="20% - Accent2 2 2 3 5" xfId="569"/>
    <cellStyle name="20% - Accent2 2 2 3 6" xfId="570"/>
    <cellStyle name="20% - Accent2 2 2 4" xfId="571"/>
    <cellStyle name="20% - Accent2 2 2 4 2" xfId="572"/>
    <cellStyle name="20% - Accent2 2 2 4 2 2" xfId="573"/>
    <cellStyle name="20% - Accent2 2 2 4 3" xfId="574"/>
    <cellStyle name="20% - Accent2 2 2 4 4" xfId="575"/>
    <cellStyle name="20% - Accent2 2 2 4 5" xfId="576"/>
    <cellStyle name="20% - Accent2 2 2 5" xfId="577"/>
    <cellStyle name="20% - Accent2 2 2 5 2" xfId="578"/>
    <cellStyle name="20% - Accent2 2 2 5 3" xfId="579"/>
    <cellStyle name="20% - Accent2 2 2 5 4" xfId="580"/>
    <cellStyle name="20% - Accent2 2 2 6" xfId="581"/>
    <cellStyle name="20% - Accent2 2 2 6 2" xfId="582"/>
    <cellStyle name="20% - Accent2 2 2 7" xfId="583"/>
    <cellStyle name="20% - Accent2 2 2 8" xfId="584"/>
    <cellStyle name="20% - Accent2 2 2 9" xfId="585"/>
    <cellStyle name="20% - Accent2 2 3" xfId="586"/>
    <cellStyle name="20% - Accent2 2 3 2" xfId="587"/>
    <cellStyle name="20% - Accent2 2 3 2 2" xfId="588"/>
    <cellStyle name="20% - Accent2 2 3 2 2 2" xfId="589"/>
    <cellStyle name="20% - Accent2 2 3 2 2 3" xfId="590"/>
    <cellStyle name="20% - Accent2 2 3 2 3" xfId="591"/>
    <cellStyle name="20% - Accent2 2 3 2 4" xfId="592"/>
    <cellStyle name="20% - Accent2 2 3 2 5" xfId="593"/>
    <cellStyle name="20% - Accent2 2 3 2 6" xfId="594"/>
    <cellStyle name="20% - Accent2 2 3 3" xfId="595"/>
    <cellStyle name="20% - Accent2 2 3 3 2" xfId="596"/>
    <cellStyle name="20% - Accent2 2 3 3 2 2" xfId="597"/>
    <cellStyle name="20% - Accent2 2 3 3 3" xfId="598"/>
    <cellStyle name="20% - Accent2 2 3 3 4" xfId="599"/>
    <cellStyle name="20% - Accent2 2 3 3 5" xfId="600"/>
    <cellStyle name="20% - Accent2 2 3 4" xfId="601"/>
    <cellStyle name="20% - Accent2 2 3 4 2" xfId="602"/>
    <cellStyle name="20% - Accent2 2 3 4 3" xfId="603"/>
    <cellStyle name="20% - Accent2 2 3 4 4" xfId="604"/>
    <cellStyle name="20% - Accent2 2 3 5" xfId="605"/>
    <cellStyle name="20% - Accent2 2 3 5 2" xfId="606"/>
    <cellStyle name="20% - Accent2 2 3 6" xfId="607"/>
    <cellStyle name="20% - Accent2 2 3 7" xfId="608"/>
    <cellStyle name="20% - Accent2 2 3 8" xfId="609"/>
    <cellStyle name="20% - Accent2 2 3 9" xfId="610"/>
    <cellStyle name="20% - Accent2 2 4" xfId="611"/>
    <cellStyle name="20% - Accent2 2 4 2" xfId="612"/>
    <cellStyle name="20% - Accent2 2 4 2 2" xfId="613"/>
    <cellStyle name="20% - Accent2 2 4 2 3" xfId="614"/>
    <cellStyle name="20% - Accent2 2 4 3" xfId="615"/>
    <cellStyle name="20% - Accent2 2 4 4" xfId="616"/>
    <cellStyle name="20% - Accent2 2 4 5" xfId="617"/>
    <cellStyle name="20% - Accent2 2 4 6" xfId="618"/>
    <cellStyle name="20% - Accent2 2 5" xfId="619"/>
    <cellStyle name="20% - Accent2 2 5 2" xfId="620"/>
    <cellStyle name="20% - Accent2 2 5 2 2" xfId="621"/>
    <cellStyle name="20% - Accent2 2 5 3" xfId="622"/>
    <cellStyle name="20% - Accent2 2 5 4" xfId="623"/>
    <cellStyle name="20% - Accent2 2 5 5" xfId="624"/>
    <cellStyle name="20% - Accent2 2 6" xfId="625"/>
    <cellStyle name="20% - Accent2 2 6 2" xfId="626"/>
    <cellStyle name="20% - Accent2 2 6 2 2" xfId="627"/>
    <cellStyle name="20% - Accent2 2 6 3" xfId="628"/>
    <cellStyle name="20% - Accent2 2 6 4" xfId="629"/>
    <cellStyle name="20% - Accent2 2 6 5" xfId="630"/>
    <cellStyle name="20% - Accent2 2 7" xfId="631"/>
    <cellStyle name="20% - Accent2 2 7 2" xfId="632"/>
    <cellStyle name="20% - Accent2 2 8" xfId="633"/>
    <cellStyle name="20% - Accent2 2 9" xfId="634"/>
    <cellStyle name="20% - Accent2 3" xfId="635"/>
    <cellStyle name="20% - Accent2 3 10" xfId="636"/>
    <cellStyle name="20% - Accent2 3 2" xfId="637"/>
    <cellStyle name="20% - Accent2 3 2 2" xfId="638"/>
    <cellStyle name="20% - Accent2 3 2 2 2" xfId="639"/>
    <cellStyle name="20% - Accent2 3 2 2 2 2" xfId="640"/>
    <cellStyle name="20% - Accent2 3 2 2 2 3" xfId="641"/>
    <cellStyle name="20% - Accent2 3 2 2 3" xfId="642"/>
    <cellStyle name="20% - Accent2 3 2 2 4" xfId="643"/>
    <cellStyle name="20% - Accent2 3 2 2 5" xfId="644"/>
    <cellStyle name="20% - Accent2 3 2 2 6" xfId="645"/>
    <cellStyle name="20% - Accent2 3 2 3" xfId="646"/>
    <cellStyle name="20% - Accent2 3 2 3 2" xfId="647"/>
    <cellStyle name="20% - Accent2 3 2 3 2 2" xfId="648"/>
    <cellStyle name="20% - Accent2 3 2 3 3" xfId="649"/>
    <cellStyle name="20% - Accent2 3 2 3 4" xfId="650"/>
    <cellStyle name="20% - Accent2 3 2 3 5" xfId="651"/>
    <cellStyle name="20% - Accent2 3 2 4" xfId="652"/>
    <cellStyle name="20% - Accent2 3 2 4 2" xfId="653"/>
    <cellStyle name="20% - Accent2 3 2 4 3" xfId="654"/>
    <cellStyle name="20% - Accent2 3 2 4 4" xfId="655"/>
    <cellStyle name="20% - Accent2 3 2 5" xfId="656"/>
    <cellStyle name="20% - Accent2 3 2 5 2" xfId="657"/>
    <cellStyle name="20% - Accent2 3 2 6" xfId="658"/>
    <cellStyle name="20% - Accent2 3 2 7" xfId="659"/>
    <cellStyle name="20% - Accent2 3 2 8" xfId="660"/>
    <cellStyle name="20% - Accent2 3 2 9" xfId="661"/>
    <cellStyle name="20% - Accent2 3 3" xfId="662"/>
    <cellStyle name="20% - Accent2 3 3 2" xfId="663"/>
    <cellStyle name="20% - Accent2 3 3 2 2" xfId="664"/>
    <cellStyle name="20% - Accent2 3 3 2 3" xfId="665"/>
    <cellStyle name="20% - Accent2 3 3 3" xfId="666"/>
    <cellStyle name="20% - Accent2 3 3 4" xfId="667"/>
    <cellStyle name="20% - Accent2 3 3 5" xfId="668"/>
    <cellStyle name="20% - Accent2 3 3 6" xfId="669"/>
    <cellStyle name="20% - Accent2 3 4" xfId="670"/>
    <cellStyle name="20% - Accent2 3 4 2" xfId="671"/>
    <cellStyle name="20% - Accent2 3 4 2 2" xfId="672"/>
    <cellStyle name="20% - Accent2 3 4 3" xfId="673"/>
    <cellStyle name="20% - Accent2 3 4 4" xfId="674"/>
    <cellStyle name="20% - Accent2 3 4 5" xfId="675"/>
    <cellStyle name="20% - Accent2 3 5" xfId="676"/>
    <cellStyle name="20% - Accent2 3 5 2" xfId="677"/>
    <cellStyle name="20% - Accent2 3 5 2 2" xfId="678"/>
    <cellStyle name="20% - Accent2 3 5 3" xfId="679"/>
    <cellStyle name="20% - Accent2 3 5 4" xfId="680"/>
    <cellStyle name="20% - Accent2 3 5 5" xfId="681"/>
    <cellStyle name="20% - Accent2 3 6" xfId="682"/>
    <cellStyle name="20% - Accent2 3 6 2" xfId="683"/>
    <cellStyle name="20% - Accent2 3 7" xfId="684"/>
    <cellStyle name="20% - Accent2 3 8" xfId="685"/>
    <cellStyle name="20% - Accent2 3 9" xfId="686"/>
    <cellStyle name="20% - Accent2 4" xfId="687"/>
    <cellStyle name="20% - Accent2 4 10" xfId="688"/>
    <cellStyle name="20% - Accent2 4 2" xfId="689"/>
    <cellStyle name="20% - Accent2 4 2 2" xfId="690"/>
    <cellStyle name="20% - Accent2 4 2 2 2" xfId="691"/>
    <cellStyle name="20% - Accent2 4 2 2 2 2" xfId="692"/>
    <cellStyle name="20% - Accent2 4 2 2 2 3" xfId="693"/>
    <cellStyle name="20% - Accent2 4 2 2 3" xfId="694"/>
    <cellStyle name="20% - Accent2 4 2 2 4" xfId="695"/>
    <cellStyle name="20% - Accent2 4 2 2 5" xfId="696"/>
    <cellStyle name="20% - Accent2 4 2 2 6" xfId="697"/>
    <cellStyle name="20% - Accent2 4 2 3" xfId="698"/>
    <cellStyle name="20% - Accent2 4 2 3 2" xfId="699"/>
    <cellStyle name="20% - Accent2 4 2 3 2 2" xfId="700"/>
    <cellStyle name="20% - Accent2 4 2 3 3" xfId="701"/>
    <cellStyle name="20% - Accent2 4 2 3 4" xfId="702"/>
    <cellStyle name="20% - Accent2 4 2 3 5" xfId="703"/>
    <cellStyle name="20% - Accent2 4 2 4" xfId="704"/>
    <cellStyle name="20% - Accent2 4 2 4 2" xfId="705"/>
    <cellStyle name="20% - Accent2 4 2 4 3" xfId="706"/>
    <cellStyle name="20% - Accent2 4 2 4 4" xfId="707"/>
    <cellStyle name="20% - Accent2 4 2 5" xfId="708"/>
    <cellStyle name="20% - Accent2 4 2 5 2" xfId="709"/>
    <cellStyle name="20% - Accent2 4 2 6" xfId="710"/>
    <cellStyle name="20% - Accent2 4 2 7" xfId="711"/>
    <cellStyle name="20% - Accent2 4 2 8" xfId="712"/>
    <cellStyle name="20% - Accent2 4 2 9" xfId="713"/>
    <cellStyle name="20% - Accent2 4 3" xfId="714"/>
    <cellStyle name="20% - Accent2 4 3 2" xfId="715"/>
    <cellStyle name="20% - Accent2 4 3 2 2" xfId="716"/>
    <cellStyle name="20% - Accent2 4 3 2 3" xfId="717"/>
    <cellStyle name="20% - Accent2 4 3 3" xfId="718"/>
    <cellStyle name="20% - Accent2 4 3 4" xfId="719"/>
    <cellStyle name="20% - Accent2 4 3 5" xfId="720"/>
    <cellStyle name="20% - Accent2 4 3 6" xfId="721"/>
    <cellStyle name="20% - Accent2 4 4" xfId="722"/>
    <cellStyle name="20% - Accent2 4 4 2" xfId="723"/>
    <cellStyle name="20% - Accent2 4 4 2 2" xfId="724"/>
    <cellStyle name="20% - Accent2 4 4 3" xfId="725"/>
    <cellStyle name="20% - Accent2 4 4 4" xfId="726"/>
    <cellStyle name="20% - Accent2 4 4 5" xfId="727"/>
    <cellStyle name="20% - Accent2 4 5" xfId="728"/>
    <cellStyle name="20% - Accent2 4 5 2" xfId="729"/>
    <cellStyle name="20% - Accent2 4 5 2 2" xfId="730"/>
    <cellStyle name="20% - Accent2 4 5 3" xfId="731"/>
    <cellStyle name="20% - Accent2 4 5 4" xfId="732"/>
    <cellStyle name="20% - Accent2 4 5 5" xfId="733"/>
    <cellStyle name="20% - Accent2 4 6" xfId="734"/>
    <cellStyle name="20% - Accent2 4 6 2" xfId="735"/>
    <cellStyle name="20% - Accent2 4 7" xfId="736"/>
    <cellStyle name="20% - Accent2 4 8" xfId="737"/>
    <cellStyle name="20% - Accent2 4 9" xfId="738"/>
    <cellStyle name="20% - Accent2 5" xfId="739"/>
    <cellStyle name="20% - Accent2 5 10" xfId="740"/>
    <cellStyle name="20% - Accent2 5 2" xfId="741"/>
    <cellStyle name="20% - Accent2 5 2 2" xfId="742"/>
    <cellStyle name="20% - Accent2 5 2 2 2" xfId="743"/>
    <cellStyle name="20% - Accent2 5 2 2 2 2" xfId="744"/>
    <cellStyle name="20% - Accent2 5 2 2 2 3" xfId="745"/>
    <cellStyle name="20% - Accent2 5 2 2 3" xfId="746"/>
    <cellStyle name="20% - Accent2 5 2 2 4" xfId="747"/>
    <cellStyle name="20% - Accent2 5 2 2 5" xfId="748"/>
    <cellStyle name="20% - Accent2 5 2 2 6" xfId="749"/>
    <cellStyle name="20% - Accent2 5 2 3" xfId="750"/>
    <cellStyle name="20% - Accent2 5 2 3 2" xfId="751"/>
    <cellStyle name="20% - Accent2 5 2 3 2 2" xfId="752"/>
    <cellStyle name="20% - Accent2 5 2 3 3" xfId="753"/>
    <cellStyle name="20% - Accent2 5 2 3 4" xfId="754"/>
    <cellStyle name="20% - Accent2 5 2 3 5" xfId="755"/>
    <cellStyle name="20% - Accent2 5 2 4" xfId="756"/>
    <cellStyle name="20% - Accent2 5 2 4 2" xfId="757"/>
    <cellStyle name="20% - Accent2 5 2 4 3" xfId="758"/>
    <cellStyle name="20% - Accent2 5 2 4 4" xfId="759"/>
    <cellStyle name="20% - Accent2 5 2 5" xfId="760"/>
    <cellStyle name="20% - Accent2 5 2 5 2" xfId="761"/>
    <cellStyle name="20% - Accent2 5 2 6" xfId="762"/>
    <cellStyle name="20% - Accent2 5 2 7" xfId="763"/>
    <cellStyle name="20% - Accent2 5 2 8" xfId="764"/>
    <cellStyle name="20% - Accent2 5 2 9" xfId="765"/>
    <cellStyle name="20% - Accent2 5 3" xfId="766"/>
    <cellStyle name="20% - Accent2 5 3 2" xfId="767"/>
    <cellStyle name="20% - Accent2 5 3 2 2" xfId="768"/>
    <cellStyle name="20% - Accent2 5 3 2 3" xfId="769"/>
    <cellStyle name="20% - Accent2 5 3 3" xfId="770"/>
    <cellStyle name="20% - Accent2 5 3 4" xfId="771"/>
    <cellStyle name="20% - Accent2 5 3 5" xfId="772"/>
    <cellStyle name="20% - Accent2 5 3 6" xfId="773"/>
    <cellStyle name="20% - Accent2 5 4" xfId="774"/>
    <cellStyle name="20% - Accent2 5 4 2" xfId="775"/>
    <cellStyle name="20% - Accent2 5 4 2 2" xfId="776"/>
    <cellStyle name="20% - Accent2 5 4 3" xfId="777"/>
    <cellStyle name="20% - Accent2 5 4 4" xfId="778"/>
    <cellStyle name="20% - Accent2 5 4 5" xfId="779"/>
    <cellStyle name="20% - Accent2 5 5" xfId="780"/>
    <cellStyle name="20% - Accent2 5 5 2" xfId="781"/>
    <cellStyle name="20% - Accent2 5 5 3" xfId="782"/>
    <cellStyle name="20% - Accent2 5 5 4" xfId="783"/>
    <cellStyle name="20% - Accent2 5 6" xfId="784"/>
    <cellStyle name="20% - Accent2 5 6 2" xfId="785"/>
    <cellStyle name="20% - Accent2 5 7" xfId="786"/>
    <cellStyle name="20% - Accent2 5 8" xfId="787"/>
    <cellStyle name="20% - Accent2 5 9" xfId="788"/>
    <cellStyle name="20% - Accent2 6" xfId="789"/>
    <cellStyle name="20% - Accent2 6 10" xfId="790"/>
    <cellStyle name="20% - Accent2 6 2" xfId="791"/>
    <cellStyle name="20% - Accent2 6 2 2" xfId="792"/>
    <cellStyle name="20% - Accent2 6 2 2 2" xfId="793"/>
    <cellStyle name="20% - Accent2 6 2 2 2 2" xfId="794"/>
    <cellStyle name="20% - Accent2 6 2 2 2 3" xfId="795"/>
    <cellStyle name="20% - Accent2 6 2 2 3" xfId="796"/>
    <cellStyle name="20% - Accent2 6 2 2 4" xfId="797"/>
    <cellStyle name="20% - Accent2 6 2 2 5" xfId="798"/>
    <cellStyle name="20% - Accent2 6 2 2 6" xfId="799"/>
    <cellStyle name="20% - Accent2 6 2 3" xfId="800"/>
    <cellStyle name="20% - Accent2 6 2 3 2" xfId="801"/>
    <cellStyle name="20% - Accent2 6 2 3 2 2" xfId="802"/>
    <cellStyle name="20% - Accent2 6 2 3 3" xfId="803"/>
    <cellStyle name="20% - Accent2 6 2 3 4" xfId="804"/>
    <cellStyle name="20% - Accent2 6 2 3 5" xfId="805"/>
    <cellStyle name="20% - Accent2 6 2 4" xfId="806"/>
    <cellStyle name="20% - Accent2 6 2 4 2" xfId="807"/>
    <cellStyle name="20% - Accent2 6 2 4 3" xfId="808"/>
    <cellStyle name="20% - Accent2 6 2 4 4" xfId="809"/>
    <cellStyle name="20% - Accent2 6 2 5" xfId="810"/>
    <cellStyle name="20% - Accent2 6 2 5 2" xfId="811"/>
    <cellStyle name="20% - Accent2 6 2 6" xfId="812"/>
    <cellStyle name="20% - Accent2 6 2 7" xfId="813"/>
    <cellStyle name="20% - Accent2 6 2 8" xfId="814"/>
    <cellStyle name="20% - Accent2 6 2 9" xfId="815"/>
    <cellStyle name="20% - Accent2 6 3" xfId="816"/>
    <cellStyle name="20% - Accent2 6 3 2" xfId="817"/>
    <cellStyle name="20% - Accent2 6 3 2 2" xfId="818"/>
    <cellStyle name="20% - Accent2 6 3 2 3" xfId="819"/>
    <cellStyle name="20% - Accent2 6 3 3" xfId="820"/>
    <cellStyle name="20% - Accent2 6 3 4" xfId="821"/>
    <cellStyle name="20% - Accent2 6 3 5" xfId="822"/>
    <cellStyle name="20% - Accent2 6 3 6" xfId="823"/>
    <cellStyle name="20% - Accent2 6 4" xfId="824"/>
    <cellStyle name="20% - Accent2 6 4 2" xfId="825"/>
    <cellStyle name="20% - Accent2 6 4 2 2" xfId="826"/>
    <cellStyle name="20% - Accent2 6 4 3" xfId="827"/>
    <cellStyle name="20% - Accent2 6 4 4" xfId="828"/>
    <cellStyle name="20% - Accent2 6 4 5" xfId="829"/>
    <cellStyle name="20% - Accent2 6 5" xfId="830"/>
    <cellStyle name="20% - Accent2 6 5 2" xfId="831"/>
    <cellStyle name="20% - Accent2 6 5 3" xfId="832"/>
    <cellStyle name="20% - Accent2 6 5 4" xfId="833"/>
    <cellStyle name="20% - Accent2 6 6" xfId="834"/>
    <cellStyle name="20% - Accent2 6 6 2" xfId="835"/>
    <cellStyle name="20% - Accent2 6 7" xfId="836"/>
    <cellStyle name="20% - Accent2 6 8" xfId="837"/>
    <cellStyle name="20% - Accent2 6 9" xfId="838"/>
    <cellStyle name="20% - Accent2 7" xfId="839"/>
    <cellStyle name="20% - Accent2 7 2" xfId="840"/>
    <cellStyle name="20% - Accent2 7 2 2" xfId="841"/>
    <cellStyle name="20% - Accent2 7 2 2 2" xfId="842"/>
    <cellStyle name="20% - Accent2 7 2 2 3" xfId="843"/>
    <cellStyle name="20% - Accent2 7 2 3" xfId="844"/>
    <cellStyle name="20% - Accent2 7 2 4" xfId="845"/>
    <cellStyle name="20% - Accent2 7 2 5" xfId="846"/>
    <cellStyle name="20% - Accent2 7 2 6" xfId="847"/>
    <cellStyle name="20% - Accent2 7 3" xfId="848"/>
    <cellStyle name="20% - Accent2 7 3 2" xfId="849"/>
    <cellStyle name="20% - Accent2 7 3 2 2" xfId="850"/>
    <cellStyle name="20% - Accent2 7 3 3" xfId="851"/>
    <cellStyle name="20% - Accent2 7 3 4" xfId="852"/>
    <cellStyle name="20% - Accent2 7 3 5" xfId="853"/>
    <cellStyle name="20% - Accent2 7 4" xfId="854"/>
    <cellStyle name="20% - Accent2 7 4 2" xfId="855"/>
    <cellStyle name="20% - Accent2 7 4 3" xfId="856"/>
    <cellStyle name="20% - Accent2 7 4 4" xfId="857"/>
    <cellStyle name="20% - Accent2 7 5" xfId="858"/>
    <cellStyle name="20% - Accent2 7 5 2" xfId="859"/>
    <cellStyle name="20% - Accent2 7 6" xfId="860"/>
    <cellStyle name="20% - Accent2 7 7" xfId="861"/>
    <cellStyle name="20% - Accent2 7 8" xfId="862"/>
    <cellStyle name="20% - Accent2 7 9" xfId="863"/>
    <cellStyle name="20% - Accent2 8" xfId="864"/>
    <cellStyle name="20% - Accent2 8 2" xfId="865"/>
    <cellStyle name="20% - Accent2 8 2 2" xfId="866"/>
    <cellStyle name="20% - Accent2 8 2 2 2" xfId="867"/>
    <cellStyle name="20% - Accent2 8 2 2 3" xfId="868"/>
    <cellStyle name="20% - Accent2 8 2 3" xfId="869"/>
    <cellStyle name="20% - Accent2 8 2 4" xfId="870"/>
    <cellStyle name="20% - Accent2 8 2 5" xfId="871"/>
    <cellStyle name="20% - Accent2 8 2 6" xfId="872"/>
    <cellStyle name="20% - Accent2 8 3" xfId="873"/>
    <cellStyle name="20% - Accent2 8 3 2" xfId="874"/>
    <cellStyle name="20% - Accent2 8 3 2 2" xfId="875"/>
    <cellStyle name="20% - Accent2 8 3 3" xfId="876"/>
    <cellStyle name="20% - Accent2 8 3 4" xfId="877"/>
    <cellStyle name="20% - Accent2 8 3 5" xfId="878"/>
    <cellStyle name="20% - Accent2 8 4" xfId="879"/>
    <cellStyle name="20% - Accent2 8 4 2" xfId="880"/>
    <cellStyle name="20% - Accent2 8 4 3" xfId="881"/>
    <cellStyle name="20% - Accent2 8 4 4" xfId="882"/>
    <cellStyle name="20% - Accent2 8 5" xfId="883"/>
    <cellStyle name="20% - Accent2 8 5 2" xfId="884"/>
    <cellStyle name="20% - Accent2 8 6" xfId="885"/>
    <cellStyle name="20% - Accent2 8 7" xfId="886"/>
    <cellStyle name="20% - Accent2 8 8" xfId="887"/>
    <cellStyle name="20% - Accent2 8 9" xfId="888"/>
    <cellStyle name="20% - Accent2 9" xfId="889"/>
    <cellStyle name="20% - Accent2 9 2" xfId="890"/>
    <cellStyle name="20% - Accent2 9 2 2" xfId="891"/>
    <cellStyle name="20% - Accent2 9 2 2 2" xfId="892"/>
    <cellStyle name="20% - Accent2 9 2 3" xfId="893"/>
    <cellStyle name="20% - Accent2 9 2 4" xfId="894"/>
    <cellStyle name="20% - Accent2 9 2 5" xfId="895"/>
    <cellStyle name="20% - Accent2 9 3" xfId="896"/>
    <cellStyle name="20% - Accent2 9 3 2" xfId="897"/>
    <cellStyle name="20% - Accent2 9 3 3" xfId="898"/>
    <cellStyle name="20% - Accent2 9 3 4" xfId="899"/>
    <cellStyle name="20% - Accent2 9 4" xfId="900"/>
    <cellStyle name="20% - Accent2 9 4 2" xfId="901"/>
    <cellStyle name="20% - Accent2 9 5" xfId="902"/>
    <cellStyle name="20% - Accent2 9 6" xfId="903"/>
    <cellStyle name="20% - Accent2 9 7" xfId="904"/>
    <cellStyle name="20% - Accent2 9 8" xfId="905"/>
    <cellStyle name="20% - Accent3 10" xfId="906"/>
    <cellStyle name="20% - Accent3 10 2" xfId="907"/>
    <cellStyle name="20% - Accent3 10 2 2" xfId="908"/>
    <cellStyle name="20% - Accent3 10 2 2 2" xfId="909"/>
    <cellStyle name="20% - Accent3 10 2 3" xfId="910"/>
    <cellStyle name="20% - Accent3 10 2 4" xfId="911"/>
    <cellStyle name="20% - Accent3 10 2 5" xfId="912"/>
    <cellStyle name="20% - Accent3 10 3" xfId="913"/>
    <cellStyle name="20% - Accent3 10 3 2" xfId="914"/>
    <cellStyle name="20% - Accent3 10 3 3" xfId="915"/>
    <cellStyle name="20% - Accent3 10 3 4" xfId="916"/>
    <cellStyle name="20% - Accent3 10 4" xfId="917"/>
    <cellStyle name="20% - Accent3 10 4 2" xfId="918"/>
    <cellStyle name="20% - Accent3 10 5" xfId="919"/>
    <cellStyle name="20% - Accent3 10 6" xfId="920"/>
    <cellStyle name="20% - Accent3 10 7" xfId="921"/>
    <cellStyle name="20% - Accent3 10 8" xfId="922"/>
    <cellStyle name="20% - Accent3 11" xfId="923"/>
    <cellStyle name="20% - Accent3 11 2" xfId="924"/>
    <cellStyle name="20% - Accent3 11 2 2" xfId="925"/>
    <cellStyle name="20% - Accent3 11 2 2 2" xfId="926"/>
    <cellStyle name="20% - Accent3 11 2 3" xfId="927"/>
    <cellStyle name="20% - Accent3 11 2 4" xfId="928"/>
    <cellStyle name="20% - Accent3 11 2 5" xfId="929"/>
    <cellStyle name="20% - Accent3 11 3" xfId="930"/>
    <cellStyle name="20% - Accent3 11 3 2" xfId="931"/>
    <cellStyle name="20% - Accent3 11 3 3" xfId="932"/>
    <cellStyle name="20% - Accent3 11 3 4" xfId="933"/>
    <cellStyle name="20% - Accent3 11 4" xfId="934"/>
    <cellStyle name="20% - Accent3 11 4 2" xfId="935"/>
    <cellStyle name="20% - Accent3 11 5" xfId="936"/>
    <cellStyle name="20% - Accent3 11 6" xfId="937"/>
    <cellStyle name="20% - Accent3 11 7" xfId="938"/>
    <cellStyle name="20% - Accent3 11 8" xfId="939"/>
    <cellStyle name="20% - Accent3 12" xfId="940"/>
    <cellStyle name="20% - Accent3 12 2" xfId="941"/>
    <cellStyle name="20% - Accent3 12 2 2" xfId="942"/>
    <cellStyle name="20% - Accent3 12 2 2 2" xfId="943"/>
    <cellStyle name="20% - Accent3 12 2 3" xfId="944"/>
    <cellStyle name="20% - Accent3 12 2 4" xfId="945"/>
    <cellStyle name="20% - Accent3 12 2 5" xfId="946"/>
    <cellStyle name="20% - Accent3 12 3" xfId="947"/>
    <cellStyle name="20% - Accent3 12 3 2" xfId="948"/>
    <cellStyle name="20% - Accent3 12 3 3" xfId="949"/>
    <cellStyle name="20% - Accent3 12 3 4" xfId="950"/>
    <cellStyle name="20% - Accent3 12 4" xfId="951"/>
    <cellStyle name="20% - Accent3 12 4 2" xfId="952"/>
    <cellStyle name="20% - Accent3 12 5" xfId="953"/>
    <cellStyle name="20% - Accent3 12 6" xfId="954"/>
    <cellStyle name="20% - Accent3 12 7" xfId="955"/>
    <cellStyle name="20% - Accent3 12 8" xfId="956"/>
    <cellStyle name="20% - Accent3 13" xfId="957"/>
    <cellStyle name="20% - Accent3 13 2" xfId="958"/>
    <cellStyle name="20% - Accent3 13 2 2" xfId="959"/>
    <cellStyle name="20% - Accent3 13 2 3" xfId="960"/>
    <cellStyle name="20% - Accent3 13 2 4" xfId="961"/>
    <cellStyle name="20% - Accent3 13 3" xfId="962"/>
    <cellStyle name="20% - Accent3 13 3 2" xfId="963"/>
    <cellStyle name="20% - Accent3 13 4" xfId="964"/>
    <cellStyle name="20% - Accent3 13 5" xfId="965"/>
    <cellStyle name="20% - Accent3 13 6" xfId="966"/>
    <cellStyle name="20% - Accent3 14" xfId="967"/>
    <cellStyle name="20% - Accent3 14 2" xfId="968"/>
    <cellStyle name="20% - Accent3 14 2 2" xfId="969"/>
    <cellStyle name="20% - Accent3 14 3" xfId="970"/>
    <cellStyle name="20% - Accent3 14 4" xfId="971"/>
    <cellStyle name="20% - Accent3 14 5" xfId="972"/>
    <cellStyle name="20% - Accent3 15" xfId="973"/>
    <cellStyle name="20% - Accent3 15 2" xfId="974"/>
    <cellStyle name="20% - Accent3 15 2 2" xfId="975"/>
    <cellStyle name="20% - Accent3 15 3" xfId="976"/>
    <cellStyle name="20% - Accent3 15 4" xfId="977"/>
    <cellStyle name="20% - Accent3 15 5" xfId="978"/>
    <cellStyle name="20% - Accent3 16" xfId="979"/>
    <cellStyle name="20% - Accent3 16 2" xfId="980"/>
    <cellStyle name="20% - Accent3 17" xfId="981"/>
    <cellStyle name="20% - Accent3 18" xfId="982"/>
    <cellStyle name="20% - Accent3 19" xfId="983"/>
    <cellStyle name="20% - Accent3 2" xfId="984"/>
    <cellStyle name="20% - Accent3 2 10" xfId="985"/>
    <cellStyle name="20% - Accent3 2 11" xfId="986"/>
    <cellStyle name="20% - Accent3 2 2" xfId="987"/>
    <cellStyle name="20% - Accent3 2 2 10" xfId="988"/>
    <cellStyle name="20% - Accent3 2 2 2" xfId="989"/>
    <cellStyle name="20% - Accent3 2 2 2 2" xfId="990"/>
    <cellStyle name="20% - Accent3 2 2 2 2 2" xfId="991"/>
    <cellStyle name="20% - Accent3 2 2 2 2 2 2" xfId="992"/>
    <cellStyle name="20% - Accent3 2 2 2 2 2 3" xfId="993"/>
    <cellStyle name="20% - Accent3 2 2 2 2 3" xfId="994"/>
    <cellStyle name="20% - Accent3 2 2 2 2 4" xfId="995"/>
    <cellStyle name="20% - Accent3 2 2 2 2 5" xfId="996"/>
    <cellStyle name="20% - Accent3 2 2 2 2 6" xfId="997"/>
    <cellStyle name="20% - Accent3 2 2 2 3" xfId="998"/>
    <cellStyle name="20% - Accent3 2 2 2 3 2" xfId="999"/>
    <cellStyle name="20% - Accent3 2 2 2 3 2 2" xfId="1000"/>
    <cellStyle name="20% - Accent3 2 2 2 3 3" xfId="1001"/>
    <cellStyle name="20% - Accent3 2 2 2 3 4" xfId="1002"/>
    <cellStyle name="20% - Accent3 2 2 2 3 5" xfId="1003"/>
    <cellStyle name="20% - Accent3 2 2 2 4" xfId="1004"/>
    <cellStyle name="20% - Accent3 2 2 2 4 2" xfId="1005"/>
    <cellStyle name="20% - Accent3 2 2 2 4 3" xfId="1006"/>
    <cellStyle name="20% - Accent3 2 2 2 4 4" xfId="1007"/>
    <cellStyle name="20% - Accent3 2 2 2 5" xfId="1008"/>
    <cellStyle name="20% - Accent3 2 2 2 5 2" xfId="1009"/>
    <cellStyle name="20% - Accent3 2 2 2 6" xfId="1010"/>
    <cellStyle name="20% - Accent3 2 2 2 7" xfId="1011"/>
    <cellStyle name="20% - Accent3 2 2 2 8" xfId="1012"/>
    <cellStyle name="20% - Accent3 2 2 2 9" xfId="1013"/>
    <cellStyle name="20% - Accent3 2 2 3" xfId="1014"/>
    <cellStyle name="20% - Accent3 2 2 3 2" xfId="1015"/>
    <cellStyle name="20% - Accent3 2 2 3 2 2" xfId="1016"/>
    <cellStyle name="20% - Accent3 2 2 3 2 3" xfId="1017"/>
    <cellStyle name="20% - Accent3 2 2 3 3" xfId="1018"/>
    <cellStyle name="20% - Accent3 2 2 3 4" xfId="1019"/>
    <cellStyle name="20% - Accent3 2 2 3 5" xfId="1020"/>
    <cellStyle name="20% - Accent3 2 2 3 6" xfId="1021"/>
    <cellStyle name="20% - Accent3 2 2 4" xfId="1022"/>
    <cellStyle name="20% - Accent3 2 2 4 2" xfId="1023"/>
    <cellStyle name="20% - Accent3 2 2 4 2 2" xfId="1024"/>
    <cellStyle name="20% - Accent3 2 2 4 3" xfId="1025"/>
    <cellStyle name="20% - Accent3 2 2 4 4" xfId="1026"/>
    <cellStyle name="20% - Accent3 2 2 4 5" xfId="1027"/>
    <cellStyle name="20% - Accent3 2 2 5" xfId="1028"/>
    <cellStyle name="20% - Accent3 2 2 5 2" xfId="1029"/>
    <cellStyle name="20% - Accent3 2 2 5 3" xfId="1030"/>
    <cellStyle name="20% - Accent3 2 2 5 4" xfId="1031"/>
    <cellStyle name="20% - Accent3 2 2 6" xfId="1032"/>
    <cellStyle name="20% - Accent3 2 2 6 2" xfId="1033"/>
    <cellStyle name="20% - Accent3 2 2 7" xfId="1034"/>
    <cellStyle name="20% - Accent3 2 2 8" xfId="1035"/>
    <cellStyle name="20% - Accent3 2 2 9" xfId="1036"/>
    <cellStyle name="20% - Accent3 2 3" xfId="1037"/>
    <cellStyle name="20% - Accent3 2 3 2" xfId="1038"/>
    <cellStyle name="20% - Accent3 2 3 2 2" xfId="1039"/>
    <cellStyle name="20% - Accent3 2 3 2 2 2" xfId="1040"/>
    <cellStyle name="20% - Accent3 2 3 2 2 3" xfId="1041"/>
    <cellStyle name="20% - Accent3 2 3 2 3" xfId="1042"/>
    <cellStyle name="20% - Accent3 2 3 2 4" xfId="1043"/>
    <cellStyle name="20% - Accent3 2 3 2 5" xfId="1044"/>
    <cellStyle name="20% - Accent3 2 3 2 6" xfId="1045"/>
    <cellStyle name="20% - Accent3 2 3 3" xfId="1046"/>
    <cellStyle name="20% - Accent3 2 3 3 2" xfId="1047"/>
    <cellStyle name="20% - Accent3 2 3 3 2 2" xfId="1048"/>
    <cellStyle name="20% - Accent3 2 3 3 3" xfId="1049"/>
    <cellStyle name="20% - Accent3 2 3 3 4" xfId="1050"/>
    <cellStyle name="20% - Accent3 2 3 3 5" xfId="1051"/>
    <cellStyle name="20% - Accent3 2 3 4" xfId="1052"/>
    <cellStyle name="20% - Accent3 2 3 4 2" xfId="1053"/>
    <cellStyle name="20% - Accent3 2 3 4 3" xfId="1054"/>
    <cellStyle name="20% - Accent3 2 3 4 4" xfId="1055"/>
    <cellStyle name="20% - Accent3 2 3 5" xfId="1056"/>
    <cellStyle name="20% - Accent3 2 3 5 2" xfId="1057"/>
    <cellStyle name="20% - Accent3 2 3 6" xfId="1058"/>
    <cellStyle name="20% - Accent3 2 3 7" xfId="1059"/>
    <cellStyle name="20% - Accent3 2 3 8" xfId="1060"/>
    <cellStyle name="20% - Accent3 2 3 9" xfId="1061"/>
    <cellStyle name="20% - Accent3 2 4" xfId="1062"/>
    <cellStyle name="20% - Accent3 2 4 2" xfId="1063"/>
    <cellStyle name="20% - Accent3 2 4 2 2" xfId="1064"/>
    <cellStyle name="20% - Accent3 2 4 2 3" xfId="1065"/>
    <cellStyle name="20% - Accent3 2 4 3" xfId="1066"/>
    <cellStyle name="20% - Accent3 2 4 4" xfId="1067"/>
    <cellStyle name="20% - Accent3 2 4 5" xfId="1068"/>
    <cellStyle name="20% - Accent3 2 4 6" xfId="1069"/>
    <cellStyle name="20% - Accent3 2 5" xfId="1070"/>
    <cellStyle name="20% - Accent3 2 5 2" xfId="1071"/>
    <cellStyle name="20% - Accent3 2 5 2 2" xfId="1072"/>
    <cellStyle name="20% - Accent3 2 5 3" xfId="1073"/>
    <cellStyle name="20% - Accent3 2 5 4" xfId="1074"/>
    <cellStyle name="20% - Accent3 2 5 5" xfId="1075"/>
    <cellStyle name="20% - Accent3 2 6" xfId="1076"/>
    <cellStyle name="20% - Accent3 2 6 2" xfId="1077"/>
    <cellStyle name="20% - Accent3 2 6 2 2" xfId="1078"/>
    <cellStyle name="20% - Accent3 2 6 3" xfId="1079"/>
    <cellStyle name="20% - Accent3 2 6 4" xfId="1080"/>
    <cellStyle name="20% - Accent3 2 6 5" xfId="1081"/>
    <cellStyle name="20% - Accent3 2 7" xfId="1082"/>
    <cellStyle name="20% - Accent3 2 7 2" xfId="1083"/>
    <cellStyle name="20% - Accent3 2 8" xfId="1084"/>
    <cellStyle name="20% - Accent3 2 9" xfId="1085"/>
    <cellStyle name="20% - Accent3 3" xfId="1086"/>
    <cellStyle name="20% - Accent3 3 10" xfId="1087"/>
    <cellStyle name="20% - Accent3 3 2" xfId="1088"/>
    <cellStyle name="20% - Accent3 3 2 2" xfId="1089"/>
    <cellStyle name="20% - Accent3 3 2 2 2" xfId="1090"/>
    <cellStyle name="20% - Accent3 3 2 2 2 2" xfId="1091"/>
    <cellStyle name="20% - Accent3 3 2 2 2 3" xfId="1092"/>
    <cellStyle name="20% - Accent3 3 2 2 3" xfId="1093"/>
    <cellStyle name="20% - Accent3 3 2 2 4" xfId="1094"/>
    <cellStyle name="20% - Accent3 3 2 2 5" xfId="1095"/>
    <cellStyle name="20% - Accent3 3 2 2 6" xfId="1096"/>
    <cellStyle name="20% - Accent3 3 2 3" xfId="1097"/>
    <cellStyle name="20% - Accent3 3 2 3 2" xfId="1098"/>
    <cellStyle name="20% - Accent3 3 2 3 2 2" xfId="1099"/>
    <cellStyle name="20% - Accent3 3 2 3 3" xfId="1100"/>
    <cellStyle name="20% - Accent3 3 2 3 4" xfId="1101"/>
    <cellStyle name="20% - Accent3 3 2 3 5" xfId="1102"/>
    <cellStyle name="20% - Accent3 3 2 4" xfId="1103"/>
    <cellStyle name="20% - Accent3 3 2 4 2" xfId="1104"/>
    <cellStyle name="20% - Accent3 3 2 4 3" xfId="1105"/>
    <cellStyle name="20% - Accent3 3 2 4 4" xfId="1106"/>
    <cellStyle name="20% - Accent3 3 2 5" xfId="1107"/>
    <cellStyle name="20% - Accent3 3 2 5 2" xfId="1108"/>
    <cellStyle name="20% - Accent3 3 2 6" xfId="1109"/>
    <cellStyle name="20% - Accent3 3 2 7" xfId="1110"/>
    <cellStyle name="20% - Accent3 3 2 8" xfId="1111"/>
    <cellStyle name="20% - Accent3 3 2 9" xfId="1112"/>
    <cellStyle name="20% - Accent3 3 3" xfId="1113"/>
    <cellStyle name="20% - Accent3 3 3 2" xfId="1114"/>
    <cellStyle name="20% - Accent3 3 3 2 2" xfId="1115"/>
    <cellStyle name="20% - Accent3 3 3 2 3" xfId="1116"/>
    <cellStyle name="20% - Accent3 3 3 3" xfId="1117"/>
    <cellStyle name="20% - Accent3 3 3 4" xfId="1118"/>
    <cellStyle name="20% - Accent3 3 3 5" xfId="1119"/>
    <cellStyle name="20% - Accent3 3 3 6" xfId="1120"/>
    <cellStyle name="20% - Accent3 3 4" xfId="1121"/>
    <cellStyle name="20% - Accent3 3 4 2" xfId="1122"/>
    <cellStyle name="20% - Accent3 3 4 2 2" xfId="1123"/>
    <cellStyle name="20% - Accent3 3 4 3" xfId="1124"/>
    <cellStyle name="20% - Accent3 3 4 4" xfId="1125"/>
    <cellStyle name="20% - Accent3 3 4 5" xfId="1126"/>
    <cellStyle name="20% - Accent3 3 5" xfId="1127"/>
    <cellStyle name="20% - Accent3 3 5 2" xfId="1128"/>
    <cellStyle name="20% - Accent3 3 5 2 2" xfId="1129"/>
    <cellStyle name="20% - Accent3 3 5 3" xfId="1130"/>
    <cellStyle name="20% - Accent3 3 5 4" xfId="1131"/>
    <cellStyle name="20% - Accent3 3 5 5" xfId="1132"/>
    <cellStyle name="20% - Accent3 3 6" xfId="1133"/>
    <cellStyle name="20% - Accent3 3 6 2" xfId="1134"/>
    <cellStyle name="20% - Accent3 3 7" xfId="1135"/>
    <cellStyle name="20% - Accent3 3 8" xfId="1136"/>
    <cellStyle name="20% - Accent3 3 9" xfId="1137"/>
    <cellStyle name="20% - Accent3 4" xfId="1138"/>
    <cellStyle name="20% - Accent3 4 10" xfId="1139"/>
    <cellStyle name="20% - Accent3 4 2" xfId="1140"/>
    <cellStyle name="20% - Accent3 4 2 2" xfId="1141"/>
    <cellStyle name="20% - Accent3 4 2 2 2" xfId="1142"/>
    <cellStyle name="20% - Accent3 4 2 2 2 2" xfId="1143"/>
    <cellStyle name="20% - Accent3 4 2 2 2 3" xfId="1144"/>
    <cellStyle name="20% - Accent3 4 2 2 3" xfId="1145"/>
    <cellStyle name="20% - Accent3 4 2 2 4" xfId="1146"/>
    <cellStyle name="20% - Accent3 4 2 2 5" xfId="1147"/>
    <cellStyle name="20% - Accent3 4 2 2 6" xfId="1148"/>
    <cellStyle name="20% - Accent3 4 2 3" xfId="1149"/>
    <cellStyle name="20% - Accent3 4 2 3 2" xfId="1150"/>
    <cellStyle name="20% - Accent3 4 2 3 2 2" xfId="1151"/>
    <cellStyle name="20% - Accent3 4 2 3 3" xfId="1152"/>
    <cellStyle name="20% - Accent3 4 2 3 4" xfId="1153"/>
    <cellStyle name="20% - Accent3 4 2 3 5" xfId="1154"/>
    <cellStyle name="20% - Accent3 4 2 4" xfId="1155"/>
    <cellStyle name="20% - Accent3 4 2 4 2" xfId="1156"/>
    <cellStyle name="20% - Accent3 4 2 4 3" xfId="1157"/>
    <cellStyle name="20% - Accent3 4 2 4 4" xfId="1158"/>
    <cellStyle name="20% - Accent3 4 2 5" xfId="1159"/>
    <cellStyle name="20% - Accent3 4 2 5 2" xfId="1160"/>
    <cellStyle name="20% - Accent3 4 2 6" xfId="1161"/>
    <cellStyle name="20% - Accent3 4 2 7" xfId="1162"/>
    <cellStyle name="20% - Accent3 4 2 8" xfId="1163"/>
    <cellStyle name="20% - Accent3 4 2 9" xfId="1164"/>
    <cellStyle name="20% - Accent3 4 3" xfId="1165"/>
    <cellStyle name="20% - Accent3 4 3 2" xfId="1166"/>
    <cellStyle name="20% - Accent3 4 3 2 2" xfId="1167"/>
    <cellStyle name="20% - Accent3 4 3 2 3" xfId="1168"/>
    <cellStyle name="20% - Accent3 4 3 3" xfId="1169"/>
    <cellStyle name="20% - Accent3 4 3 4" xfId="1170"/>
    <cellStyle name="20% - Accent3 4 3 5" xfId="1171"/>
    <cellStyle name="20% - Accent3 4 3 6" xfId="1172"/>
    <cellStyle name="20% - Accent3 4 4" xfId="1173"/>
    <cellStyle name="20% - Accent3 4 4 2" xfId="1174"/>
    <cellStyle name="20% - Accent3 4 4 2 2" xfId="1175"/>
    <cellStyle name="20% - Accent3 4 4 3" xfId="1176"/>
    <cellStyle name="20% - Accent3 4 4 4" xfId="1177"/>
    <cellStyle name="20% - Accent3 4 4 5" xfId="1178"/>
    <cellStyle name="20% - Accent3 4 5" xfId="1179"/>
    <cellStyle name="20% - Accent3 4 5 2" xfId="1180"/>
    <cellStyle name="20% - Accent3 4 5 2 2" xfId="1181"/>
    <cellStyle name="20% - Accent3 4 5 3" xfId="1182"/>
    <cellStyle name="20% - Accent3 4 5 4" xfId="1183"/>
    <cellStyle name="20% - Accent3 4 5 5" xfId="1184"/>
    <cellStyle name="20% - Accent3 4 6" xfId="1185"/>
    <cellStyle name="20% - Accent3 4 6 2" xfId="1186"/>
    <cellStyle name="20% - Accent3 4 7" xfId="1187"/>
    <cellStyle name="20% - Accent3 4 8" xfId="1188"/>
    <cellStyle name="20% - Accent3 4 9" xfId="1189"/>
    <cellStyle name="20% - Accent3 5" xfId="1190"/>
    <cellStyle name="20% - Accent3 5 10" xfId="1191"/>
    <cellStyle name="20% - Accent3 5 2" xfId="1192"/>
    <cellStyle name="20% - Accent3 5 2 2" xfId="1193"/>
    <cellStyle name="20% - Accent3 5 2 2 2" xfId="1194"/>
    <cellStyle name="20% - Accent3 5 2 2 2 2" xfId="1195"/>
    <cellStyle name="20% - Accent3 5 2 2 2 3" xfId="1196"/>
    <cellStyle name="20% - Accent3 5 2 2 3" xfId="1197"/>
    <cellStyle name="20% - Accent3 5 2 2 4" xfId="1198"/>
    <cellStyle name="20% - Accent3 5 2 2 5" xfId="1199"/>
    <cellStyle name="20% - Accent3 5 2 2 6" xfId="1200"/>
    <cellStyle name="20% - Accent3 5 2 3" xfId="1201"/>
    <cellStyle name="20% - Accent3 5 2 3 2" xfId="1202"/>
    <cellStyle name="20% - Accent3 5 2 3 2 2" xfId="1203"/>
    <cellStyle name="20% - Accent3 5 2 3 3" xfId="1204"/>
    <cellStyle name="20% - Accent3 5 2 3 4" xfId="1205"/>
    <cellStyle name="20% - Accent3 5 2 3 5" xfId="1206"/>
    <cellStyle name="20% - Accent3 5 2 4" xfId="1207"/>
    <cellStyle name="20% - Accent3 5 2 4 2" xfId="1208"/>
    <cellStyle name="20% - Accent3 5 2 4 3" xfId="1209"/>
    <cellStyle name="20% - Accent3 5 2 4 4" xfId="1210"/>
    <cellStyle name="20% - Accent3 5 2 5" xfId="1211"/>
    <cellStyle name="20% - Accent3 5 2 5 2" xfId="1212"/>
    <cellStyle name="20% - Accent3 5 2 6" xfId="1213"/>
    <cellStyle name="20% - Accent3 5 2 7" xfId="1214"/>
    <cellStyle name="20% - Accent3 5 2 8" xfId="1215"/>
    <cellStyle name="20% - Accent3 5 2 9" xfId="1216"/>
    <cellStyle name="20% - Accent3 5 3" xfId="1217"/>
    <cellStyle name="20% - Accent3 5 3 2" xfId="1218"/>
    <cellStyle name="20% - Accent3 5 3 2 2" xfId="1219"/>
    <cellStyle name="20% - Accent3 5 3 2 3" xfId="1220"/>
    <cellStyle name="20% - Accent3 5 3 3" xfId="1221"/>
    <cellStyle name="20% - Accent3 5 3 4" xfId="1222"/>
    <cellStyle name="20% - Accent3 5 3 5" xfId="1223"/>
    <cellStyle name="20% - Accent3 5 3 6" xfId="1224"/>
    <cellStyle name="20% - Accent3 5 4" xfId="1225"/>
    <cellStyle name="20% - Accent3 5 4 2" xfId="1226"/>
    <cellStyle name="20% - Accent3 5 4 2 2" xfId="1227"/>
    <cellStyle name="20% - Accent3 5 4 3" xfId="1228"/>
    <cellStyle name="20% - Accent3 5 4 4" xfId="1229"/>
    <cellStyle name="20% - Accent3 5 4 5" xfId="1230"/>
    <cellStyle name="20% - Accent3 5 5" xfId="1231"/>
    <cellStyle name="20% - Accent3 5 5 2" xfId="1232"/>
    <cellStyle name="20% - Accent3 5 5 3" xfId="1233"/>
    <cellStyle name="20% - Accent3 5 5 4" xfId="1234"/>
    <cellStyle name="20% - Accent3 5 6" xfId="1235"/>
    <cellStyle name="20% - Accent3 5 6 2" xfId="1236"/>
    <cellStyle name="20% - Accent3 5 7" xfId="1237"/>
    <cellStyle name="20% - Accent3 5 8" xfId="1238"/>
    <cellStyle name="20% - Accent3 5 9" xfId="1239"/>
    <cellStyle name="20% - Accent3 6" xfId="1240"/>
    <cellStyle name="20% - Accent3 6 10" xfId="1241"/>
    <cellStyle name="20% - Accent3 6 2" xfId="1242"/>
    <cellStyle name="20% - Accent3 6 2 2" xfId="1243"/>
    <cellStyle name="20% - Accent3 6 2 2 2" xfId="1244"/>
    <cellStyle name="20% - Accent3 6 2 2 2 2" xfId="1245"/>
    <cellStyle name="20% - Accent3 6 2 2 2 3" xfId="1246"/>
    <cellStyle name="20% - Accent3 6 2 2 3" xfId="1247"/>
    <cellStyle name="20% - Accent3 6 2 2 4" xfId="1248"/>
    <cellStyle name="20% - Accent3 6 2 2 5" xfId="1249"/>
    <cellStyle name="20% - Accent3 6 2 2 6" xfId="1250"/>
    <cellStyle name="20% - Accent3 6 2 3" xfId="1251"/>
    <cellStyle name="20% - Accent3 6 2 3 2" xfId="1252"/>
    <cellStyle name="20% - Accent3 6 2 3 2 2" xfId="1253"/>
    <cellStyle name="20% - Accent3 6 2 3 3" xfId="1254"/>
    <cellStyle name="20% - Accent3 6 2 3 4" xfId="1255"/>
    <cellStyle name="20% - Accent3 6 2 3 5" xfId="1256"/>
    <cellStyle name="20% - Accent3 6 2 4" xfId="1257"/>
    <cellStyle name="20% - Accent3 6 2 4 2" xfId="1258"/>
    <cellStyle name="20% - Accent3 6 2 4 3" xfId="1259"/>
    <cellStyle name="20% - Accent3 6 2 4 4" xfId="1260"/>
    <cellStyle name="20% - Accent3 6 2 5" xfId="1261"/>
    <cellStyle name="20% - Accent3 6 2 5 2" xfId="1262"/>
    <cellStyle name="20% - Accent3 6 2 6" xfId="1263"/>
    <cellStyle name="20% - Accent3 6 2 7" xfId="1264"/>
    <cellStyle name="20% - Accent3 6 2 8" xfId="1265"/>
    <cellStyle name="20% - Accent3 6 2 9" xfId="1266"/>
    <cellStyle name="20% - Accent3 6 3" xfId="1267"/>
    <cellStyle name="20% - Accent3 6 3 2" xfId="1268"/>
    <cellStyle name="20% - Accent3 6 3 2 2" xfId="1269"/>
    <cellStyle name="20% - Accent3 6 3 2 3" xfId="1270"/>
    <cellStyle name="20% - Accent3 6 3 3" xfId="1271"/>
    <cellStyle name="20% - Accent3 6 3 4" xfId="1272"/>
    <cellStyle name="20% - Accent3 6 3 5" xfId="1273"/>
    <cellStyle name="20% - Accent3 6 3 6" xfId="1274"/>
    <cellStyle name="20% - Accent3 6 4" xfId="1275"/>
    <cellStyle name="20% - Accent3 6 4 2" xfId="1276"/>
    <cellStyle name="20% - Accent3 6 4 2 2" xfId="1277"/>
    <cellStyle name="20% - Accent3 6 4 3" xfId="1278"/>
    <cellStyle name="20% - Accent3 6 4 4" xfId="1279"/>
    <cellStyle name="20% - Accent3 6 4 5" xfId="1280"/>
    <cellStyle name="20% - Accent3 6 5" xfId="1281"/>
    <cellStyle name="20% - Accent3 6 5 2" xfId="1282"/>
    <cellStyle name="20% - Accent3 6 5 3" xfId="1283"/>
    <cellStyle name="20% - Accent3 6 5 4" xfId="1284"/>
    <cellStyle name="20% - Accent3 6 6" xfId="1285"/>
    <cellStyle name="20% - Accent3 6 6 2" xfId="1286"/>
    <cellStyle name="20% - Accent3 6 7" xfId="1287"/>
    <cellStyle name="20% - Accent3 6 8" xfId="1288"/>
    <cellStyle name="20% - Accent3 6 9" xfId="1289"/>
    <cellStyle name="20% - Accent3 7" xfId="1290"/>
    <cellStyle name="20% - Accent3 7 2" xfId="1291"/>
    <cellStyle name="20% - Accent3 7 2 2" xfId="1292"/>
    <cellStyle name="20% - Accent3 7 2 2 2" xfId="1293"/>
    <cellStyle name="20% - Accent3 7 2 2 3" xfId="1294"/>
    <cellStyle name="20% - Accent3 7 2 3" xfId="1295"/>
    <cellStyle name="20% - Accent3 7 2 4" xfId="1296"/>
    <cellStyle name="20% - Accent3 7 2 5" xfId="1297"/>
    <cellStyle name="20% - Accent3 7 2 6" xfId="1298"/>
    <cellStyle name="20% - Accent3 7 3" xfId="1299"/>
    <cellStyle name="20% - Accent3 7 3 2" xfId="1300"/>
    <cellStyle name="20% - Accent3 7 3 2 2" xfId="1301"/>
    <cellStyle name="20% - Accent3 7 3 3" xfId="1302"/>
    <cellStyle name="20% - Accent3 7 3 4" xfId="1303"/>
    <cellStyle name="20% - Accent3 7 3 5" xfId="1304"/>
    <cellStyle name="20% - Accent3 7 4" xfId="1305"/>
    <cellStyle name="20% - Accent3 7 4 2" xfId="1306"/>
    <cellStyle name="20% - Accent3 7 4 3" xfId="1307"/>
    <cellStyle name="20% - Accent3 7 4 4" xfId="1308"/>
    <cellStyle name="20% - Accent3 7 5" xfId="1309"/>
    <cellStyle name="20% - Accent3 7 5 2" xfId="1310"/>
    <cellStyle name="20% - Accent3 7 6" xfId="1311"/>
    <cellStyle name="20% - Accent3 7 7" xfId="1312"/>
    <cellStyle name="20% - Accent3 7 8" xfId="1313"/>
    <cellStyle name="20% - Accent3 7 9" xfId="1314"/>
    <cellStyle name="20% - Accent3 8" xfId="1315"/>
    <cellStyle name="20% - Accent3 8 2" xfId="1316"/>
    <cellStyle name="20% - Accent3 8 2 2" xfId="1317"/>
    <cellStyle name="20% - Accent3 8 2 2 2" xfId="1318"/>
    <cellStyle name="20% - Accent3 8 2 2 3" xfId="1319"/>
    <cellStyle name="20% - Accent3 8 2 3" xfId="1320"/>
    <cellStyle name="20% - Accent3 8 2 4" xfId="1321"/>
    <cellStyle name="20% - Accent3 8 2 5" xfId="1322"/>
    <cellStyle name="20% - Accent3 8 2 6" xfId="1323"/>
    <cellStyle name="20% - Accent3 8 3" xfId="1324"/>
    <cellStyle name="20% - Accent3 8 3 2" xfId="1325"/>
    <cellStyle name="20% - Accent3 8 3 2 2" xfId="1326"/>
    <cellStyle name="20% - Accent3 8 3 3" xfId="1327"/>
    <cellStyle name="20% - Accent3 8 3 4" xfId="1328"/>
    <cellStyle name="20% - Accent3 8 3 5" xfId="1329"/>
    <cellStyle name="20% - Accent3 8 4" xfId="1330"/>
    <cellStyle name="20% - Accent3 8 4 2" xfId="1331"/>
    <cellStyle name="20% - Accent3 8 4 3" xfId="1332"/>
    <cellStyle name="20% - Accent3 8 4 4" xfId="1333"/>
    <cellStyle name="20% - Accent3 8 5" xfId="1334"/>
    <cellStyle name="20% - Accent3 8 5 2" xfId="1335"/>
    <cellStyle name="20% - Accent3 8 6" xfId="1336"/>
    <cellStyle name="20% - Accent3 8 7" xfId="1337"/>
    <cellStyle name="20% - Accent3 8 8" xfId="1338"/>
    <cellStyle name="20% - Accent3 8 9" xfId="1339"/>
    <cellStyle name="20% - Accent3 9" xfId="1340"/>
    <cellStyle name="20% - Accent3 9 2" xfId="1341"/>
    <cellStyle name="20% - Accent3 9 2 2" xfId="1342"/>
    <cellStyle name="20% - Accent3 9 2 2 2" xfId="1343"/>
    <cellStyle name="20% - Accent3 9 2 3" xfId="1344"/>
    <cellStyle name="20% - Accent3 9 2 4" xfId="1345"/>
    <cellStyle name="20% - Accent3 9 2 5" xfId="1346"/>
    <cellStyle name="20% - Accent3 9 3" xfId="1347"/>
    <cellStyle name="20% - Accent3 9 3 2" xfId="1348"/>
    <cellStyle name="20% - Accent3 9 3 3" xfId="1349"/>
    <cellStyle name="20% - Accent3 9 3 4" xfId="1350"/>
    <cellStyle name="20% - Accent3 9 4" xfId="1351"/>
    <cellStyle name="20% - Accent3 9 4 2" xfId="1352"/>
    <cellStyle name="20% - Accent3 9 5" xfId="1353"/>
    <cellStyle name="20% - Accent3 9 6" xfId="1354"/>
    <cellStyle name="20% - Accent3 9 7" xfId="1355"/>
    <cellStyle name="20% - Accent3 9 8" xfId="1356"/>
    <cellStyle name="20% - Accent4 10" xfId="1357"/>
    <cellStyle name="20% - Accent4 10 2" xfId="1358"/>
    <cellStyle name="20% - Accent4 10 2 2" xfId="1359"/>
    <cellStyle name="20% - Accent4 10 2 2 2" xfId="1360"/>
    <cellStyle name="20% - Accent4 10 2 3" xfId="1361"/>
    <cellStyle name="20% - Accent4 10 2 4" xfId="1362"/>
    <cellStyle name="20% - Accent4 10 2 5" xfId="1363"/>
    <cellStyle name="20% - Accent4 10 3" xfId="1364"/>
    <cellStyle name="20% - Accent4 10 3 2" xfId="1365"/>
    <cellStyle name="20% - Accent4 10 3 3" xfId="1366"/>
    <cellStyle name="20% - Accent4 10 3 4" xfId="1367"/>
    <cellStyle name="20% - Accent4 10 4" xfId="1368"/>
    <cellStyle name="20% - Accent4 10 4 2" xfId="1369"/>
    <cellStyle name="20% - Accent4 10 5" xfId="1370"/>
    <cellStyle name="20% - Accent4 10 6" xfId="1371"/>
    <cellStyle name="20% - Accent4 10 7" xfId="1372"/>
    <cellStyle name="20% - Accent4 10 8" xfId="1373"/>
    <cellStyle name="20% - Accent4 11" xfId="1374"/>
    <cellStyle name="20% - Accent4 11 2" xfId="1375"/>
    <cellStyle name="20% - Accent4 11 2 2" xfId="1376"/>
    <cellStyle name="20% - Accent4 11 2 2 2" xfId="1377"/>
    <cellStyle name="20% - Accent4 11 2 3" xfId="1378"/>
    <cellStyle name="20% - Accent4 11 2 4" xfId="1379"/>
    <cellStyle name="20% - Accent4 11 2 5" xfId="1380"/>
    <cellStyle name="20% - Accent4 11 3" xfId="1381"/>
    <cellStyle name="20% - Accent4 11 3 2" xfId="1382"/>
    <cellStyle name="20% - Accent4 11 3 3" xfId="1383"/>
    <cellStyle name="20% - Accent4 11 3 4" xfId="1384"/>
    <cellStyle name="20% - Accent4 11 4" xfId="1385"/>
    <cellStyle name="20% - Accent4 11 4 2" xfId="1386"/>
    <cellStyle name="20% - Accent4 11 5" xfId="1387"/>
    <cellStyle name="20% - Accent4 11 6" xfId="1388"/>
    <cellStyle name="20% - Accent4 11 7" xfId="1389"/>
    <cellStyle name="20% - Accent4 11 8" xfId="1390"/>
    <cellStyle name="20% - Accent4 12" xfId="1391"/>
    <cellStyle name="20% - Accent4 12 2" xfId="1392"/>
    <cellStyle name="20% - Accent4 12 2 2" xfId="1393"/>
    <cellStyle name="20% - Accent4 12 2 2 2" xfId="1394"/>
    <cellStyle name="20% - Accent4 12 2 3" xfId="1395"/>
    <cellStyle name="20% - Accent4 12 2 4" xfId="1396"/>
    <cellStyle name="20% - Accent4 12 2 5" xfId="1397"/>
    <cellStyle name="20% - Accent4 12 3" xfId="1398"/>
    <cellStyle name="20% - Accent4 12 3 2" xfId="1399"/>
    <cellStyle name="20% - Accent4 12 3 3" xfId="1400"/>
    <cellStyle name="20% - Accent4 12 3 4" xfId="1401"/>
    <cellStyle name="20% - Accent4 12 4" xfId="1402"/>
    <cellStyle name="20% - Accent4 12 4 2" xfId="1403"/>
    <cellStyle name="20% - Accent4 12 5" xfId="1404"/>
    <cellStyle name="20% - Accent4 12 6" xfId="1405"/>
    <cellStyle name="20% - Accent4 12 7" xfId="1406"/>
    <cellStyle name="20% - Accent4 12 8" xfId="1407"/>
    <cellStyle name="20% - Accent4 13" xfId="1408"/>
    <cellStyle name="20% - Accent4 13 2" xfId="1409"/>
    <cellStyle name="20% - Accent4 13 2 2" xfId="1410"/>
    <cellStyle name="20% - Accent4 13 2 3" xfId="1411"/>
    <cellStyle name="20% - Accent4 13 2 4" xfId="1412"/>
    <cellStyle name="20% - Accent4 13 3" xfId="1413"/>
    <cellStyle name="20% - Accent4 13 3 2" xfId="1414"/>
    <cellStyle name="20% - Accent4 13 4" xfId="1415"/>
    <cellStyle name="20% - Accent4 13 5" xfId="1416"/>
    <cellStyle name="20% - Accent4 13 6" xfId="1417"/>
    <cellStyle name="20% - Accent4 14" xfId="1418"/>
    <cellStyle name="20% - Accent4 14 2" xfId="1419"/>
    <cellStyle name="20% - Accent4 14 2 2" xfId="1420"/>
    <cellStyle name="20% - Accent4 14 3" xfId="1421"/>
    <cellStyle name="20% - Accent4 14 4" xfId="1422"/>
    <cellStyle name="20% - Accent4 14 5" xfId="1423"/>
    <cellStyle name="20% - Accent4 15" xfId="1424"/>
    <cellStyle name="20% - Accent4 15 2" xfId="1425"/>
    <cellStyle name="20% - Accent4 15 2 2" xfId="1426"/>
    <cellStyle name="20% - Accent4 15 3" xfId="1427"/>
    <cellStyle name="20% - Accent4 15 4" xfId="1428"/>
    <cellStyle name="20% - Accent4 15 5" xfId="1429"/>
    <cellStyle name="20% - Accent4 16" xfId="1430"/>
    <cellStyle name="20% - Accent4 16 2" xfId="1431"/>
    <cellStyle name="20% - Accent4 17" xfId="1432"/>
    <cellStyle name="20% - Accent4 18" xfId="1433"/>
    <cellStyle name="20% - Accent4 19" xfId="1434"/>
    <cellStyle name="20% - Accent4 2" xfId="1435"/>
    <cellStyle name="20% - Accent4 2 10" xfId="1436"/>
    <cellStyle name="20% - Accent4 2 11" xfId="1437"/>
    <cellStyle name="20% - Accent4 2 2" xfId="1438"/>
    <cellStyle name="20% - Accent4 2 2 10" xfId="1439"/>
    <cellStyle name="20% - Accent4 2 2 2" xfId="1440"/>
    <cellStyle name="20% - Accent4 2 2 2 2" xfId="1441"/>
    <cellStyle name="20% - Accent4 2 2 2 2 2" xfId="1442"/>
    <cellStyle name="20% - Accent4 2 2 2 2 2 2" xfId="1443"/>
    <cellStyle name="20% - Accent4 2 2 2 2 2 3" xfId="1444"/>
    <cellStyle name="20% - Accent4 2 2 2 2 3" xfId="1445"/>
    <cellStyle name="20% - Accent4 2 2 2 2 4" xfId="1446"/>
    <cellStyle name="20% - Accent4 2 2 2 2 5" xfId="1447"/>
    <cellStyle name="20% - Accent4 2 2 2 2 6" xfId="1448"/>
    <cellStyle name="20% - Accent4 2 2 2 3" xfId="1449"/>
    <cellStyle name="20% - Accent4 2 2 2 3 2" xfId="1450"/>
    <cellStyle name="20% - Accent4 2 2 2 3 2 2" xfId="1451"/>
    <cellStyle name="20% - Accent4 2 2 2 3 3" xfId="1452"/>
    <cellStyle name="20% - Accent4 2 2 2 3 4" xfId="1453"/>
    <cellStyle name="20% - Accent4 2 2 2 3 5" xfId="1454"/>
    <cellStyle name="20% - Accent4 2 2 2 4" xfId="1455"/>
    <cellStyle name="20% - Accent4 2 2 2 4 2" xfId="1456"/>
    <cellStyle name="20% - Accent4 2 2 2 4 3" xfId="1457"/>
    <cellStyle name="20% - Accent4 2 2 2 4 4" xfId="1458"/>
    <cellStyle name="20% - Accent4 2 2 2 5" xfId="1459"/>
    <cellStyle name="20% - Accent4 2 2 2 5 2" xfId="1460"/>
    <cellStyle name="20% - Accent4 2 2 2 6" xfId="1461"/>
    <cellStyle name="20% - Accent4 2 2 2 7" xfId="1462"/>
    <cellStyle name="20% - Accent4 2 2 2 8" xfId="1463"/>
    <cellStyle name="20% - Accent4 2 2 2 9" xfId="1464"/>
    <cellStyle name="20% - Accent4 2 2 3" xfId="1465"/>
    <cellStyle name="20% - Accent4 2 2 3 2" xfId="1466"/>
    <cellStyle name="20% - Accent4 2 2 3 2 2" xfId="1467"/>
    <cellStyle name="20% - Accent4 2 2 3 2 3" xfId="1468"/>
    <cellStyle name="20% - Accent4 2 2 3 3" xfId="1469"/>
    <cellStyle name="20% - Accent4 2 2 3 4" xfId="1470"/>
    <cellStyle name="20% - Accent4 2 2 3 5" xfId="1471"/>
    <cellStyle name="20% - Accent4 2 2 3 6" xfId="1472"/>
    <cellStyle name="20% - Accent4 2 2 4" xfId="1473"/>
    <cellStyle name="20% - Accent4 2 2 4 2" xfId="1474"/>
    <cellStyle name="20% - Accent4 2 2 4 2 2" xfId="1475"/>
    <cellStyle name="20% - Accent4 2 2 4 3" xfId="1476"/>
    <cellStyle name="20% - Accent4 2 2 4 4" xfId="1477"/>
    <cellStyle name="20% - Accent4 2 2 4 5" xfId="1478"/>
    <cellStyle name="20% - Accent4 2 2 5" xfId="1479"/>
    <cellStyle name="20% - Accent4 2 2 5 2" xfId="1480"/>
    <cellStyle name="20% - Accent4 2 2 5 3" xfId="1481"/>
    <cellStyle name="20% - Accent4 2 2 5 4" xfId="1482"/>
    <cellStyle name="20% - Accent4 2 2 6" xfId="1483"/>
    <cellStyle name="20% - Accent4 2 2 6 2" xfId="1484"/>
    <cellStyle name="20% - Accent4 2 2 7" xfId="1485"/>
    <cellStyle name="20% - Accent4 2 2 8" xfId="1486"/>
    <cellStyle name="20% - Accent4 2 2 9" xfId="1487"/>
    <cellStyle name="20% - Accent4 2 3" xfId="1488"/>
    <cellStyle name="20% - Accent4 2 3 2" xfId="1489"/>
    <cellStyle name="20% - Accent4 2 3 2 2" xfId="1490"/>
    <cellStyle name="20% - Accent4 2 3 2 2 2" xfId="1491"/>
    <cellStyle name="20% - Accent4 2 3 2 2 3" xfId="1492"/>
    <cellStyle name="20% - Accent4 2 3 2 3" xfId="1493"/>
    <cellStyle name="20% - Accent4 2 3 2 4" xfId="1494"/>
    <cellStyle name="20% - Accent4 2 3 2 5" xfId="1495"/>
    <cellStyle name="20% - Accent4 2 3 2 6" xfId="1496"/>
    <cellStyle name="20% - Accent4 2 3 3" xfId="1497"/>
    <cellStyle name="20% - Accent4 2 3 3 2" xfId="1498"/>
    <cellStyle name="20% - Accent4 2 3 3 2 2" xfId="1499"/>
    <cellStyle name="20% - Accent4 2 3 3 3" xfId="1500"/>
    <cellStyle name="20% - Accent4 2 3 3 4" xfId="1501"/>
    <cellStyle name="20% - Accent4 2 3 3 5" xfId="1502"/>
    <cellStyle name="20% - Accent4 2 3 4" xfId="1503"/>
    <cellStyle name="20% - Accent4 2 3 4 2" xfId="1504"/>
    <cellStyle name="20% - Accent4 2 3 4 3" xfId="1505"/>
    <cellStyle name="20% - Accent4 2 3 4 4" xfId="1506"/>
    <cellStyle name="20% - Accent4 2 3 5" xfId="1507"/>
    <cellStyle name="20% - Accent4 2 3 5 2" xfId="1508"/>
    <cellStyle name="20% - Accent4 2 3 6" xfId="1509"/>
    <cellStyle name="20% - Accent4 2 3 7" xfId="1510"/>
    <cellStyle name="20% - Accent4 2 3 8" xfId="1511"/>
    <cellStyle name="20% - Accent4 2 3 9" xfId="1512"/>
    <cellStyle name="20% - Accent4 2 4" xfId="1513"/>
    <cellStyle name="20% - Accent4 2 4 2" xfId="1514"/>
    <cellStyle name="20% - Accent4 2 4 2 2" xfId="1515"/>
    <cellStyle name="20% - Accent4 2 4 2 3" xfId="1516"/>
    <cellStyle name="20% - Accent4 2 4 3" xfId="1517"/>
    <cellStyle name="20% - Accent4 2 4 4" xfId="1518"/>
    <cellStyle name="20% - Accent4 2 4 5" xfId="1519"/>
    <cellStyle name="20% - Accent4 2 4 6" xfId="1520"/>
    <cellStyle name="20% - Accent4 2 5" xfId="1521"/>
    <cellStyle name="20% - Accent4 2 5 2" xfId="1522"/>
    <cellStyle name="20% - Accent4 2 5 2 2" xfId="1523"/>
    <cellStyle name="20% - Accent4 2 5 3" xfId="1524"/>
    <cellStyle name="20% - Accent4 2 5 4" xfId="1525"/>
    <cellStyle name="20% - Accent4 2 5 5" xfId="1526"/>
    <cellStyle name="20% - Accent4 2 6" xfId="1527"/>
    <cellStyle name="20% - Accent4 2 6 2" xfId="1528"/>
    <cellStyle name="20% - Accent4 2 6 2 2" xfId="1529"/>
    <cellStyle name="20% - Accent4 2 6 3" xfId="1530"/>
    <cellStyle name="20% - Accent4 2 6 4" xfId="1531"/>
    <cellStyle name="20% - Accent4 2 6 5" xfId="1532"/>
    <cellStyle name="20% - Accent4 2 7" xfId="1533"/>
    <cellStyle name="20% - Accent4 2 7 2" xfId="1534"/>
    <cellStyle name="20% - Accent4 2 8" xfId="1535"/>
    <cellStyle name="20% - Accent4 2 9" xfId="1536"/>
    <cellStyle name="20% - Accent4 3" xfId="1537"/>
    <cellStyle name="20% - Accent4 3 10" xfId="1538"/>
    <cellStyle name="20% - Accent4 3 2" xfId="1539"/>
    <cellStyle name="20% - Accent4 3 2 2" xfId="1540"/>
    <cellStyle name="20% - Accent4 3 2 2 2" xfId="1541"/>
    <cellStyle name="20% - Accent4 3 2 2 2 2" xfId="1542"/>
    <cellStyle name="20% - Accent4 3 2 2 2 3" xfId="1543"/>
    <cellStyle name="20% - Accent4 3 2 2 3" xfId="1544"/>
    <cellStyle name="20% - Accent4 3 2 2 4" xfId="1545"/>
    <cellStyle name="20% - Accent4 3 2 2 5" xfId="1546"/>
    <cellStyle name="20% - Accent4 3 2 2 6" xfId="1547"/>
    <cellStyle name="20% - Accent4 3 2 3" xfId="1548"/>
    <cellStyle name="20% - Accent4 3 2 3 2" xfId="1549"/>
    <cellStyle name="20% - Accent4 3 2 3 2 2" xfId="1550"/>
    <cellStyle name="20% - Accent4 3 2 3 3" xfId="1551"/>
    <cellStyle name="20% - Accent4 3 2 3 4" xfId="1552"/>
    <cellStyle name="20% - Accent4 3 2 3 5" xfId="1553"/>
    <cellStyle name="20% - Accent4 3 2 4" xfId="1554"/>
    <cellStyle name="20% - Accent4 3 2 4 2" xfId="1555"/>
    <cellStyle name="20% - Accent4 3 2 4 3" xfId="1556"/>
    <cellStyle name="20% - Accent4 3 2 4 4" xfId="1557"/>
    <cellStyle name="20% - Accent4 3 2 5" xfId="1558"/>
    <cellStyle name="20% - Accent4 3 2 5 2" xfId="1559"/>
    <cellStyle name="20% - Accent4 3 2 6" xfId="1560"/>
    <cellStyle name="20% - Accent4 3 2 7" xfId="1561"/>
    <cellStyle name="20% - Accent4 3 2 8" xfId="1562"/>
    <cellStyle name="20% - Accent4 3 2 9" xfId="1563"/>
    <cellStyle name="20% - Accent4 3 3" xfId="1564"/>
    <cellStyle name="20% - Accent4 3 3 2" xfId="1565"/>
    <cellStyle name="20% - Accent4 3 3 2 2" xfId="1566"/>
    <cellStyle name="20% - Accent4 3 3 2 3" xfId="1567"/>
    <cellStyle name="20% - Accent4 3 3 3" xfId="1568"/>
    <cellStyle name="20% - Accent4 3 3 4" xfId="1569"/>
    <cellStyle name="20% - Accent4 3 3 5" xfId="1570"/>
    <cellStyle name="20% - Accent4 3 3 6" xfId="1571"/>
    <cellStyle name="20% - Accent4 3 4" xfId="1572"/>
    <cellStyle name="20% - Accent4 3 4 2" xfId="1573"/>
    <cellStyle name="20% - Accent4 3 4 2 2" xfId="1574"/>
    <cellStyle name="20% - Accent4 3 4 3" xfId="1575"/>
    <cellStyle name="20% - Accent4 3 4 4" xfId="1576"/>
    <cellStyle name="20% - Accent4 3 4 5" xfId="1577"/>
    <cellStyle name="20% - Accent4 3 5" xfId="1578"/>
    <cellStyle name="20% - Accent4 3 5 2" xfId="1579"/>
    <cellStyle name="20% - Accent4 3 5 2 2" xfId="1580"/>
    <cellStyle name="20% - Accent4 3 5 3" xfId="1581"/>
    <cellStyle name="20% - Accent4 3 5 4" xfId="1582"/>
    <cellStyle name="20% - Accent4 3 5 5" xfId="1583"/>
    <cellStyle name="20% - Accent4 3 6" xfId="1584"/>
    <cellStyle name="20% - Accent4 3 6 2" xfId="1585"/>
    <cellStyle name="20% - Accent4 3 7" xfId="1586"/>
    <cellStyle name="20% - Accent4 3 8" xfId="1587"/>
    <cellStyle name="20% - Accent4 3 9" xfId="1588"/>
    <cellStyle name="20% - Accent4 4" xfId="1589"/>
    <cellStyle name="20% - Accent4 4 10" xfId="1590"/>
    <cellStyle name="20% - Accent4 4 2" xfId="1591"/>
    <cellStyle name="20% - Accent4 4 2 2" xfId="1592"/>
    <cellStyle name="20% - Accent4 4 2 2 2" xfId="1593"/>
    <cellStyle name="20% - Accent4 4 2 2 2 2" xfId="1594"/>
    <cellStyle name="20% - Accent4 4 2 2 2 3" xfId="1595"/>
    <cellStyle name="20% - Accent4 4 2 2 3" xfId="1596"/>
    <cellStyle name="20% - Accent4 4 2 2 4" xfId="1597"/>
    <cellStyle name="20% - Accent4 4 2 2 5" xfId="1598"/>
    <cellStyle name="20% - Accent4 4 2 2 6" xfId="1599"/>
    <cellStyle name="20% - Accent4 4 2 3" xfId="1600"/>
    <cellStyle name="20% - Accent4 4 2 3 2" xfId="1601"/>
    <cellStyle name="20% - Accent4 4 2 3 2 2" xfId="1602"/>
    <cellStyle name="20% - Accent4 4 2 3 3" xfId="1603"/>
    <cellStyle name="20% - Accent4 4 2 3 4" xfId="1604"/>
    <cellStyle name="20% - Accent4 4 2 3 5" xfId="1605"/>
    <cellStyle name="20% - Accent4 4 2 4" xfId="1606"/>
    <cellStyle name="20% - Accent4 4 2 4 2" xfId="1607"/>
    <cellStyle name="20% - Accent4 4 2 4 3" xfId="1608"/>
    <cellStyle name="20% - Accent4 4 2 4 4" xfId="1609"/>
    <cellStyle name="20% - Accent4 4 2 5" xfId="1610"/>
    <cellStyle name="20% - Accent4 4 2 5 2" xfId="1611"/>
    <cellStyle name="20% - Accent4 4 2 6" xfId="1612"/>
    <cellStyle name="20% - Accent4 4 2 7" xfId="1613"/>
    <cellStyle name="20% - Accent4 4 2 8" xfId="1614"/>
    <cellStyle name="20% - Accent4 4 2 9" xfId="1615"/>
    <cellStyle name="20% - Accent4 4 3" xfId="1616"/>
    <cellStyle name="20% - Accent4 4 3 2" xfId="1617"/>
    <cellStyle name="20% - Accent4 4 3 2 2" xfId="1618"/>
    <cellStyle name="20% - Accent4 4 3 2 3" xfId="1619"/>
    <cellStyle name="20% - Accent4 4 3 3" xfId="1620"/>
    <cellStyle name="20% - Accent4 4 3 4" xfId="1621"/>
    <cellStyle name="20% - Accent4 4 3 5" xfId="1622"/>
    <cellStyle name="20% - Accent4 4 3 6" xfId="1623"/>
    <cellStyle name="20% - Accent4 4 4" xfId="1624"/>
    <cellStyle name="20% - Accent4 4 4 2" xfId="1625"/>
    <cellStyle name="20% - Accent4 4 4 2 2" xfId="1626"/>
    <cellStyle name="20% - Accent4 4 4 3" xfId="1627"/>
    <cellStyle name="20% - Accent4 4 4 4" xfId="1628"/>
    <cellStyle name="20% - Accent4 4 4 5" xfId="1629"/>
    <cellStyle name="20% - Accent4 4 5" xfId="1630"/>
    <cellStyle name="20% - Accent4 4 5 2" xfId="1631"/>
    <cellStyle name="20% - Accent4 4 5 2 2" xfId="1632"/>
    <cellStyle name="20% - Accent4 4 5 3" xfId="1633"/>
    <cellStyle name="20% - Accent4 4 5 4" xfId="1634"/>
    <cellStyle name="20% - Accent4 4 5 5" xfId="1635"/>
    <cellStyle name="20% - Accent4 4 6" xfId="1636"/>
    <cellStyle name="20% - Accent4 4 6 2" xfId="1637"/>
    <cellStyle name="20% - Accent4 4 7" xfId="1638"/>
    <cellStyle name="20% - Accent4 4 8" xfId="1639"/>
    <cellStyle name="20% - Accent4 4 9" xfId="1640"/>
    <cellStyle name="20% - Accent4 5" xfId="1641"/>
    <cellStyle name="20% - Accent4 5 10" xfId="1642"/>
    <cellStyle name="20% - Accent4 5 2" xfId="1643"/>
    <cellStyle name="20% - Accent4 5 2 2" xfId="1644"/>
    <cellStyle name="20% - Accent4 5 2 2 2" xfId="1645"/>
    <cellStyle name="20% - Accent4 5 2 2 2 2" xfId="1646"/>
    <cellStyle name="20% - Accent4 5 2 2 2 3" xfId="1647"/>
    <cellStyle name="20% - Accent4 5 2 2 3" xfId="1648"/>
    <cellStyle name="20% - Accent4 5 2 2 4" xfId="1649"/>
    <cellStyle name="20% - Accent4 5 2 2 5" xfId="1650"/>
    <cellStyle name="20% - Accent4 5 2 2 6" xfId="1651"/>
    <cellStyle name="20% - Accent4 5 2 3" xfId="1652"/>
    <cellStyle name="20% - Accent4 5 2 3 2" xfId="1653"/>
    <cellStyle name="20% - Accent4 5 2 3 2 2" xfId="1654"/>
    <cellStyle name="20% - Accent4 5 2 3 3" xfId="1655"/>
    <cellStyle name="20% - Accent4 5 2 3 4" xfId="1656"/>
    <cellStyle name="20% - Accent4 5 2 3 5" xfId="1657"/>
    <cellStyle name="20% - Accent4 5 2 4" xfId="1658"/>
    <cellStyle name="20% - Accent4 5 2 4 2" xfId="1659"/>
    <cellStyle name="20% - Accent4 5 2 4 3" xfId="1660"/>
    <cellStyle name="20% - Accent4 5 2 4 4" xfId="1661"/>
    <cellStyle name="20% - Accent4 5 2 5" xfId="1662"/>
    <cellStyle name="20% - Accent4 5 2 5 2" xfId="1663"/>
    <cellStyle name="20% - Accent4 5 2 6" xfId="1664"/>
    <cellStyle name="20% - Accent4 5 2 7" xfId="1665"/>
    <cellStyle name="20% - Accent4 5 2 8" xfId="1666"/>
    <cellStyle name="20% - Accent4 5 2 9" xfId="1667"/>
    <cellStyle name="20% - Accent4 5 3" xfId="1668"/>
    <cellStyle name="20% - Accent4 5 3 2" xfId="1669"/>
    <cellStyle name="20% - Accent4 5 3 2 2" xfId="1670"/>
    <cellStyle name="20% - Accent4 5 3 2 3" xfId="1671"/>
    <cellStyle name="20% - Accent4 5 3 3" xfId="1672"/>
    <cellStyle name="20% - Accent4 5 3 4" xfId="1673"/>
    <cellStyle name="20% - Accent4 5 3 5" xfId="1674"/>
    <cellStyle name="20% - Accent4 5 3 6" xfId="1675"/>
    <cellStyle name="20% - Accent4 5 4" xfId="1676"/>
    <cellStyle name="20% - Accent4 5 4 2" xfId="1677"/>
    <cellStyle name="20% - Accent4 5 4 2 2" xfId="1678"/>
    <cellStyle name="20% - Accent4 5 4 3" xfId="1679"/>
    <cellStyle name="20% - Accent4 5 4 4" xfId="1680"/>
    <cellStyle name="20% - Accent4 5 4 5" xfId="1681"/>
    <cellStyle name="20% - Accent4 5 5" xfId="1682"/>
    <cellStyle name="20% - Accent4 5 5 2" xfId="1683"/>
    <cellStyle name="20% - Accent4 5 5 3" xfId="1684"/>
    <cellStyle name="20% - Accent4 5 5 4" xfId="1685"/>
    <cellStyle name="20% - Accent4 5 6" xfId="1686"/>
    <cellStyle name="20% - Accent4 5 6 2" xfId="1687"/>
    <cellStyle name="20% - Accent4 5 7" xfId="1688"/>
    <cellStyle name="20% - Accent4 5 8" xfId="1689"/>
    <cellStyle name="20% - Accent4 5 9" xfId="1690"/>
    <cellStyle name="20% - Accent4 6" xfId="1691"/>
    <cellStyle name="20% - Accent4 6 10" xfId="1692"/>
    <cellStyle name="20% - Accent4 6 2" xfId="1693"/>
    <cellStyle name="20% - Accent4 6 2 2" xfId="1694"/>
    <cellStyle name="20% - Accent4 6 2 2 2" xfId="1695"/>
    <cellStyle name="20% - Accent4 6 2 2 2 2" xfId="1696"/>
    <cellStyle name="20% - Accent4 6 2 2 2 3" xfId="1697"/>
    <cellStyle name="20% - Accent4 6 2 2 3" xfId="1698"/>
    <cellStyle name="20% - Accent4 6 2 2 4" xfId="1699"/>
    <cellStyle name="20% - Accent4 6 2 2 5" xfId="1700"/>
    <cellStyle name="20% - Accent4 6 2 2 6" xfId="1701"/>
    <cellStyle name="20% - Accent4 6 2 3" xfId="1702"/>
    <cellStyle name="20% - Accent4 6 2 3 2" xfId="1703"/>
    <cellStyle name="20% - Accent4 6 2 3 2 2" xfId="1704"/>
    <cellStyle name="20% - Accent4 6 2 3 3" xfId="1705"/>
    <cellStyle name="20% - Accent4 6 2 3 4" xfId="1706"/>
    <cellStyle name="20% - Accent4 6 2 3 5" xfId="1707"/>
    <cellStyle name="20% - Accent4 6 2 4" xfId="1708"/>
    <cellStyle name="20% - Accent4 6 2 4 2" xfId="1709"/>
    <cellStyle name="20% - Accent4 6 2 4 3" xfId="1710"/>
    <cellStyle name="20% - Accent4 6 2 4 4" xfId="1711"/>
    <cellStyle name="20% - Accent4 6 2 5" xfId="1712"/>
    <cellStyle name="20% - Accent4 6 2 5 2" xfId="1713"/>
    <cellStyle name="20% - Accent4 6 2 6" xfId="1714"/>
    <cellStyle name="20% - Accent4 6 2 7" xfId="1715"/>
    <cellStyle name="20% - Accent4 6 2 8" xfId="1716"/>
    <cellStyle name="20% - Accent4 6 2 9" xfId="1717"/>
    <cellStyle name="20% - Accent4 6 3" xfId="1718"/>
    <cellStyle name="20% - Accent4 6 3 2" xfId="1719"/>
    <cellStyle name="20% - Accent4 6 3 2 2" xfId="1720"/>
    <cellStyle name="20% - Accent4 6 3 2 3" xfId="1721"/>
    <cellStyle name="20% - Accent4 6 3 3" xfId="1722"/>
    <cellStyle name="20% - Accent4 6 3 4" xfId="1723"/>
    <cellStyle name="20% - Accent4 6 3 5" xfId="1724"/>
    <cellStyle name="20% - Accent4 6 3 6" xfId="1725"/>
    <cellStyle name="20% - Accent4 6 4" xfId="1726"/>
    <cellStyle name="20% - Accent4 6 4 2" xfId="1727"/>
    <cellStyle name="20% - Accent4 6 4 2 2" xfId="1728"/>
    <cellStyle name="20% - Accent4 6 4 3" xfId="1729"/>
    <cellStyle name="20% - Accent4 6 4 4" xfId="1730"/>
    <cellStyle name="20% - Accent4 6 4 5" xfId="1731"/>
    <cellStyle name="20% - Accent4 6 5" xfId="1732"/>
    <cellStyle name="20% - Accent4 6 5 2" xfId="1733"/>
    <cellStyle name="20% - Accent4 6 5 3" xfId="1734"/>
    <cellStyle name="20% - Accent4 6 5 4" xfId="1735"/>
    <cellStyle name="20% - Accent4 6 6" xfId="1736"/>
    <cellStyle name="20% - Accent4 6 6 2" xfId="1737"/>
    <cellStyle name="20% - Accent4 6 7" xfId="1738"/>
    <cellStyle name="20% - Accent4 6 8" xfId="1739"/>
    <cellStyle name="20% - Accent4 6 9" xfId="1740"/>
    <cellStyle name="20% - Accent4 7" xfId="1741"/>
    <cellStyle name="20% - Accent4 7 2" xfId="1742"/>
    <cellStyle name="20% - Accent4 7 2 2" xfId="1743"/>
    <cellStyle name="20% - Accent4 7 2 2 2" xfId="1744"/>
    <cellStyle name="20% - Accent4 7 2 2 3" xfId="1745"/>
    <cellStyle name="20% - Accent4 7 2 3" xfId="1746"/>
    <cellStyle name="20% - Accent4 7 2 4" xfId="1747"/>
    <cellStyle name="20% - Accent4 7 2 5" xfId="1748"/>
    <cellStyle name="20% - Accent4 7 2 6" xfId="1749"/>
    <cellStyle name="20% - Accent4 7 3" xfId="1750"/>
    <cellStyle name="20% - Accent4 7 3 2" xfId="1751"/>
    <cellStyle name="20% - Accent4 7 3 2 2" xfId="1752"/>
    <cellStyle name="20% - Accent4 7 3 3" xfId="1753"/>
    <cellStyle name="20% - Accent4 7 3 4" xfId="1754"/>
    <cellStyle name="20% - Accent4 7 3 5" xfId="1755"/>
    <cellStyle name="20% - Accent4 7 4" xfId="1756"/>
    <cellStyle name="20% - Accent4 7 4 2" xfId="1757"/>
    <cellStyle name="20% - Accent4 7 4 3" xfId="1758"/>
    <cellStyle name="20% - Accent4 7 4 4" xfId="1759"/>
    <cellStyle name="20% - Accent4 7 5" xfId="1760"/>
    <cellStyle name="20% - Accent4 7 5 2" xfId="1761"/>
    <cellStyle name="20% - Accent4 7 6" xfId="1762"/>
    <cellStyle name="20% - Accent4 7 7" xfId="1763"/>
    <cellStyle name="20% - Accent4 7 8" xfId="1764"/>
    <cellStyle name="20% - Accent4 7 9" xfId="1765"/>
    <cellStyle name="20% - Accent4 8" xfId="1766"/>
    <cellStyle name="20% - Accent4 8 2" xfId="1767"/>
    <cellStyle name="20% - Accent4 8 2 2" xfId="1768"/>
    <cellStyle name="20% - Accent4 8 2 2 2" xfId="1769"/>
    <cellStyle name="20% - Accent4 8 2 2 3" xfId="1770"/>
    <cellStyle name="20% - Accent4 8 2 3" xfId="1771"/>
    <cellStyle name="20% - Accent4 8 2 4" xfId="1772"/>
    <cellStyle name="20% - Accent4 8 2 5" xfId="1773"/>
    <cellStyle name="20% - Accent4 8 2 6" xfId="1774"/>
    <cellStyle name="20% - Accent4 8 3" xfId="1775"/>
    <cellStyle name="20% - Accent4 8 3 2" xfId="1776"/>
    <cellStyle name="20% - Accent4 8 3 2 2" xfId="1777"/>
    <cellStyle name="20% - Accent4 8 3 3" xfId="1778"/>
    <cellStyle name="20% - Accent4 8 3 4" xfId="1779"/>
    <cellStyle name="20% - Accent4 8 3 5" xfId="1780"/>
    <cellStyle name="20% - Accent4 8 4" xfId="1781"/>
    <cellStyle name="20% - Accent4 8 4 2" xfId="1782"/>
    <cellStyle name="20% - Accent4 8 4 3" xfId="1783"/>
    <cellStyle name="20% - Accent4 8 4 4" xfId="1784"/>
    <cellStyle name="20% - Accent4 8 5" xfId="1785"/>
    <cellStyle name="20% - Accent4 8 5 2" xfId="1786"/>
    <cellStyle name="20% - Accent4 8 6" xfId="1787"/>
    <cellStyle name="20% - Accent4 8 7" xfId="1788"/>
    <cellStyle name="20% - Accent4 8 8" xfId="1789"/>
    <cellStyle name="20% - Accent4 8 9" xfId="1790"/>
    <cellStyle name="20% - Accent4 9" xfId="1791"/>
    <cellStyle name="20% - Accent4 9 2" xfId="1792"/>
    <cellStyle name="20% - Accent4 9 2 2" xfId="1793"/>
    <cellStyle name="20% - Accent4 9 2 2 2" xfId="1794"/>
    <cellStyle name="20% - Accent4 9 2 3" xfId="1795"/>
    <cellStyle name="20% - Accent4 9 2 4" xfId="1796"/>
    <cellStyle name="20% - Accent4 9 2 5" xfId="1797"/>
    <cellStyle name="20% - Accent4 9 3" xfId="1798"/>
    <cellStyle name="20% - Accent4 9 3 2" xfId="1799"/>
    <cellStyle name="20% - Accent4 9 3 3" xfId="1800"/>
    <cellStyle name="20% - Accent4 9 3 4" xfId="1801"/>
    <cellStyle name="20% - Accent4 9 4" xfId="1802"/>
    <cellStyle name="20% - Accent4 9 4 2" xfId="1803"/>
    <cellStyle name="20% - Accent4 9 5" xfId="1804"/>
    <cellStyle name="20% - Accent4 9 6" xfId="1805"/>
    <cellStyle name="20% - Accent4 9 7" xfId="1806"/>
    <cellStyle name="20% - Accent4 9 8" xfId="1807"/>
    <cellStyle name="20% - Accent5 10" xfId="1808"/>
    <cellStyle name="20% - Accent5 10 2" xfId="1809"/>
    <cellStyle name="20% - Accent5 10 2 2" xfId="1810"/>
    <cellStyle name="20% - Accent5 10 2 2 2" xfId="1811"/>
    <cellStyle name="20% - Accent5 10 2 3" xfId="1812"/>
    <cellStyle name="20% - Accent5 10 2 4" xfId="1813"/>
    <cellStyle name="20% - Accent5 10 2 5" xfId="1814"/>
    <cellStyle name="20% - Accent5 10 3" xfId="1815"/>
    <cellStyle name="20% - Accent5 10 3 2" xfId="1816"/>
    <cellStyle name="20% - Accent5 10 3 3" xfId="1817"/>
    <cellStyle name="20% - Accent5 10 3 4" xfId="1818"/>
    <cellStyle name="20% - Accent5 10 4" xfId="1819"/>
    <cellStyle name="20% - Accent5 10 4 2" xfId="1820"/>
    <cellStyle name="20% - Accent5 10 5" xfId="1821"/>
    <cellStyle name="20% - Accent5 10 6" xfId="1822"/>
    <cellStyle name="20% - Accent5 10 7" xfId="1823"/>
    <cellStyle name="20% - Accent5 10 8" xfId="1824"/>
    <cellStyle name="20% - Accent5 11" xfId="1825"/>
    <cellStyle name="20% - Accent5 11 2" xfId="1826"/>
    <cellStyle name="20% - Accent5 11 2 2" xfId="1827"/>
    <cellStyle name="20% - Accent5 11 2 2 2" xfId="1828"/>
    <cellStyle name="20% - Accent5 11 2 3" xfId="1829"/>
    <cellStyle name="20% - Accent5 11 2 4" xfId="1830"/>
    <cellStyle name="20% - Accent5 11 2 5" xfId="1831"/>
    <cellStyle name="20% - Accent5 11 3" xfId="1832"/>
    <cellStyle name="20% - Accent5 11 3 2" xfId="1833"/>
    <cellStyle name="20% - Accent5 11 3 3" xfId="1834"/>
    <cellStyle name="20% - Accent5 11 3 4" xfId="1835"/>
    <cellStyle name="20% - Accent5 11 4" xfId="1836"/>
    <cellStyle name="20% - Accent5 11 4 2" xfId="1837"/>
    <cellStyle name="20% - Accent5 11 5" xfId="1838"/>
    <cellStyle name="20% - Accent5 11 6" xfId="1839"/>
    <cellStyle name="20% - Accent5 11 7" xfId="1840"/>
    <cellStyle name="20% - Accent5 11 8" xfId="1841"/>
    <cellStyle name="20% - Accent5 12" xfId="1842"/>
    <cellStyle name="20% - Accent5 12 2" xfId="1843"/>
    <cellStyle name="20% - Accent5 12 2 2" xfId="1844"/>
    <cellStyle name="20% - Accent5 12 2 2 2" xfId="1845"/>
    <cellStyle name="20% - Accent5 12 2 3" xfId="1846"/>
    <cellStyle name="20% - Accent5 12 2 4" xfId="1847"/>
    <cellStyle name="20% - Accent5 12 2 5" xfId="1848"/>
    <cellStyle name="20% - Accent5 12 3" xfId="1849"/>
    <cellStyle name="20% - Accent5 12 3 2" xfId="1850"/>
    <cellStyle name="20% - Accent5 12 3 3" xfId="1851"/>
    <cellStyle name="20% - Accent5 12 3 4" xfId="1852"/>
    <cellStyle name="20% - Accent5 12 4" xfId="1853"/>
    <cellStyle name="20% - Accent5 12 4 2" xfId="1854"/>
    <cellStyle name="20% - Accent5 12 5" xfId="1855"/>
    <cellStyle name="20% - Accent5 12 6" xfId="1856"/>
    <cellStyle name="20% - Accent5 12 7" xfId="1857"/>
    <cellStyle name="20% - Accent5 12 8" xfId="1858"/>
    <cellStyle name="20% - Accent5 13" xfId="1859"/>
    <cellStyle name="20% - Accent5 13 2" xfId="1860"/>
    <cellStyle name="20% - Accent5 13 2 2" xfId="1861"/>
    <cellStyle name="20% - Accent5 13 2 3" xfId="1862"/>
    <cellStyle name="20% - Accent5 13 2 4" xfId="1863"/>
    <cellStyle name="20% - Accent5 13 3" xfId="1864"/>
    <cellStyle name="20% - Accent5 13 3 2" xfId="1865"/>
    <cellStyle name="20% - Accent5 13 4" xfId="1866"/>
    <cellStyle name="20% - Accent5 13 5" xfId="1867"/>
    <cellStyle name="20% - Accent5 13 6" xfId="1868"/>
    <cellStyle name="20% - Accent5 14" xfId="1869"/>
    <cellStyle name="20% - Accent5 14 2" xfId="1870"/>
    <cellStyle name="20% - Accent5 14 2 2" xfId="1871"/>
    <cellStyle name="20% - Accent5 14 3" xfId="1872"/>
    <cellStyle name="20% - Accent5 14 4" xfId="1873"/>
    <cellStyle name="20% - Accent5 14 5" xfId="1874"/>
    <cellStyle name="20% - Accent5 15" xfId="1875"/>
    <cellStyle name="20% - Accent5 15 2" xfId="1876"/>
    <cellStyle name="20% - Accent5 15 2 2" xfId="1877"/>
    <cellStyle name="20% - Accent5 15 3" xfId="1878"/>
    <cellStyle name="20% - Accent5 15 4" xfId="1879"/>
    <cellStyle name="20% - Accent5 15 5" xfId="1880"/>
    <cellStyle name="20% - Accent5 16" xfId="1881"/>
    <cellStyle name="20% - Accent5 16 2" xfId="1882"/>
    <cellStyle name="20% - Accent5 17" xfId="1883"/>
    <cellStyle name="20% - Accent5 18" xfId="1884"/>
    <cellStyle name="20% - Accent5 19" xfId="1885"/>
    <cellStyle name="20% - Accent5 2" xfId="1886"/>
    <cellStyle name="20% - Accent5 2 10" xfId="1887"/>
    <cellStyle name="20% - Accent5 2 11" xfId="1888"/>
    <cellStyle name="20% - Accent5 2 2" xfId="1889"/>
    <cellStyle name="20% - Accent5 2 2 10" xfId="1890"/>
    <cellStyle name="20% - Accent5 2 2 2" xfId="1891"/>
    <cellStyle name="20% - Accent5 2 2 2 2" xfId="1892"/>
    <cellStyle name="20% - Accent5 2 2 2 2 2" xfId="1893"/>
    <cellStyle name="20% - Accent5 2 2 2 2 2 2" xfId="1894"/>
    <cellStyle name="20% - Accent5 2 2 2 2 2 3" xfId="1895"/>
    <cellStyle name="20% - Accent5 2 2 2 2 3" xfId="1896"/>
    <cellStyle name="20% - Accent5 2 2 2 2 4" xfId="1897"/>
    <cellStyle name="20% - Accent5 2 2 2 2 5" xfId="1898"/>
    <cellStyle name="20% - Accent5 2 2 2 2 6" xfId="1899"/>
    <cellStyle name="20% - Accent5 2 2 2 3" xfId="1900"/>
    <cellStyle name="20% - Accent5 2 2 2 3 2" xfId="1901"/>
    <cellStyle name="20% - Accent5 2 2 2 3 2 2" xfId="1902"/>
    <cellStyle name="20% - Accent5 2 2 2 3 3" xfId="1903"/>
    <cellStyle name="20% - Accent5 2 2 2 3 4" xfId="1904"/>
    <cellStyle name="20% - Accent5 2 2 2 3 5" xfId="1905"/>
    <cellStyle name="20% - Accent5 2 2 2 4" xfId="1906"/>
    <cellStyle name="20% - Accent5 2 2 2 4 2" xfId="1907"/>
    <cellStyle name="20% - Accent5 2 2 2 4 3" xfId="1908"/>
    <cellStyle name="20% - Accent5 2 2 2 4 4" xfId="1909"/>
    <cellStyle name="20% - Accent5 2 2 2 5" xfId="1910"/>
    <cellStyle name="20% - Accent5 2 2 2 5 2" xfId="1911"/>
    <cellStyle name="20% - Accent5 2 2 2 6" xfId="1912"/>
    <cellStyle name="20% - Accent5 2 2 2 7" xfId="1913"/>
    <cellStyle name="20% - Accent5 2 2 2 8" xfId="1914"/>
    <cellStyle name="20% - Accent5 2 2 2 9" xfId="1915"/>
    <cellStyle name="20% - Accent5 2 2 3" xfId="1916"/>
    <cellStyle name="20% - Accent5 2 2 3 2" xfId="1917"/>
    <cellStyle name="20% - Accent5 2 2 3 2 2" xfId="1918"/>
    <cellStyle name="20% - Accent5 2 2 3 2 3" xfId="1919"/>
    <cellStyle name="20% - Accent5 2 2 3 3" xfId="1920"/>
    <cellStyle name="20% - Accent5 2 2 3 4" xfId="1921"/>
    <cellStyle name="20% - Accent5 2 2 3 5" xfId="1922"/>
    <cellStyle name="20% - Accent5 2 2 3 6" xfId="1923"/>
    <cellStyle name="20% - Accent5 2 2 4" xfId="1924"/>
    <cellStyle name="20% - Accent5 2 2 4 2" xfId="1925"/>
    <cellStyle name="20% - Accent5 2 2 4 2 2" xfId="1926"/>
    <cellStyle name="20% - Accent5 2 2 4 3" xfId="1927"/>
    <cellStyle name="20% - Accent5 2 2 4 4" xfId="1928"/>
    <cellStyle name="20% - Accent5 2 2 4 5" xfId="1929"/>
    <cellStyle name="20% - Accent5 2 2 5" xfId="1930"/>
    <cellStyle name="20% - Accent5 2 2 5 2" xfId="1931"/>
    <cellStyle name="20% - Accent5 2 2 5 3" xfId="1932"/>
    <cellStyle name="20% - Accent5 2 2 5 4" xfId="1933"/>
    <cellStyle name="20% - Accent5 2 2 6" xfId="1934"/>
    <cellStyle name="20% - Accent5 2 2 6 2" xfId="1935"/>
    <cellStyle name="20% - Accent5 2 2 7" xfId="1936"/>
    <cellStyle name="20% - Accent5 2 2 8" xfId="1937"/>
    <cellStyle name="20% - Accent5 2 2 9" xfId="1938"/>
    <cellStyle name="20% - Accent5 2 3" xfId="1939"/>
    <cellStyle name="20% - Accent5 2 3 2" xfId="1940"/>
    <cellStyle name="20% - Accent5 2 3 2 2" xfId="1941"/>
    <cellStyle name="20% - Accent5 2 3 2 2 2" xfId="1942"/>
    <cellStyle name="20% - Accent5 2 3 2 2 3" xfId="1943"/>
    <cellStyle name="20% - Accent5 2 3 2 3" xfId="1944"/>
    <cellStyle name="20% - Accent5 2 3 2 4" xfId="1945"/>
    <cellStyle name="20% - Accent5 2 3 2 5" xfId="1946"/>
    <cellStyle name="20% - Accent5 2 3 2 6" xfId="1947"/>
    <cellStyle name="20% - Accent5 2 3 3" xfId="1948"/>
    <cellStyle name="20% - Accent5 2 3 3 2" xfId="1949"/>
    <cellStyle name="20% - Accent5 2 3 3 2 2" xfId="1950"/>
    <cellStyle name="20% - Accent5 2 3 3 3" xfId="1951"/>
    <cellStyle name="20% - Accent5 2 3 3 4" xfId="1952"/>
    <cellStyle name="20% - Accent5 2 3 3 5" xfId="1953"/>
    <cellStyle name="20% - Accent5 2 3 4" xfId="1954"/>
    <cellStyle name="20% - Accent5 2 3 4 2" xfId="1955"/>
    <cellStyle name="20% - Accent5 2 3 4 3" xfId="1956"/>
    <cellStyle name="20% - Accent5 2 3 4 4" xfId="1957"/>
    <cellStyle name="20% - Accent5 2 3 5" xfId="1958"/>
    <cellStyle name="20% - Accent5 2 3 5 2" xfId="1959"/>
    <cellStyle name="20% - Accent5 2 3 6" xfId="1960"/>
    <cellStyle name="20% - Accent5 2 3 7" xfId="1961"/>
    <cellStyle name="20% - Accent5 2 3 8" xfId="1962"/>
    <cellStyle name="20% - Accent5 2 3 9" xfId="1963"/>
    <cellStyle name="20% - Accent5 2 4" xfId="1964"/>
    <cellStyle name="20% - Accent5 2 4 2" xfId="1965"/>
    <cellStyle name="20% - Accent5 2 4 2 2" xfId="1966"/>
    <cellStyle name="20% - Accent5 2 4 2 3" xfId="1967"/>
    <cellStyle name="20% - Accent5 2 4 3" xfId="1968"/>
    <cellStyle name="20% - Accent5 2 4 4" xfId="1969"/>
    <cellStyle name="20% - Accent5 2 4 5" xfId="1970"/>
    <cellStyle name="20% - Accent5 2 4 6" xfId="1971"/>
    <cellStyle name="20% - Accent5 2 5" xfId="1972"/>
    <cellStyle name="20% - Accent5 2 5 2" xfId="1973"/>
    <cellStyle name="20% - Accent5 2 5 2 2" xfId="1974"/>
    <cellStyle name="20% - Accent5 2 5 3" xfId="1975"/>
    <cellStyle name="20% - Accent5 2 5 4" xfId="1976"/>
    <cellStyle name="20% - Accent5 2 5 5" xfId="1977"/>
    <cellStyle name="20% - Accent5 2 6" xfId="1978"/>
    <cellStyle name="20% - Accent5 2 6 2" xfId="1979"/>
    <cellStyle name="20% - Accent5 2 6 2 2" xfId="1980"/>
    <cellStyle name="20% - Accent5 2 6 3" xfId="1981"/>
    <cellStyle name="20% - Accent5 2 6 4" xfId="1982"/>
    <cellStyle name="20% - Accent5 2 6 5" xfId="1983"/>
    <cellStyle name="20% - Accent5 2 7" xfId="1984"/>
    <cellStyle name="20% - Accent5 2 7 2" xfId="1985"/>
    <cellStyle name="20% - Accent5 2 8" xfId="1986"/>
    <cellStyle name="20% - Accent5 2 9" xfId="1987"/>
    <cellStyle name="20% - Accent5 3" xfId="1988"/>
    <cellStyle name="20% - Accent5 3 10" xfId="1989"/>
    <cellStyle name="20% - Accent5 3 2" xfId="1990"/>
    <cellStyle name="20% - Accent5 3 2 2" xfId="1991"/>
    <cellStyle name="20% - Accent5 3 2 2 2" xfId="1992"/>
    <cellStyle name="20% - Accent5 3 2 2 2 2" xfId="1993"/>
    <cellStyle name="20% - Accent5 3 2 2 2 3" xfId="1994"/>
    <cellStyle name="20% - Accent5 3 2 2 3" xfId="1995"/>
    <cellStyle name="20% - Accent5 3 2 2 4" xfId="1996"/>
    <cellStyle name="20% - Accent5 3 2 2 5" xfId="1997"/>
    <cellStyle name="20% - Accent5 3 2 2 6" xfId="1998"/>
    <cellStyle name="20% - Accent5 3 2 3" xfId="1999"/>
    <cellStyle name="20% - Accent5 3 2 3 2" xfId="2000"/>
    <cellStyle name="20% - Accent5 3 2 3 2 2" xfId="2001"/>
    <cellStyle name="20% - Accent5 3 2 3 3" xfId="2002"/>
    <cellStyle name="20% - Accent5 3 2 3 4" xfId="2003"/>
    <cellStyle name="20% - Accent5 3 2 3 5" xfId="2004"/>
    <cellStyle name="20% - Accent5 3 2 4" xfId="2005"/>
    <cellStyle name="20% - Accent5 3 2 4 2" xfId="2006"/>
    <cellStyle name="20% - Accent5 3 2 4 3" xfId="2007"/>
    <cellStyle name="20% - Accent5 3 2 4 4" xfId="2008"/>
    <cellStyle name="20% - Accent5 3 2 5" xfId="2009"/>
    <cellStyle name="20% - Accent5 3 2 5 2" xfId="2010"/>
    <cellStyle name="20% - Accent5 3 2 6" xfId="2011"/>
    <cellStyle name="20% - Accent5 3 2 7" xfId="2012"/>
    <cellStyle name="20% - Accent5 3 2 8" xfId="2013"/>
    <cellStyle name="20% - Accent5 3 2 9" xfId="2014"/>
    <cellStyle name="20% - Accent5 3 3" xfId="2015"/>
    <cellStyle name="20% - Accent5 3 3 2" xfId="2016"/>
    <cellStyle name="20% - Accent5 3 3 2 2" xfId="2017"/>
    <cellStyle name="20% - Accent5 3 3 2 3" xfId="2018"/>
    <cellStyle name="20% - Accent5 3 3 3" xfId="2019"/>
    <cellStyle name="20% - Accent5 3 3 4" xfId="2020"/>
    <cellStyle name="20% - Accent5 3 3 5" xfId="2021"/>
    <cellStyle name="20% - Accent5 3 3 6" xfId="2022"/>
    <cellStyle name="20% - Accent5 3 4" xfId="2023"/>
    <cellStyle name="20% - Accent5 3 4 2" xfId="2024"/>
    <cellStyle name="20% - Accent5 3 4 2 2" xfId="2025"/>
    <cellStyle name="20% - Accent5 3 4 3" xfId="2026"/>
    <cellStyle name="20% - Accent5 3 4 4" xfId="2027"/>
    <cellStyle name="20% - Accent5 3 4 5" xfId="2028"/>
    <cellStyle name="20% - Accent5 3 5" xfId="2029"/>
    <cellStyle name="20% - Accent5 3 5 2" xfId="2030"/>
    <cellStyle name="20% - Accent5 3 5 2 2" xfId="2031"/>
    <cellStyle name="20% - Accent5 3 5 3" xfId="2032"/>
    <cellStyle name="20% - Accent5 3 5 4" xfId="2033"/>
    <cellStyle name="20% - Accent5 3 5 5" xfId="2034"/>
    <cellStyle name="20% - Accent5 3 6" xfId="2035"/>
    <cellStyle name="20% - Accent5 3 6 2" xfId="2036"/>
    <cellStyle name="20% - Accent5 3 7" xfId="2037"/>
    <cellStyle name="20% - Accent5 3 8" xfId="2038"/>
    <cellStyle name="20% - Accent5 3 9" xfId="2039"/>
    <cellStyle name="20% - Accent5 4" xfId="2040"/>
    <cellStyle name="20% - Accent5 4 10" xfId="2041"/>
    <cellStyle name="20% - Accent5 4 2" xfId="2042"/>
    <cellStyle name="20% - Accent5 4 2 2" xfId="2043"/>
    <cellStyle name="20% - Accent5 4 2 2 2" xfId="2044"/>
    <cellStyle name="20% - Accent5 4 2 2 2 2" xfId="2045"/>
    <cellStyle name="20% - Accent5 4 2 2 2 3" xfId="2046"/>
    <cellStyle name="20% - Accent5 4 2 2 3" xfId="2047"/>
    <cellStyle name="20% - Accent5 4 2 2 4" xfId="2048"/>
    <cellStyle name="20% - Accent5 4 2 2 5" xfId="2049"/>
    <cellStyle name="20% - Accent5 4 2 2 6" xfId="2050"/>
    <cellStyle name="20% - Accent5 4 2 3" xfId="2051"/>
    <cellStyle name="20% - Accent5 4 2 3 2" xfId="2052"/>
    <cellStyle name="20% - Accent5 4 2 3 2 2" xfId="2053"/>
    <cellStyle name="20% - Accent5 4 2 3 3" xfId="2054"/>
    <cellStyle name="20% - Accent5 4 2 3 4" xfId="2055"/>
    <cellStyle name="20% - Accent5 4 2 3 5" xfId="2056"/>
    <cellStyle name="20% - Accent5 4 2 4" xfId="2057"/>
    <cellStyle name="20% - Accent5 4 2 4 2" xfId="2058"/>
    <cellStyle name="20% - Accent5 4 2 4 3" xfId="2059"/>
    <cellStyle name="20% - Accent5 4 2 4 4" xfId="2060"/>
    <cellStyle name="20% - Accent5 4 2 5" xfId="2061"/>
    <cellStyle name="20% - Accent5 4 2 5 2" xfId="2062"/>
    <cellStyle name="20% - Accent5 4 2 6" xfId="2063"/>
    <cellStyle name="20% - Accent5 4 2 7" xfId="2064"/>
    <cellStyle name="20% - Accent5 4 2 8" xfId="2065"/>
    <cellStyle name="20% - Accent5 4 2 9" xfId="2066"/>
    <cellStyle name="20% - Accent5 4 3" xfId="2067"/>
    <cellStyle name="20% - Accent5 4 3 2" xfId="2068"/>
    <cellStyle name="20% - Accent5 4 3 2 2" xfId="2069"/>
    <cellStyle name="20% - Accent5 4 3 2 3" xfId="2070"/>
    <cellStyle name="20% - Accent5 4 3 3" xfId="2071"/>
    <cellStyle name="20% - Accent5 4 3 4" xfId="2072"/>
    <cellStyle name="20% - Accent5 4 3 5" xfId="2073"/>
    <cellStyle name="20% - Accent5 4 3 6" xfId="2074"/>
    <cellStyle name="20% - Accent5 4 4" xfId="2075"/>
    <cellStyle name="20% - Accent5 4 4 2" xfId="2076"/>
    <cellStyle name="20% - Accent5 4 4 2 2" xfId="2077"/>
    <cellStyle name="20% - Accent5 4 4 3" xfId="2078"/>
    <cellStyle name="20% - Accent5 4 4 4" xfId="2079"/>
    <cellStyle name="20% - Accent5 4 4 5" xfId="2080"/>
    <cellStyle name="20% - Accent5 4 5" xfId="2081"/>
    <cellStyle name="20% - Accent5 4 5 2" xfId="2082"/>
    <cellStyle name="20% - Accent5 4 5 2 2" xfId="2083"/>
    <cellStyle name="20% - Accent5 4 5 3" xfId="2084"/>
    <cellStyle name="20% - Accent5 4 5 4" xfId="2085"/>
    <cellStyle name="20% - Accent5 4 5 5" xfId="2086"/>
    <cellStyle name="20% - Accent5 4 6" xfId="2087"/>
    <cellStyle name="20% - Accent5 4 6 2" xfId="2088"/>
    <cellStyle name="20% - Accent5 4 7" xfId="2089"/>
    <cellStyle name="20% - Accent5 4 8" xfId="2090"/>
    <cellStyle name="20% - Accent5 4 9" xfId="2091"/>
    <cellStyle name="20% - Accent5 5" xfId="2092"/>
    <cellStyle name="20% - Accent5 5 10" xfId="2093"/>
    <cellStyle name="20% - Accent5 5 2" xfId="2094"/>
    <cellStyle name="20% - Accent5 5 2 2" xfId="2095"/>
    <cellStyle name="20% - Accent5 5 2 2 2" xfId="2096"/>
    <cellStyle name="20% - Accent5 5 2 2 2 2" xfId="2097"/>
    <cellStyle name="20% - Accent5 5 2 2 2 3" xfId="2098"/>
    <cellStyle name="20% - Accent5 5 2 2 3" xfId="2099"/>
    <cellStyle name="20% - Accent5 5 2 2 4" xfId="2100"/>
    <cellStyle name="20% - Accent5 5 2 2 5" xfId="2101"/>
    <cellStyle name="20% - Accent5 5 2 2 6" xfId="2102"/>
    <cellStyle name="20% - Accent5 5 2 3" xfId="2103"/>
    <cellStyle name="20% - Accent5 5 2 3 2" xfId="2104"/>
    <cellStyle name="20% - Accent5 5 2 3 2 2" xfId="2105"/>
    <cellStyle name="20% - Accent5 5 2 3 3" xfId="2106"/>
    <cellStyle name="20% - Accent5 5 2 3 4" xfId="2107"/>
    <cellStyle name="20% - Accent5 5 2 3 5" xfId="2108"/>
    <cellStyle name="20% - Accent5 5 2 4" xfId="2109"/>
    <cellStyle name="20% - Accent5 5 2 4 2" xfId="2110"/>
    <cellStyle name="20% - Accent5 5 2 4 3" xfId="2111"/>
    <cellStyle name="20% - Accent5 5 2 4 4" xfId="2112"/>
    <cellStyle name="20% - Accent5 5 2 5" xfId="2113"/>
    <cellStyle name="20% - Accent5 5 2 5 2" xfId="2114"/>
    <cellStyle name="20% - Accent5 5 2 6" xfId="2115"/>
    <cellStyle name="20% - Accent5 5 2 7" xfId="2116"/>
    <cellStyle name="20% - Accent5 5 2 8" xfId="2117"/>
    <cellStyle name="20% - Accent5 5 2 9" xfId="2118"/>
    <cellStyle name="20% - Accent5 5 3" xfId="2119"/>
    <cellStyle name="20% - Accent5 5 3 2" xfId="2120"/>
    <cellStyle name="20% - Accent5 5 3 2 2" xfId="2121"/>
    <cellStyle name="20% - Accent5 5 3 2 3" xfId="2122"/>
    <cellStyle name="20% - Accent5 5 3 3" xfId="2123"/>
    <cellStyle name="20% - Accent5 5 3 4" xfId="2124"/>
    <cellStyle name="20% - Accent5 5 3 5" xfId="2125"/>
    <cellStyle name="20% - Accent5 5 3 6" xfId="2126"/>
    <cellStyle name="20% - Accent5 5 4" xfId="2127"/>
    <cellStyle name="20% - Accent5 5 4 2" xfId="2128"/>
    <cellStyle name="20% - Accent5 5 4 2 2" xfId="2129"/>
    <cellStyle name="20% - Accent5 5 4 3" xfId="2130"/>
    <cellStyle name="20% - Accent5 5 4 4" xfId="2131"/>
    <cellStyle name="20% - Accent5 5 4 5" xfId="2132"/>
    <cellStyle name="20% - Accent5 5 5" xfId="2133"/>
    <cellStyle name="20% - Accent5 5 5 2" xfId="2134"/>
    <cellStyle name="20% - Accent5 5 5 3" xfId="2135"/>
    <cellStyle name="20% - Accent5 5 5 4" xfId="2136"/>
    <cellStyle name="20% - Accent5 5 6" xfId="2137"/>
    <cellStyle name="20% - Accent5 5 6 2" xfId="2138"/>
    <cellStyle name="20% - Accent5 5 7" xfId="2139"/>
    <cellStyle name="20% - Accent5 5 8" xfId="2140"/>
    <cellStyle name="20% - Accent5 5 9" xfId="2141"/>
    <cellStyle name="20% - Accent5 6" xfId="2142"/>
    <cellStyle name="20% - Accent5 6 10" xfId="2143"/>
    <cellStyle name="20% - Accent5 6 2" xfId="2144"/>
    <cellStyle name="20% - Accent5 6 2 2" xfId="2145"/>
    <cellStyle name="20% - Accent5 6 2 2 2" xfId="2146"/>
    <cellStyle name="20% - Accent5 6 2 2 2 2" xfId="2147"/>
    <cellStyle name="20% - Accent5 6 2 2 2 3" xfId="2148"/>
    <cellStyle name="20% - Accent5 6 2 2 3" xfId="2149"/>
    <cellStyle name="20% - Accent5 6 2 2 4" xfId="2150"/>
    <cellStyle name="20% - Accent5 6 2 2 5" xfId="2151"/>
    <cellStyle name="20% - Accent5 6 2 2 6" xfId="2152"/>
    <cellStyle name="20% - Accent5 6 2 3" xfId="2153"/>
    <cellStyle name="20% - Accent5 6 2 3 2" xfId="2154"/>
    <cellStyle name="20% - Accent5 6 2 3 2 2" xfId="2155"/>
    <cellStyle name="20% - Accent5 6 2 3 3" xfId="2156"/>
    <cellStyle name="20% - Accent5 6 2 3 4" xfId="2157"/>
    <cellStyle name="20% - Accent5 6 2 3 5" xfId="2158"/>
    <cellStyle name="20% - Accent5 6 2 4" xfId="2159"/>
    <cellStyle name="20% - Accent5 6 2 4 2" xfId="2160"/>
    <cellStyle name="20% - Accent5 6 2 4 3" xfId="2161"/>
    <cellStyle name="20% - Accent5 6 2 4 4" xfId="2162"/>
    <cellStyle name="20% - Accent5 6 2 5" xfId="2163"/>
    <cellStyle name="20% - Accent5 6 2 5 2" xfId="2164"/>
    <cellStyle name="20% - Accent5 6 2 6" xfId="2165"/>
    <cellStyle name="20% - Accent5 6 2 7" xfId="2166"/>
    <cellStyle name="20% - Accent5 6 2 8" xfId="2167"/>
    <cellStyle name="20% - Accent5 6 2 9" xfId="2168"/>
    <cellStyle name="20% - Accent5 6 3" xfId="2169"/>
    <cellStyle name="20% - Accent5 6 3 2" xfId="2170"/>
    <cellStyle name="20% - Accent5 6 3 2 2" xfId="2171"/>
    <cellStyle name="20% - Accent5 6 3 2 3" xfId="2172"/>
    <cellStyle name="20% - Accent5 6 3 3" xfId="2173"/>
    <cellStyle name="20% - Accent5 6 3 4" xfId="2174"/>
    <cellStyle name="20% - Accent5 6 3 5" xfId="2175"/>
    <cellStyle name="20% - Accent5 6 3 6" xfId="2176"/>
    <cellStyle name="20% - Accent5 6 4" xfId="2177"/>
    <cellStyle name="20% - Accent5 6 4 2" xfId="2178"/>
    <cellStyle name="20% - Accent5 6 4 2 2" xfId="2179"/>
    <cellStyle name="20% - Accent5 6 4 3" xfId="2180"/>
    <cellStyle name="20% - Accent5 6 4 4" xfId="2181"/>
    <cellStyle name="20% - Accent5 6 4 5" xfId="2182"/>
    <cellStyle name="20% - Accent5 6 5" xfId="2183"/>
    <cellStyle name="20% - Accent5 6 5 2" xfId="2184"/>
    <cellStyle name="20% - Accent5 6 5 3" xfId="2185"/>
    <cellStyle name="20% - Accent5 6 5 4" xfId="2186"/>
    <cellStyle name="20% - Accent5 6 6" xfId="2187"/>
    <cellStyle name="20% - Accent5 6 6 2" xfId="2188"/>
    <cellStyle name="20% - Accent5 6 7" xfId="2189"/>
    <cellStyle name="20% - Accent5 6 8" xfId="2190"/>
    <cellStyle name="20% - Accent5 6 9" xfId="2191"/>
    <cellStyle name="20% - Accent5 7" xfId="2192"/>
    <cellStyle name="20% - Accent5 7 2" xfId="2193"/>
    <cellStyle name="20% - Accent5 7 2 2" xfId="2194"/>
    <cellStyle name="20% - Accent5 7 2 2 2" xfId="2195"/>
    <cellStyle name="20% - Accent5 7 2 2 3" xfId="2196"/>
    <cellStyle name="20% - Accent5 7 2 3" xfId="2197"/>
    <cellStyle name="20% - Accent5 7 2 4" xfId="2198"/>
    <cellStyle name="20% - Accent5 7 2 5" xfId="2199"/>
    <cellStyle name="20% - Accent5 7 2 6" xfId="2200"/>
    <cellStyle name="20% - Accent5 7 3" xfId="2201"/>
    <cellStyle name="20% - Accent5 7 3 2" xfId="2202"/>
    <cellStyle name="20% - Accent5 7 3 2 2" xfId="2203"/>
    <cellStyle name="20% - Accent5 7 3 3" xfId="2204"/>
    <cellStyle name="20% - Accent5 7 3 4" xfId="2205"/>
    <cellStyle name="20% - Accent5 7 3 5" xfId="2206"/>
    <cellStyle name="20% - Accent5 7 4" xfId="2207"/>
    <cellStyle name="20% - Accent5 7 4 2" xfId="2208"/>
    <cellStyle name="20% - Accent5 7 4 3" xfId="2209"/>
    <cellStyle name="20% - Accent5 7 4 4" xfId="2210"/>
    <cellStyle name="20% - Accent5 7 5" xfId="2211"/>
    <cellStyle name="20% - Accent5 7 5 2" xfId="2212"/>
    <cellStyle name="20% - Accent5 7 6" xfId="2213"/>
    <cellStyle name="20% - Accent5 7 7" xfId="2214"/>
    <cellStyle name="20% - Accent5 7 8" xfId="2215"/>
    <cellStyle name="20% - Accent5 7 9" xfId="2216"/>
    <cellStyle name="20% - Accent5 8" xfId="2217"/>
    <cellStyle name="20% - Accent5 8 2" xfId="2218"/>
    <cellStyle name="20% - Accent5 8 2 2" xfId="2219"/>
    <cellStyle name="20% - Accent5 8 2 2 2" xfId="2220"/>
    <cellStyle name="20% - Accent5 8 2 2 3" xfId="2221"/>
    <cellStyle name="20% - Accent5 8 2 3" xfId="2222"/>
    <cellStyle name="20% - Accent5 8 2 4" xfId="2223"/>
    <cellStyle name="20% - Accent5 8 2 5" xfId="2224"/>
    <cellStyle name="20% - Accent5 8 2 6" xfId="2225"/>
    <cellStyle name="20% - Accent5 8 3" xfId="2226"/>
    <cellStyle name="20% - Accent5 8 3 2" xfId="2227"/>
    <cellStyle name="20% - Accent5 8 3 2 2" xfId="2228"/>
    <cellStyle name="20% - Accent5 8 3 3" xfId="2229"/>
    <cellStyle name="20% - Accent5 8 3 4" xfId="2230"/>
    <cellStyle name="20% - Accent5 8 3 5" xfId="2231"/>
    <cellStyle name="20% - Accent5 8 4" xfId="2232"/>
    <cellStyle name="20% - Accent5 8 4 2" xfId="2233"/>
    <cellStyle name="20% - Accent5 8 4 3" xfId="2234"/>
    <cellStyle name="20% - Accent5 8 4 4" xfId="2235"/>
    <cellStyle name="20% - Accent5 8 5" xfId="2236"/>
    <cellStyle name="20% - Accent5 8 5 2" xfId="2237"/>
    <cellStyle name="20% - Accent5 8 6" xfId="2238"/>
    <cellStyle name="20% - Accent5 8 7" xfId="2239"/>
    <cellStyle name="20% - Accent5 8 8" xfId="2240"/>
    <cellStyle name="20% - Accent5 8 9" xfId="2241"/>
    <cellStyle name="20% - Accent5 9" xfId="2242"/>
    <cellStyle name="20% - Accent5 9 2" xfId="2243"/>
    <cellStyle name="20% - Accent5 9 2 2" xfId="2244"/>
    <cellStyle name="20% - Accent5 9 2 2 2" xfId="2245"/>
    <cellStyle name="20% - Accent5 9 2 3" xfId="2246"/>
    <cellStyle name="20% - Accent5 9 2 4" xfId="2247"/>
    <cellStyle name="20% - Accent5 9 2 5" xfId="2248"/>
    <cellStyle name="20% - Accent5 9 3" xfId="2249"/>
    <cellStyle name="20% - Accent5 9 3 2" xfId="2250"/>
    <cellStyle name="20% - Accent5 9 3 3" xfId="2251"/>
    <cellStyle name="20% - Accent5 9 3 4" xfId="2252"/>
    <cellStyle name="20% - Accent5 9 4" xfId="2253"/>
    <cellStyle name="20% - Accent5 9 4 2" xfId="2254"/>
    <cellStyle name="20% - Accent5 9 5" xfId="2255"/>
    <cellStyle name="20% - Accent5 9 6" xfId="2256"/>
    <cellStyle name="20% - Accent5 9 7" xfId="2257"/>
    <cellStyle name="20% - Accent5 9 8" xfId="2258"/>
    <cellStyle name="20% - Accent6 10" xfId="2259"/>
    <cellStyle name="20% - Accent6 10 2" xfId="2260"/>
    <cellStyle name="20% - Accent6 10 2 2" xfId="2261"/>
    <cellStyle name="20% - Accent6 10 2 2 2" xfId="2262"/>
    <cellStyle name="20% - Accent6 10 2 3" xfId="2263"/>
    <cellStyle name="20% - Accent6 10 2 4" xfId="2264"/>
    <cellStyle name="20% - Accent6 10 2 5" xfId="2265"/>
    <cellStyle name="20% - Accent6 10 3" xfId="2266"/>
    <cellStyle name="20% - Accent6 10 3 2" xfId="2267"/>
    <cellStyle name="20% - Accent6 10 3 3" xfId="2268"/>
    <cellStyle name="20% - Accent6 10 3 4" xfId="2269"/>
    <cellStyle name="20% - Accent6 10 4" xfId="2270"/>
    <cellStyle name="20% - Accent6 10 4 2" xfId="2271"/>
    <cellStyle name="20% - Accent6 10 5" xfId="2272"/>
    <cellStyle name="20% - Accent6 10 6" xfId="2273"/>
    <cellStyle name="20% - Accent6 10 7" xfId="2274"/>
    <cellStyle name="20% - Accent6 10 8" xfId="2275"/>
    <cellStyle name="20% - Accent6 11" xfId="2276"/>
    <cellStyle name="20% - Accent6 11 2" xfId="2277"/>
    <cellStyle name="20% - Accent6 11 2 2" xfId="2278"/>
    <cellStyle name="20% - Accent6 11 2 2 2" xfId="2279"/>
    <cellStyle name="20% - Accent6 11 2 3" xfId="2280"/>
    <cellStyle name="20% - Accent6 11 2 4" xfId="2281"/>
    <cellStyle name="20% - Accent6 11 2 5" xfId="2282"/>
    <cellStyle name="20% - Accent6 11 3" xfId="2283"/>
    <cellStyle name="20% - Accent6 11 3 2" xfId="2284"/>
    <cellStyle name="20% - Accent6 11 3 3" xfId="2285"/>
    <cellStyle name="20% - Accent6 11 3 4" xfId="2286"/>
    <cellStyle name="20% - Accent6 11 4" xfId="2287"/>
    <cellStyle name="20% - Accent6 11 4 2" xfId="2288"/>
    <cellStyle name="20% - Accent6 11 5" xfId="2289"/>
    <cellStyle name="20% - Accent6 11 6" xfId="2290"/>
    <cellStyle name="20% - Accent6 11 7" xfId="2291"/>
    <cellStyle name="20% - Accent6 11 8" xfId="2292"/>
    <cellStyle name="20% - Accent6 12" xfId="2293"/>
    <cellStyle name="20% - Accent6 12 2" xfId="2294"/>
    <cellStyle name="20% - Accent6 12 2 2" xfId="2295"/>
    <cellStyle name="20% - Accent6 12 2 2 2" xfId="2296"/>
    <cellStyle name="20% - Accent6 12 2 3" xfId="2297"/>
    <cellStyle name="20% - Accent6 12 2 4" xfId="2298"/>
    <cellStyle name="20% - Accent6 12 2 5" xfId="2299"/>
    <cellStyle name="20% - Accent6 12 3" xfId="2300"/>
    <cellStyle name="20% - Accent6 12 3 2" xfId="2301"/>
    <cellStyle name="20% - Accent6 12 3 3" xfId="2302"/>
    <cellStyle name="20% - Accent6 12 3 4" xfId="2303"/>
    <cellStyle name="20% - Accent6 12 4" xfId="2304"/>
    <cellStyle name="20% - Accent6 12 4 2" xfId="2305"/>
    <cellStyle name="20% - Accent6 12 5" xfId="2306"/>
    <cellStyle name="20% - Accent6 12 6" xfId="2307"/>
    <cellStyle name="20% - Accent6 12 7" xfId="2308"/>
    <cellStyle name="20% - Accent6 12 8" xfId="2309"/>
    <cellStyle name="20% - Accent6 13" xfId="2310"/>
    <cellStyle name="20% - Accent6 13 2" xfId="2311"/>
    <cellStyle name="20% - Accent6 13 2 2" xfId="2312"/>
    <cellStyle name="20% - Accent6 13 2 3" xfId="2313"/>
    <cellStyle name="20% - Accent6 13 2 4" xfId="2314"/>
    <cellStyle name="20% - Accent6 13 3" xfId="2315"/>
    <cellStyle name="20% - Accent6 13 3 2" xfId="2316"/>
    <cellStyle name="20% - Accent6 13 4" xfId="2317"/>
    <cellStyle name="20% - Accent6 13 5" xfId="2318"/>
    <cellStyle name="20% - Accent6 13 6" xfId="2319"/>
    <cellStyle name="20% - Accent6 14" xfId="2320"/>
    <cellStyle name="20% - Accent6 14 2" xfId="2321"/>
    <cellStyle name="20% - Accent6 14 2 2" xfId="2322"/>
    <cellStyle name="20% - Accent6 14 3" xfId="2323"/>
    <cellStyle name="20% - Accent6 14 4" xfId="2324"/>
    <cellStyle name="20% - Accent6 14 5" xfId="2325"/>
    <cellStyle name="20% - Accent6 15" xfId="2326"/>
    <cellStyle name="20% - Accent6 15 2" xfId="2327"/>
    <cellStyle name="20% - Accent6 15 2 2" xfId="2328"/>
    <cellStyle name="20% - Accent6 15 3" xfId="2329"/>
    <cellStyle name="20% - Accent6 15 4" xfId="2330"/>
    <cellStyle name="20% - Accent6 15 5" xfId="2331"/>
    <cellStyle name="20% - Accent6 16" xfId="2332"/>
    <cellStyle name="20% - Accent6 16 2" xfId="2333"/>
    <cellStyle name="20% - Accent6 17" xfId="2334"/>
    <cellStyle name="20% - Accent6 18" xfId="2335"/>
    <cellStyle name="20% - Accent6 19" xfId="2336"/>
    <cellStyle name="20% - Accent6 2" xfId="2337"/>
    <cellStyle name="20% - Accent6 2 10" xfId="2338"/>
    <cellStyle name="20% - Accent6 2 11" xfId="2339"/>
    <cellStyle name="20% - Accent6 2 2" xfId="2340"/>
    <cellStyle name="20% - Accent6 2 2 10" xfId="2341"/>
    <cellStyle name="20% - Accent6 2 2 2" xfId="2342"/>
    <cellStyle name="20% - Accent6 2 2 2 2" xfId="2343"/>
    <cellStyle name="20% - Accent6 2 2 2 2 2" xfId="2344"/>
    <cellStyle name="20% - Accent6 2 2 2 2 2 2" xfId="2345"/>
    <cellStyle name="20% - Accent6 2 2 2 2 2 3" xfId="2346"/>
    <cellStyle name="20% - Accent6 2 2 2 2 3" xfId="2347"/>
    <cellStyle name="20% - Accent6 2 2 2 2 4" xfId="2348"/>
    <cellStyle name="20% - Accent6 2 2 2 2 5" xfId="2349"/>
    <cellStyle name="20% - Accent6 2 2 2 2 6" xfId="2350"/>
    <cellStyle name="20% - Accent6 2 2 2 3" xfId="2351"/>
    <cellStyle name="20% - Accent6 2 2 2 3 2" xfId="2352"/>
    <cellStyle name="20% - Accent6 2 2 2 3 2 2" xfId="2353"/>
    <cellStyle name="20% - Accent6 2 2 2 3 3" xfId="2354"/>
    <cellStyle name="20% - Accent6 2 2 2 3 4" xfId="2355"/>
    <cellStyle name="20% - Accent6 2 2 2 3 5" xfId="2356"/>
    <cellStyle name="20% - Accent6 2 2 2 4" xfId="2357"/>
    <cellStyle name="20% - Accent6 2 2 2 4 2" xfId="2358"/>
    <cellStyle name="20% - Accent6 2 2 2 4 3" xfId="2359"/>
    <cellStyle name="20% - Accent6 2 2 2 4 4" xfId="2360"/>
    <cellStyle name="20% - Accent6 2 2 2 5" xfId="2361"/>
    <cellStyle name="20% - Accent6 2 2 2 5 2" xfId="2362"/>
    <cellStyle name="20% - Accent6 2 2 2 6" xfId="2363"/>
    <cellStyle name="20% - Accent6 2 2 2 7" xfId="2364"/>
    <cellStyle name="20% - Accent6 2 2 2 8" xfId="2365"/>
    <cellStyle name="20% - Accent6 2 2 2 9" xfId="2366"/>
    <cellStyle name="20% - Accent6 2 2 3" xfId="2367"/>
    <cellStyle name="20% - Accent6 2 2 3 2" xfId="2368"/>
    <cellStyle name="20% - Accent6 2 2 3 2 2" xfId="2369"/>
    <cellStyle name="20% - Accent6 2 2 3 2 3" xfId="2370"/>
    <cellStyle name="20% - Accent6 2 2 3 3" xfId="2371"/>
    <cellStyle name="20% - Accent6 2 2 3 4" xfId="2372"/>
    <cellStyle name="20% - Accent6 2 2 3 5" xfId="2373"/>
    <cellStyle name="20% - Accent6 2 2 3 6" xfId="2374"/>
    <cellStyle name="20% - Accent6 2 2 4" xfId="2375"/>
    <cellStyle name="20% - Accent6 2 2 4 2" xfId="2376"/>
    <cellStyle name="20% - Accent6 2 2 4 2 2" xfId="2377"/>
    <cellStyle name="20% - Accent6 2 2 4 3" xfId="2378"/>
    <cellStyle name="20% - Accent6 2 2 4 4" xfId="2379"/>
    <cellStyle name="20% - Accent6 2 2 4 5" xfId="2380"/>
    <cellStyle name="20% - Accent6 2 2 5" xfId="2381"/>
    <cellStyle name="20% - Accent6 2 2 5 2" xfId="2382"/>
    <cellStyle name="20% - Accent6 2 2 5 3" xfId="2383"/>
    <cellStyle name="20% - Accent6 2 2 5 4" xfId="2384"/>
    <cellStyle name="20% - Accent6 2 2 6" xfId="2385"/>
    <cellStyle name="20% - Accent6 2 2 6 2" xfId="2386"/>
    <cellStyle name="20% - Accent6 2 2 7" xfId="2387"/>
    <cellStyle name="20% - Accent6 2 2 8" xfId="2388"/>
    <cellStyle name="20% - Accent6 2 2 9" xfId="2389"/>
    <cellStyle name="20% - Accent6 2 3" xfId="2390"/>
    <cellStyle name="20% - Accent6 2 3 2" xfId="2391"/>
    <cellStyle name="20% - Accent6 2 3 2 2" xfId="2392"/>
    <cellStyle name="20% - Accent6 2 3 2 2 2" xfId="2393"/>
    <cellStyle name="20% - Accent6 2 3 2 2 3" xfId="2394"/>
    <cellStyle name="20% - Accent6 2 3 2 3" xfId="2395"/>
    <cellStyle name="20% - Accent6 2 3 2 4" xfId="2396"/>
    <cellStyle name="20% - Accent6 2 3 2 5" xfId="2397"/>
    <cellStyle name="20% - Accent6 2 3 2 6" xfId="2398"/>
    <cellStyle name="20% - Accent6 2 3 3" xfId="2399"/>
    <cellStyle name="20% - Accent6 2 3 3 2" xfId="2400"/>
    <cellStyle name="20% - Accent6 2 3 3 2 2" xfId="2401"/>
    <cellStyle name="20% - Accent6 2 3 3 3" xfId="2402"/>
    <cellStyle name="20% - Accent6 2 3 3 4" xfId="2403"/>
    <cellStyle name="20% - Accent6 2 3 3 5" xfId="2404"/>
    <cellStyle name="20% - Accent6 2 3 4" xfId="2405"/>
    <cellStyle name="20% - Accent6 2 3 4 2" xfId="2406"/>
    <cellStyle name="20% - Accent6 2 3 4 3" xfId="2407"/>
    <cellStyle name="20% - Accent6 2 3 4 4" xfId="2408"/>
    <cellStyle name="20% - Accent6 2 3 5" xfId="2409"/>
    <cellStyle name="20% - Accent6 2 3 5 2" xfId="2410"/>
    <cellStyle name="20% - Accent6 2 3 6" xfId="2411"/>
    <cellStyle name="20% - Accent6 2 3 7" xfId="2412"/>
    <cellStyle name="20% - Accent6 2 3 8" xfId="2413"/>
    <cellStyle name="20% - Accent6 2 3 9" xfId="2414"/>
    <cellStyle name="20% - Accent6 2 4" xfId="2415"/>
    <cellStyle name="20% - Accent6 2 4 2" xfId="2416"/>
    <cellStyle name="20% - Accent6 2 4 2 2" xfId="2417"/>
    <cellStyle name="20% - Accent6 2 4 2 3" xfId="2418"/>
    <cellStyle name="20% - Accent6 2 4 3" xfId="2419"/>
    <cellStyle name="20% - Accent6 2 4 4" xfId="2420"/>
    <cellStyle name="20% - Accent6 2 4 5" xfId="2421"/>
    <cellStyle name="20% - Accent6 2 4 6" xfId="2422"/>
    <cellStyle name="20% - Accent6 2 5" xfId="2423"/>
    <cellStyle name="20% - Accent6 2 5 2" xfId="2424"/>
    <cellStyle name="20% - Accent6 2 5 2 2" xfId="2425"/>
    <cellStyle name="20% - Accent6 2 5 3" xfId="2426"/>
    <cellStyle name="20% - Accent6 2 5 4" xfId="2427"/>
    <cellStyle name="20% - Accent6 2 5 5" xfId="2428"/>
    <cellStyle name="20% - Accent6 2 6" xfId="2429"/>
    <cellStyle name="20% - Accent6 2 6 2" xfId="2430"/>
    <cellStyle name="20% - Accent6 2 6 2 2" xfId="2431"/>
    <cellStyle name="20% - Accent6 2 6 3" xfId="2432"/>
    <cellStyle name="20% - Accent6 2 6 4" xfId="2433"/>
    <cellStyle name="20% - Accent6 2 6 5" xfId="2434"/>
    <cellStyle name="20% - Accent6 2 7" xfId="2435"/>
    <cellStyle name="20% - Accent6 2 7 2" xfId="2436"/>
    <cellStyle name="20% - Accent6 2 8" xfId="2437"/>
    <cellStyle name="20% - Accent6 2 9" xfId="2438"/>
    <cellStyle name="20% - Accent6 3" xfId="2439"/>
    <cellStyle name="20% - Accent6 3 10" xfId="2440"/>
    <cellStyle name="20% - Accent6 3 2" xfId="2441"/>
    <cellStyle name="20% - Accent6 3 2 2" xfId="2442"/>
    <cellStyle name="20% - Accent6 3 2 2 2" xfId="2443"/>
    <cellStyle name="20% - Accent6 3 2 2 2 2" xfId="2444"/>
    <cellStyle name="20% - Accent6 3 2 2 2 3" xfId="2445"/>
    <cellStyle name="20% - Accent6 3 2 2 3" xfId="2446"/>
    <cellStyle name="20% - Accent6 3 2 2 4" xfId="2447"/>
    <cellStyle name="20% - Accent6 3 2 2 5" xfId="2448"/>
    <cellStyle name="20% - Accent6 3 2 2 6" xfId="2449"/>
    <cellStyle name="20% - Accent6 3 2 3" xfId="2450"/>
    <cellStyle name="20% - Accent6 3 2 3 2" xfId="2451"/>
    <cellStyle name="20% - Accent6 3 2 3 2 2" xfId="2452"/>
    <cellStyle name="20% - Accent6 3 2 3 3" xfId="2453"/>
    <cellStyle name="20% - Accent6 3 2 3 4" xfId="2454"/>
    <cellStyle name="20% - Accent6 3 2 3 5" xfId="2455"/>
    <cellStyle name="20% - Accent6 3 2 4" xfId="2456"/>
    <cellStyle name="20% - Accent6 3 2 4 2" xfId="2457"/>
    <cellStyle name="20% - Accent6 3 2 4 3" xfId="2458"/>
    <cellStyle name="20% - Accent6 3 2 4 4" xfId="2459"/>
    <cellStyle name="20% - Accent6 3 2 5" xfId="2460"/>
    <cellStyle name="20% - Accent6 3 2 5 2" xfId="2461"/>
    <cellStyle name="20% - Accent6 3 2 6" xfId="2462"/>
    <cellStyle name="20% - Accent6 3 2 7" xfId="2463"/>
    <cellStyle name="20% - Accent6 3 2 8" xfId="2464"/>
    <cellStyle name="20% - Accent6 3 2 9" xfId="2465"/>
    <cellStyle name="20% - Accent6 3 3" xfId="2466"/>
    <cellStyle name="20% - Accent6 3 3 2" xfId="2467"/>
    <cellStyle name="20% - Accent6 3 3 2 2" xfId="2468"/>
    <cellStyle name="20% - Accent6 3 3 2 3" xfId="2469"/>
    <cellStyle name="20% - Accent6 3 3 3" xfId="2470"/>
    <cellStyle name="20% - Accent6 3 3 4" xfId="2471"/>
    <cellStyle name="20% - Accent6 3 3 5" xfId="2472"/>
    <cellStyle name="20% - Accent6 3 3 6" xfId="2473"/>
    <cellStyle name="20% - Accent6 3 4" xfId="2474"/>
    <cellStyle name="20% - Accent6 3 4 2" xfId="2475"/>
    <cellStyle name="20% - Accent6 3 4 2 2" xfId="2476"/>
    <cellStyle name="20% - Accent6 3 4 3" xfId="2477"/>
    <cellStyle name="20% - Accent6 3 4 4" xfId="2478"/>
    <cellStyle name="20% - Accent6 3 4 5" xfId="2479"/>
    <cellStyle name="20% - Accent6 3 5" xfId="2480"/>
    <cellStyle name="20% - Accent6 3 5 2" xfId="2481"/>
    <cellStyle name="20% - Accent6 3 5 2 2" xfId="2482"/>
    <cellStyle name="20% - Accent6 3 5 3" xfId="2483"/>
    <cellStyle name="20% - Accent6 3 5 4" xfId="2484"/>
    <cellStyle name="20% - Accent6 3 5 5" xfId="2485"/>
    <cellStyle name="20% - Accent6 3 6" xfId="2486"/>
    <cellStyle name="20% - Accent6 3 6 2" xfId="2487"/>
    <cellStyle name="20% - Accent6 3 7" xfId="2488"/>
    <cellStyle name="20% - Accent6 3 8" xfId="2489"/>
    <cellStyle name="20% - Accent6 3 9" xfId="2490"/>
    <cellStyle name="20% - Accent6 4" xfId="2491"/>
    <cellStyle name="20% - Accent6 4 10" xfId="2492"/>
    <cellStyle name="20% - Accent6 4 2" xfId="2493"/>
    <cellStyle name="20% - Accent6 4 2 2" xfId="2494"/>
    <cellStyle name="20% - Accent6 4 2 2 2" xfId="2495"/>
    <cellStyle name="20% - Accent6 4 2 2 2 2" xfId="2496"/>
    <cellStyle name="20% - Accent6 4 2 2 2 3" xfId="2497"/>
    <cellStyle name="20% - Accent6 4 2 2 3" xfId="2498"/>
    <cellStyle name="20% - Accent6 4 2 2 4" xfId="2499"/>
    <cellStyle name="20% - Accent6 4 2 2 5" xfId="2500"/>
    <cellStyle name="20% - Accent6 4 2 2 6" xfId="2501"/>
    <cellStyle name="20% - Accent6 4 2 3" xfId="2502"/>
    <cellStyle name="20% - Accent6 4 2 3 2" xfId="2503"/>
    <cellStyle name="20% - Accent6 4 2 3 2 2" xfId="2504"/>
    <cellStyle name="20% - Accent6 4 2 3 3" xfId="2505"/>
    <cellStyle name="20% - Accent6 4 2 3 4" xfId="2506"/>
    <cellStyle name="20% - Accent6 4 2 3 5" xfId="2507"/>
    <cellStyle name="20% - Accent6 4 2 4" xfId="2508"/>
    <cellStyle name="20% - Accent6 4 2 4 2" xfId="2509"/>
    <cellStyle name="20% - Accent6 4 2 4 3" xfId="2510"/>
    <cellStyle name="20% - Accent6 4 2 4 4" xfId="2511"/>
    <cellStyle name="20% - Accent6 4 2 5" xfId="2512"/>
    <cellStyle name="20% - Accent6 4 2 5 2" xfId="2513"/>
    <cellStyle name="20% - Accent6 4 2 6" xfId="2514"/>
    <cellStyle name="20% - Accent6 4 2 7" xfId="2515"/>
    <cellStyle name="20% - Accent6 4 2 8" xfId="2516"/>
    <cellStyle name="20% - Accent6 4 2 9" xfId="2517"/>
    <cellStyle name="20% - Accent6 4 3" xfId="2518"/>
    <cellStyle name="20% - Accent6 4 3 2" xfId="2519"/>
    <cellStyle name="20% - Accent6 4 3 2 2" xfId="2520"/>
    <cellStyle name="20% - Accent6 4 3 2 3" xfId="2521"/>
    <cellStyle name="20% - Accent6 4 3 3" xfId="2522"/>
    <cellStyle name="20% - Accent6 4 3 4" xfId="2523"/>
    <cellStyle name="20% - Accent6 4 3 5" xfId="2524"/>
    <cellStyle name="20% - Accent6 4 3 6" xfId="2525"/>
    <cellStyle name="20% - Accent6 4 4" xfId="2526"/>
    <cellStyle name="20% - Accent6 4 4 2" xfId="2527"/>
    <cellStyle name="20% - Accent6 4 4 2 2" xfId="2528"/>
    <cellStyle name="20% - Accent6 4 4 3" xfId="2529"/>
    <cellStyle name="20% - Accent6 4 4 4" xfId="2530"/>
    <cellStyle name="20% - Accent6 4 4 5" xfId="2531"/>
    <cellStyle name="20% - Accent6 4 5" xfId="2532"/>
    <cellStyle name="20% - Accent6 4 5 2" xfId="2533"/>
    <cellStyle name="20% - Accent6 4 5 2 2" xfId="2534"/>
    <cellStyle name="20% - Accent6 4 5 3" xfId="2535"/>
    <cellStyle name="20% - Accent6 4 5 4" xfId="2536"/>
    <cellStyle name="20% - Accent6 4 5 5" xfId="2537"/>
    <cellStyle name="20% - Accent6 4 6" xfId="2538"/>
    <cellStyle name="20% - Accent6 4 6 2" xfId="2539"/>
    <cellStyle name="20% - Accent6 4 7" xfId="2540"/>
    <cellStyle name="20% - Accent6 4 8" xfId="2541"/>
    <cellStyle name="20% - Accent6 4 9" xfId="2542"/>
    <cellStyle name="20% - Accent6 5" xfId="2543"/>
    <cellStyle name="20% - Accent6 5 10" xfId="2544"/>
    <cellStyle name="20% - Accent6 5 2" xfId="2545"/>
    <cellStyle name="20% - Accent6 5 2 2" xfId="2546"/>
    <cellStyle name="20% - Accent6 5 2 2 2" xfId="2547"/>
    <cellStyle name="20% - Accent6 5 2 2 2 2" xfId="2548"/>
    <cellStyle name="20% - Accent6 5 2 2 2 3" xfId="2549"/>
    <cellStyle name="20% - Accent6 5 2 2 3" xfId="2550"/>
    <cellStyle name="20% - Accent6 5 2 2 4" xfId="2551"/>
    <cellStyle name="20% - Accent6 5 2 2 5" xfId="2552"/>
    <cellStyle name="20% - Accent6 5 2 2 6" xfId="2553"/>
    <cellStyle name="20% - Accent6 5 2 3" xfId="2554"/>
    <cellStyle name="20% - Accent6 5 2 3 2" xfId="2555"/>
    <cellStyle name="20% - Accent6 5 2 3 2 2" xfId="2556"/>
    <cellStyle name="20% - Accent6 5 2 3 3" xfId="2557"/>
    <cellStyle name="20% - Accent6 5 2 3 4" xfId="2558"/>
    <cellStyle name="20% - Accent6 5 2 3 5" xfId="2559"/>
    <cellStyle name="20% - Accent6 5 2 4" xfId="2560"/>
    <cellStyle name="20% - Accent6 5 2 4 2" xfId="2561"/>
    <cellStyle name="20% - Accent6 5 2 4 3" xfId="2562"/>
    <cellStyle name="20% - Accent6 5 2 4 4" xfId="2563"/>
    <cellStyle name="20% - Accent6 5 2 5" xfId="2564"/>
    <cellStyle name="20% - Accent6 5 2 5 2" xfId="2565"/>
    <cellStyle name="20% - Accent6 5 2 6" xfId="2566"/>
    <cellStyle name="20% - Accent6 5 2 7" xfId="2567"/>
    <cellStyle name="20% - Accent6 5 2 8" xfId="2568"/>
    <cellStyle name="20% - Accent6 5 2 9" xfId="2569"/>
    <cellStyle name="20% - Accent6 5 3" xfId="2570"/>
    <cellStyle name="20% - Accent6 5 3 2" xfId="2571"/>
    <cellStyle name="20% - Accent6 5 3 2 2" xfId="2572"/>
    <cellStyle name="20% - Accent6 5 3 2 3" xfId="2573"/>
    <cellStyle name="20% - Accent6 5 3 3" xfId="2574"/>
    <cellStyle name="20% - Accent6 5 3 4" xfId="2575"/>
    <cellStyle name="20% - Accent6 5 3 5" xfId="2576"/>
    <cellStyle name="20% - Accent6 5 3 6" xfId="2577"/>
    <cellStyle name="20% - Accent6 5 4" xfId="2578"/>
    <cellStyle name="20% - Accent6 5 4 2" xfId="2579"/>
    <cellStyle name="20% - Accent6 5 4 2 2" xfId="2580"/>
    <cellStyle name="20% - Accent6 5 4 3" xfId="2581"/>
    <cellStyle name="20% - Accent6 5 4 4" xfId="2582"/>
    <cellStyle name="20% - Accent6 5 4 5" xfId="2583"/>
    <cellStyle name="20% - Accent6 5 5" xfId="2584"/>
    <cellStyle name="20% - Accent6 5 5 2" xfId="2585"/>
    <cellStyle name="20% - Accent6 5 5 3" xfId="2586"/>
    <cellStyle name="20% - Accent6 5 5 4" xfId="2587"/>
    <cellStyle name="20% - Accent6 5 6" xfId="2588"/>
    <cellStyle name="20% - Accent6 5 6 2" xfId="2589"/>
    <cellStyle name="20% - Accent6 5 7" xfId="2590"/>
    <cellStyle name="20% - Accent6 5 8" xfId="2591"/>
    <cellStyle name="20% - Accent6 5 9" xfId="2592"/>
    <cellStyle name="20% - Accent6 6" xfId="2593"/>
    <cellStyle name="20% - Accent6 6 10" xfId="2594"/>
    <cellStyle name="20% - Accent6 6 2" xfId="2595"/>
    <cellStyle name="20% - Accent6 6 2 2" xfId="2596"/>
    <cellStyle name="20% - Accent6 6 2 2 2" xfId="2597"/>
    <cellStyle name="20% - Accent6 6 2 2 2 2" xfId="2598"/>
    <cellStyle name="20% - Accent6 6 2 2 2 3" xfId="2599"/>
    <cellStyle name="20% - Accent6 6 2 2 3" xfId="2600"/>
    <cellStyle name="20% - Accent6 6 2 2 4" xfId="2601"/>
    <cellStyle name="20% - Accent6 6 2 2 5" xfId="2602"/>
    <cellStyle name="20% - Accent6 6 2 2 6" xfId="2603"/>
    <cellStyle name="20% - Accent6 6 2 3" xfId="2604"/>
    <cellStyle name="20% - Accent6 6 2 3 2" xfId="2605"/>
    <cellStyle name="20% - Accent6 6 2 3 2 2" xfId="2606"/>
    <cellStyle name="20% - Accent6 6 2 3 3" xfId="2607"/>
    <cellStyle name="20% - Accent6 6 2 3 4" xfId="2608"/>
    <cellStyle name="20% - Accent6 6 2 3 5" xfId="2609"/>
    <cellStyle name="20% - Accent6 6 2 4" xfId="2610"/>
    <cellStyle name="20% - Accent6 6 2 4 2" xfId="2611"/>
    <cellStyle name="20% - Accent6 6 2 4 3" xfId="2612"/>
    <cellStyle name="20% - Accent6 6 2 4 4" xfId="2613"/>
    <cellStyle name="20% - Accent6 6 2 5" xfId="2614"/>
    <cellStyle name="20% - Accent6 6 2 5 2" xfId="2615"/>
    <cellStyle name="20% - Accent6 6 2 6" xfId="2616"/>
    <cellStyle name="20% - Accent6 6 2 7" xfId="2617"/>
    <cellStyle name="20% - Accent6 6 2 8" xfId="2618"/>
    <cellStyle name="20% - Accent6 6 2 9" xfId="2619"/>
    <cellStyle name="20% - Accent6 6 3" xfId="2620"/>
    <cellStyle name="20% - Accent6 6 3 2" xfId="2621"/>
    <cellStyle name="20% - Accent6 6 3 2 2" xfId="2622"/>
    <cellStyle name="20% - Accent6 6 3 2 3" xfId="2623"/>
    <cellStyle name="20% - Accent6 6 3 3" xfId="2624"/>
    <cellStyle name="20% - Accent6 6 3 4" xfId="2625"/>
    <cellStyle name="20% - Accent6 6 3 5" xfId="2626"/>
    <cellStyle name="20% - Accent6 6 3 6" xfId="2627"/>
    <cellStyle name="20% - Accent6 6 4" xfId="2628"/>
    <cellStyle name="20% - Accent6 6 4 2" xfId="2629"/>
    <cellStyle name="20% - Accent6 6 4 2 2" xfId="2630"/>
    <cellStyle name="20% - Accent6 6 4 3" xfId="2631"/>
    <cellStyle name="20% - Accent6 6 4 4" xfId="2632"/>
    <cellStyle name="20% - Accent6 6 4 5" xfId="2633"/>
    <cellStyle name="20% - Accent6 6 5" xfId="2634"/>
    <cellStyle name="20% - Accent6 6 5 2" xfId="2635"/>
    <cellStyle name="20% - Accent6 6 5 3" xfId="2636"/>
    <cellStyle name="20% - Accent6 6 5 4" xfId="2637"/>
    <cellStyle name="20% - Accent6 6 6" xfId="2638"/>
    <cellStyle name="20% - Accent6 6 6 2" xfId="2639"/>
    <cellStyle name="20% - Accent6 6 7" xfId="2640"/>
    <cellStyle name="20% - Accent6 6 8" xfId="2641"/>
    <cellStyle name="20% - Accent6 6 9" xfId="2642"/>
    <cellStyle name="20% - Accent6 7" xfId="2643"/>
    <cellStyle name="20% - Accent6 7 2" xfId="2644"/>
    <cellStyle name="20% - Accent6 7 2 2" xfId="2645"/>
    <cellStyle name="20% - Accent6 7 2 2 2" xfId="2646"/>
    <cellStyle name="20% - Accent6 7 2 2 3" xfId="2647"/>
    <cellStyle name="20% - Accent6 7 2 3" xfId="2648"/>
    <cellStyle name="20% - Accent6 7 2 4" xfId="2649"/>
    <cellStyle name="20% - Accent6 7 2 5" xfId="2650"/>
    <cellStyle name="20% - Accent6 7 2 6" xfId="2651"/>
    <cellStyle name="20% - Accent6 7 3" xfId="2652"/>
    <cellStyle name="20% - Accent6 7 3 2" xfId="2653"/>
    <cellStyle name="20% - Accent6 7 3 2 2" xfId="2654"/>
    <cellStyle name="20% - Accent6 7 3 3" xfId="2655"/>
    <cellStyle name="20% - Accent6 7 3 4" xfId="2656"/>
    <cellStyle name="20% - Accent6 7 3 5" xfId="2657"/>
    <cellStyle name="20% - Accent6 7 4" xfId="2658"/>
    <cellStyle name="20% - Accent6 7 4 2" xfId="2659"/>
    <cellStyle name="20% - Accent6 7 4 3" xfId="2660"/>
    <cellStyle name="20% - Accent6 7 4 4" xfId="2661"/>
    <cellStyle name="20% - Accent6 7 5" xfId="2662"/>
    <cellStyle name="20% - Accent6 7 5 2" xfId="2663"/>
    <cellStyle name="20% - Accent6 7 6" xfId="2664"/>
    <cellStyle name="20% - Accent6 7 7" xfId="2665"/>
    <cellStyle name="20% - Accent6 7 8" xfId="2666"/>
    <cellStyle name="20% - Accent6 7 9" xfId="2667"/>
    <cellStyle name="20% - Accent6 8" xfId="2668"/>
    <cellStyle name="20% - Accent6 8 2" xfId="2669"/>
    <cellStyle name="20% - Accent6 8 2 2" xfId="2670"/>
    <cellStyle name="20% - Accent6 8 2 2 2" xfId="2671"/>
    <cellStyle name="20% - Accent6 8 2 2 3" xfId="2672"/>
    <cellStyle name="20% - Accent6 8 2 3" xfId="2673"/>
    <cellStyle name="20% - Accent6 8 2 4" xfId="2674"/>
    <cellStyle name="20% - Accent6 8 2 5" xfId="2675"/>
    <cellStyle name="20% - Accent6 8 2 6" xfId="2676"/>
    <cellStyle name="20% - Accent6 8 3" xfId="2677"/>
    <cellStyle name="20% - Accent6 8 3 2" xfId="2678"/>
    <cellStyle name="20% - Accent6 8 3 2 2" xfId="2679"/>
    <cellStyle name="20% - Accent6 8 3 3" xfId="2680"/>
    <cellStyle name="20% - Accent6 8 3 4" xfId="2681"/>
    <cellStyle name="20% - Accent6 8 3 5" xfId="2682"/>
    <cellStyle name="20% - Accent6 8 4" xfId="2683"/>
    <cellStyle name="20% - Accent6 8 4 2" xfId="2684"/>
    <cellStyle name="20% - Accent6 8 4 3" xfId="2685"/>
    <cellStyle name="20% - Accent6 8 4 4" xfId="2686"/>
    <cellStyle name="20% - Accent6 8 5" xfId="2687"/>
    <cellStyle name="20% - Accent6 8 5 2" xfId="2688"/>
    <cellStyle name="20% - Accent6 8 6" xfId="2689"/>
    <cellStyle name="20% - Accent6 8 7" xfId="2690"/>
    <cellStyle name="20% - Accent6 8 8" xfId="2691"/>
    <cellStyle name="20% - Accent6 8 9" xfId="2692"/>
    <cellStyle name="20% - Accent6 9" xfId="2693"/>
    <cellStyle name="20% - Accent6 9 2" xfId="2694"/>
    <cellStyle name="20% - Accent6 9 2 2" xfId="2695"/>
    <cellStyle name="20% - Accent6 9 2 2 2" xfId="2696"/>
    <cellStyle name="20% - Accent6 9 2 3" xfId="2697"/>
    <cellStyle name="20% - Accent6 9 2 4" xfId="2698"/>
    <cellStyle name="20% - Accent6 9 2 5" xfId="2699"/>
    <cellStyle name="20% - Accent6 9 3" xfId="2700"/>
    <cellStyle name="20% - Accent6 9 3 2" xfId="2701"/>
    <cellStyle name="20% - Accent6 9 3 3" xfId="2702"/>
    <cellStyle name="20% - Accent6 9 3 4" xfId="2703"/>
    <cellStyle name="20% - Accent6 9 4" xfId="2704"/>
    <cellStyle name="20% - Accent6 9 4 2" xfId="2705"/>
    <cellStyle name="20% - Accent6 9 5" xfId="2706"/>
    <cellStyle name="20% - Accent6 9 6" xfId="2707"/>
    <cellStyle name="20% - Accent6 9 7" xfId="2708"/>
    <cellStyle name="20% - Accent6 9 8" xfId="2709"/>
    <cellStyle name="40% - Accent1 10" xfId="2710"/>
    <cellStyle name="40% - Accent1 10 2" xfId="2711"/>
    <cellStyle name="40% - Accent1 10 2 2" xfId="2712"/>
    <cellStyle name="40% - Accent1 10 2 2 2" xfId="2713"/>
    <cellStyle name="40% - Accent1 10 2 3" xfId="2714"/>
    <cellStyle name="40% - Accent1 10 2 4" xfId="2715"/>
    <cellStyle name="40% - Accent1 10 2 5" xfId="2716"/>
    <cellStyle name="40% - Accent1 10 3" xfId="2717"/>
    <cellStyle name="40% - Accent1 10 3 2" xfId="2718"/>
    <cellStyle name="40% - Accent1 10 3 3" xfId="2719"/>
    <cellStyle name="40% - Accent1 10 3 4" xfId="2720"/>
    <cellStyle name="40% - Accent1 10 4" xfId="2721"/>
    <cellStyle name="40% - Accent1 10 4 2" xfId="2722"/>
    <cellStyle name="40% - Accent1 10 5" xfId="2723"/>
    <cellStyle name="40% - Accent1 10 6" xfId="2724"/>
    <cellStyle name="40% - Accent1 10 7" xfId="2725"/>
    <cellStyle name="40% - Accent1 10 8" xfId="2726"/>
    <cellStyle name="40% - Accent1 11" xfId="2727"/>
    <cellStyle name="40% - Accent1 11 2" xfId="2728"/>
    <cellStyle name="40% - Accent1 11 2 2" xfId="2729"/>
    <cellStyle name="40% - Accent1 11 2 2 2" xfId="2730"/>
    <cellStyle name="40% - Accent1 11 2 3" xfId="2731"/>
    <cellStyle name="40% - Accent1 11 2 4" xfId="2732"/>
    <cellStyle name="40% - Accent1 11 2 5" xfId="2733"/>
    <cellStyle name="40% - Accent1 11 3" xfId="2734"/>
    <cellStyle name="40% - Accent1 11 3 2" xfId="2735"/>
    <cellStyle name="40% - Accent1 11 3 3" xfId="2736"/>
    <cellStyle name="40% - Accent1 11 3 4" xfId="2737"/>
    <cellStyle name="40% - Accent1 11 4" xfId="2738"/>
    <cellStyle name="40% - Accent1 11 4 2" xfId="2739"/>
    <cellStyle name="40% - Accent1 11 5" xfId="2740"/>
    <cellStyle name="40% - Accent1 11 6" xfId="2741"/>
    <cellStyle name="40% - Accent1 11 7" xfId="2742"/>
    <cellStyle name="40% - Accent1 11 8" xfId="2743"/>
    <cellStyle name="40% - Accent1 12" xfId="2744"/>
    <cellStyle name="40% - Accent1 12 2" xfId="2745"/>
    <cellStyle name="40% - Accent1 12 2 2" xfId="2746"/>
    <cellStyle name="40% - Accent1 12 2 2 2" xfId="2747"/>
    <cellStyle name="40% - Accent1 12 2 3" xfId="2748"/>
    <cellStyle name="40% - Accent1 12 2 4" xfId="2749"/>
    <cellStyle name="40% - Accent1 12 2 5" xfId="2750"/>
    <cellStyle name="40% - Accent1 12 3" xfId="2751"/>
    <cellStyle name="40% - Accent1 12 3 2" xfId="2752"/>
    <cellStyle name="40% - Accent1 12 3 3" xfId="2753"/>
    <cellStyle name="40% - Accent1 12 3 4" xfId="2754"/>
    <cellStyle name="40% - Accent1 12 4" xfId="2755"/>
    <cellStyle name="40% - Accent1 12 4 2" xfId="2756"/>
    <cellStyle name="40% - Accent1 12 5" xfId="2757"/>
    <cellStyle name="40% - Accent1 12 6" xfId="2758"/>
    <cellStyle name="40% - Accent1 12 7" xfId="2759"/>
    <cellStyle name="40% - Accent1 12 8" xfId="2760"/>
    <cellStyle name="40% - Accent1 13" xfId="2761"/>
    <cellStyle name="40% - Accent1 13 2" xfId="2762"/>
    <cellStyle name="40% - Accent1 13 2 2" xfId="2763"/>
    <cellStyle name="40% - Accent1 13 2 3" xfId="2764"/>
    <cellStyle name="40% - Accent1 13 2 4" xfId="2765"/>
    <cellStyle name="40% - Accent1 13 3" xfId="2766"/>
    <cellStyle name="40% - Accent1 13 3 2" xfId="2767"/>
    <cellStyle name="40% - Accent1 13 4" xfId="2768"/>
    <cellStyle name="40% - Accent1 13 5" xfId="2769"/>
    <cellStyle name="40% - Accent1 13 6" xfId="2770"/>
    <cellStyle name="40% - Accent1 14" xfId="2771"/>
    <cellStyle name="40% - Accent1 14 2" xfId="2772"/>
    <cellStyle name="40% - Accent1 14 2 2" xfId="2773"/>
    <cellStyle name="40% - Accent1 14 3" xfId="2774"/>
    <cellStyle name="40% - Accent1 14 4" xfId="2775"/>
    <cellStyle name="40% - Accent1 14 5" xfId="2776"/>
    <cellStyle name="40% - Accent1 15" xfId="2777"/>
    <cellStyle name="40% - Accent1 15 2" xfId="2778"/>
    <cellStyle name="40% - Accent1 15 2 2" xfId="2779"/>
    <cellStyle name="40% - Accent1 15 3" xfId="2780"/>
    <cellStyle name="40% - Accent1 15 4" xfId="2781"/>
    <cellStyle name="40% - Accent1 15 5" xfId="2782"/>
    <cellStyle name="40% - Accent1 16" xfId="2783"/>
    <cellStyle name="40% - Accent1 16 2" xfId="2784"/>
    <cellStyle name="40% - Accent1 17" xfId="2785"/>
    <cellStyle name="40% - Accent1 18" xfId="2786"/>
    <cellStyle name="40% - Accent1 19" xfId="2787"/>
    <cellStyle name="40% - Accent1 2" xfId="2788"/>
    <cellStyle name="40% - Accent1 2 10" xfId="2789"/>
    <cellStyle name="40% - Accent1 2 11" xfId="2790"/>
    <cellStyle name="40% - Accent1 2 2" xfId="2791"/>
    <cellStyle name="40% - Accent1 2 2 10" xfId="2792"/>
    <cellStyle name="40% - Accent1 2 2 2" xfId="2793"/>
    <cellStyle name="40% - Accent1 2 2 2 2" xfId="2794"/>
    <cellStyle name="40% - Accent1 2 2 2 2 2" xfId="2795"/>
    <cellStyle name="40% - Accent1 2 2 2 2 2 2" xfId="2796"/>
    <cellStyle name="40% - Accent1 2 2 2 2 2 3" xfId="2797"/>
    <cellStyle name="40% - Accent1 2 2 2 2 3" xfId="2798"/>
    <cellStyle name="40% - Accent1 2 2 2 2 4" xfId="2799"/>
    <cellStyle name="40% - Accent1 2 2 2 2 5" xfId="2800"/>
    <cellStyle name="40% - Accent1 2 2 2 2 6" xfId="2801"/>
    <cellStyle name="40% - Accent1 2 2 2 3" xfId="2802"/>
    <cellStyle name="40% - Accent1 2 2 2 3 2" xfId="2803"/>
    <cellStyle name="40% - Accent1 2 2 2 3 2 2" xfId="2804"/>
    <cellStyle name="40% - Accent1 2 2 2 3 3" xfId="2805"/>
    <cellStyle name="40% - Accent1 2 2 2 3 4" xfId="2806"/>
    <cellStyle name="40% - Accent1 2 2 2 3 5" xfId="2807"/>
    <cellStyle name="40% - Accent1 2 2 2 4" xfId="2808"/>
    <cellStyle name="40% - Accent1 2 2 2 4 2" xfId="2809"/>
    <cellStyle name="40% - Accent1 2 2 2 4 3" xfId="2810"/>
    <cellStyle name="40% - Accent1 2 2 2 4 4" xfId="2811"/>
    <cellStyle name="40% - Accent1 2 2 2 5" xfId="2812"/>
    <cellStyle name="40% - Accent1 2 2 2 5 2" xfId="2813"/>
    <cellStyle name="40% - Accent1 2 2 2 6" xfId="2814"/>
    <cellStyle name="40% - Accent1 2 2 2 7" xfId="2815"/>
    <cellStyle name="40% - Accent1 2 2 2 8" xfId="2816"/>
    <cellStyle name="40% - Accent1 2 2 2 9" xfId="2817"/>
    <cellStyle name="40% - Accent1 2 2 3" xfId="2818"/>
    <cellStyle name="40% - Accent1 2 2 3 2" xfId="2819"/>
    <cellStyle name="40% - Accent1 2 2 3 2 2" xfId="2820"/>
    <cellStyle name="40% - Accent1 2 2 3 2 3" xfId="2821"/>
    <cellStyle name="40% - Accent1 2 2 3 3" xfId="2822"/>
    <cellStyle name="40% - Accent1 2 2 3 4" xfId="2823"/>
    <cellStyle name="40% - Accent1 2 2 3 5" xfId="2824"/>
    <cellStyle name="40% - Accent1 2 2 3 6" xfId="2825"/>
    <cellStyle name="40% - Accent1 2 2 4" xfId="2826"/>
    <cellStyle name="40% - Accent1 2 2 4 2" xfId="2827"/>
    <cellStyle name="40% - Accent1 2 2 4 2 2" xfId="2828"/>
    <cellStyle name="40% - Accent1 2 2 4 3" xfId="2829"/>
    <cellStyle name="40% - Accent1 2 2 4 4" xfId="2830"/>
    <cellStyle name="40% - Accent1 2 2 4 5" xfId="2831"/>
    <cellStyle name="40% - Accent1 2 2 5" xfId="2832"/>
    <cellStyle name="40% - Accent1 2 2 5 2" xfId="2833"/>
    <cellStyle name="40% - Accent1 2 2 5 3" xfId="2834"/>
    <cellStyle name="40% - Accent1 2 2 5 4" xfId="2835"/>
    <cellStyle name="40% - Accent1 2 2 6" xfId="2836"/>
    <cellStyle name="40% - Accent1 2 2 6 2" xfId="2837"/>
    <cellStyle name="40% - Accent1 2 2 7" xfId="2838"/>
    <cellStyle name="40% - Accent1 2 2 8" xfId="2839"/>
    <cellStyle name="40% - Accent1 2 2 9" xfId="2840"/>
    <cellStyle name="40% - Accent1 2 3" xfId="2841"/>
    <cellStyle name="40% - Accent1 2 3 2" xfId="2842"/>
    <cellStyle name="40% - Accent1 2 3 2 2" xfId="2843"/>
    <cellStyle name="40% - Accent1 2 3 2 2 2" xfId="2844"/>
    <cellStyle name="40% - Accent1 2 3 2 2 3" xfId="2845"/>
    <cellStyle name="40% - Accent1 2 3 2 3" xfId="2846"/>
    <cellStyle name="40% - Accent1 2 3 2 4" xfId="2847"/>
    <cellStyle name="40% - Accent1 2 3 2 5" xfId="2848"/>
    <cellStyle name="40% - Accent1 2 3 2 6" xfId="2849"/>
    <cellStyle name="40% - Accent1 2 3 3" xfId="2850"/>
    <cellStyle name="40% - Accent1 2 3 3 2" xfId="2851"/>
    <cellStyle name="40% - Accent1 2 3 3 2 2" xfId="2852"/>
    <cellStyle name="40% - Accent1 2 3 3 3" xfId="2853"/>
    <cellStyle name="40% - Accent1 2 3 3 4" xfId="2854"/>
    <cellStyle name="40% - Accent1 2 3 3 5" xfId="2855"/>
    <cellStyle name="40% - Accent1 2 3 4" xfId="2856"/>
    <cellStyle name="40% - Accent1 2 3 4 2" xfId="2857"/>
    <cellStyle name="40% - Accent1 2 3 4 3" xfId="2858"/>
    <cellStyle name="40% - Accent1 2 3 4 4" xfId="2859"/>
    <cellStyle name="40% - Accent1 2 3 5" xfId="2860"/>
    <cellStyle name="40% - Accent1 2 3 5 2" xfId="2861"/>
    <cellStyle name="40% - Accent1 2 3 6" xfId="2862"/>
    <cellStyle name="40% - Accent1 2 3 7" xfId="2863"/>
    <cellStyle name="40% - Accent1 2 3 8" xfId="2864"/>
    <cellStyle name="40% - Accent1 2 3 9" xfId="2865"/>
    <cellStyle name="40% - Accent1 2 4" xfId="2866"/>
    <cellStyle name="40% - Accent1 2 4 2" xfId="2867"/>
    <cellStyle name="40% - Accent1 2 4 2 2" xfId="2868"/>
    <cellStyle name="40% - Accent1 2 4 2 3" xfId="2869"/>
    <cellStyle name="40% - Accent1 2 4 3" xfId="2870"/>
    <cellStyle name="40% - Accent1 2 4 4" xfId="2871"/>
    <cellStyle name="40% - Accent1 2 4 5" xfId="2872"/>
    <cellStyle name="40% - Accent1 2 4 6" xfId="2873"/>
    <cellStyle name="40% - Accent1 2 5" xfId="2874"/>
    <cellStyle name="40% - Accent1 2 5 2" xfId="2875"/>
    <cellStyle name="40% - Accent1 2 5 2 2" xfId="2876"/>
    <cellStyle name="40% - Accent1 2 5 3" xfId="2877"/>
    <cellStyle name="40% - Accent1 2 5 4" xfId="2878"/>
    <cellStyle name="40% - Accent1 2 5 5" xfId="2879"/>
    <cellStyle name="40% - Accent1 2 6" xfId="2880"/>
    <cellStyle name="40% - Accent1 2 6 2" xfId="2881"/>
    <cellStyle name="40% - Accent1 2 6 2 2" xfId="2882"/>
    <cellStyle name="40% - Accent1 2 6 3" xfId="2883"/>
    <cellStyle name="40% - Accent1 2 6 4" xfId="2884"/>
    <cellStyle name="40% - Accent1 2 6 5" xfId="2885"/>
    <cellStyle name="40% - Accent1 2 7" xfId="2886"/>
    <cellStyle name="40% - Accent1 2 7 2" xfId="2887"/>
    <cellStyle name="40% - Accent1 2 8" xfId="2888"/>
    <cellStyle name="40% - Accent1 2 9" xfId="2889"/>
    <cellStyle name="40% - Accent1 3" xfId="2890"/>
    <cellStyle name="40% - Accent1 3 10" xfId="2891"/>
    <cellStyle name="40% - Accent1 3 2" xfId="2892"/>
    <cellStyle name="40% - Accent1 3 2 2" xfId="2893"/>
    <cellStyle name="40% - Accent1 3 2 2 2" xfId="2894"/>
    <cellStyle name="40% - Accent1 3 2 2 2 2" xfId="2895"/>
    <cellStyle name="40% - Accent1 3 2 2 2 3" xfId="2896"/>
    <cellStyle name="40% - Accent1 3 2 2 3" xfId="2897"/>
    <cellStyle name="40% - Accent1 3 2 2 4" xfId="2898"/>
    <cellStyle name="40% - Accent1 3 2 2 5" xfId="2899"/>
    <cellStyle name="40% - Accent1 3 2 2 6" xfId="2900"/>
    <cellStyle name="40% - Accent1 3 2 3" xfId="2901"/>
    <cellStyle name="40% - Accent1 3 2 3 2" xfId="2902"/>
    <cellStyle name="40% - Accent1 3 2 3 2 2" xfId="2903"/>
    <cellStyle name="40% - Accent1 3 2 3 3" xfId="2904"/>
    <cellStyle name="40% - Accent1 3 2 3 4" xfId="2905"/>
    <cellStyle name="40% - Accent1 3 2 3 5" xfId="2906"/>
    <cellStyle name="40% - Accent1 3 2 4" xfId="2907"/>
    <cellStyle name="40% - Accent1 3 2 4 2" xfId="2908"/>
    <cellStyle name="40% - Accent1 3 2 4 3" xfId="2909"/>
    <cellStyle name="40% - Accent1 3 2 4 4" xfId="2910"/>
    <cellStyle name="40% - Accent1 3 2 5" xfId="2911"/>
    <cellStyle name="40% - Accent1 3 2 5 2" xfId="2912"/>
    <cellStyle name="40% - Accent1 3 2 6" xfId="2913"/>
    <cellStyle name="40% - Accent1 3 2 7" xfId="2914"/>
    <cellStyle name="40% - Accent1 3 2 8" xfId="2915"/>
    <cellStyle name="40% - Accent1 3 2 9" xfId="2916"/>
    <cellStyle name="40% - Accent1 3 3" xfId="2917"/>
    <cellStyle name="40% - Accent1 3 3 2" xfId="2918"/>
    <cellStyle name="40% - Accent1 3 3 2 2" xfId="2919"/>
    <cellStyle name="40% - Accent1 3 3 2 3" xfId="2920"/>
    <cellStyle name="40% - Accent1 3 3 3" xfId="2921"/>
    <cellStyle name="40% - Accent1 3 3 4" xfId="2922"/>
    <cellStyle name="40% - Accent1 3 3 5" xfId="2923"/>
    <cellStyle name="40% - Accent1 3 3 6" xfId="2924"/>
    <cellStyle name="40% - Accent1 3 4" xfId="2925"/>
    <cellStyle name="40% - Accent1 3 4 2" xfId="2926"/>
    <cellStyle name="40% - Accent1 3 4 2 2" xfId="2927"/>
    <cellStyle name="40% - Accent1 3 4 3" xfId="2928"/>
    <cellStyle name="40% - Accent1 3 4 4" xfId="2929"/>
    <cellStyle name="40% - Accent1 3 4 5" xfId="2930"/>
    <cellStyle name="40% - Accent1 3 5" xfId="2931"/>
    <cellStyle name="40% - Accent1 3 5 2" xfId="2932"/>
    <cellStyle name="40% - Accent1 3 5 2 2" xfId="2933"/>
    <cellStyle name="40% - Accent1 3 5 3" xfId="2934"/>
    <cellStyle name="40% - Accent1 3 5 4" xfId="2935"/>
    <cellStyle name="40% - Accent1 3 5 5" xfId="2936"/>
    <cellStyle name="40% - Accent1 3 6" xfId="2937"/>
    <cellStyle name="40% - Accent1 3 6 2" xfId="2938"/>
    <cellStyle name="40% - Accent1 3 7" xfId="2939"/>
    <cellStyle name="40% - Accent1 3 8" xfId="2940"/>
    <cellStyle name="40% - Accent1 3 9" xfId="2941"/>
    <cellStyle name="40% - Accent1 4" xfId="2942"/>
    <cellStyle name="40% - Accent1 4 10" xfId="2943"/>
    <cellStyle name="40% - Accent1 4 2" xfId="2944"/>
    <cellStyle name="40% - Accent1 4 2 2" xfId="2945"/>
    <cellStyle name="40% - Accent1 4 2 2 2" xfId="2946"/>
    <cellStyle name="40% - Accent1 4 2 2 2 2" xfId="2947"/>
    <cellStyle name="40% - Accent1 4 2 2 2 3" xfId="2948"/>
    <cellStyle name="40% - Accent1 4 2 2 3" xfId="2949"/>
    <cellStyle name="40% - Accent1 4 2 2 4" xfId="2950"/>
    <cellStyle name="40% - Accent1 4 2 2 5" xfId="2951"/>
    <cellStyle name="40% - Accent1 4 2 2 6" xfId="2952"/>
    <cellStyle name="40% - Accent1 4 2 3" xfId="2953"/>
    <cellStyle name="40% - Accent1 4 2 3 2" xfId="2954"/>
    <cellStyle name="40% - Accent1 4 2 3 2 2" xfId="2955"/>
    <cellStyle name="40% - Accent1 4 2 3 3" xfId="2956"/>
    <cellStyle name="40% - Accent1 4 2 3 4" xfId="2957"/>
    <cellStyle name="40% - Accent1 4 2 3 5" xfId="2958"/>
    <cellStyle name="40% - Accent1 4 2 4" xfId="2959"/>
    <cellStyle name="40% - Accent1 4 2 4 2" xfId="2960"/>
    <cellStyle name="40% - Accent1 4 2 4 3" xfId="2961"/>
    <cellStyle name="40% - Accent1 4 2 4 4" xfId="2962"/>
    <cellStyle name="40% - Accent1 4 2 5" xfId="2963"/>
    <cellStyle name="40% - Accent1 4 2 5 2" xfId="2964"/>
    <cellStyle name="40% - Accent1 4 2 6" xfId="2965"/>
    <cellStyle name="40% - Accent1 4 2 7" xfId="2966"/>
    <cellStyle name="40% - Accent1 4 2 8" xfId="2967"/>
    <cellStyle name="40% - Accent1 4 2 9" xfId="2968"/>
    <cellStyle name="40% - Accent1 4 3" xfId="2969"/>
    <cellStyle name="40% - Accent1 4 3 2" xfId="2970"/>
    <cellStyle name="40% - Accent1 4 3 2 2" xfId="2971"/>
    <cellStyle name="40% - Accent1 4 3 2 3" xfId="2972"/>
    <cellStyle name="40% - Accent1 4 3 3" xfId="2973"/>
    <cellStyle name="40% - Accent1 4 3 4" xfId="2974"/>
    <cellStyle name="40% - Accent1 4 3 5" xfId="2975"/>
    <cellStyle name="40% - Accent1 4 3 6" xfId="2976"/>
    <cellStyle name="40% - Accent1 4 4" xfId="2977"/>
    <cellStyle name="40% - Accent1 4 4 2" xfId="2978"/>
    <cellStyle name="40% - Accent1 4 4 2 2" xfId="2979"/>
    <cellStyle name="40% - Accent1 4 4 3" xfId="2980"/>
    <cellStyle name="40% - Accent1 4 4 4" xfId="2981"/>
    <cellStyle name="40% - Accent1 4 4 5" xfId="2982"/>
    <cellStyle name="40% - Accent1 4 5" xfId="2983"/>
    <cellStyle name="40% - Accent1 4 5 2" xfId="2984"/>
    <cellStyle name="40% - Accent1 4 5 2 2" xfId="2985"/>
    <cellStyle name="40% - Accent1 4 5 3" xfId="2986"/>
    <cellStyle name="40% - Accent1 4 5 4" xfId="2987"/>
    <cellStyle name="40% - Accent1 4 5 5" xfId="2988"/>
    <cellStyle name="40% - Accent1 4 6" xfId="2989"/>
    <cellStyle name="40% - Accent1 4 6 2" xfId="2990"/>
    <cellStyle name="40% - Accent1 4 7" xfId="2991"/>
    <cellStyle name="40% - Accent1 4 8" xfId="2992"/>
    <cellStyle name="40% - Accent1 4 9" xfId="2993"/>
    <cellStyle name="40% - Accent1 5" xfId="2994"/>
    <cellStyle name="40% - Accent1 5 10" xfId="2995"/>
    <cellStyle name="40% - Accent1 5 2" xfId="2996"/>
    <cellStyle name="40% - Accent1 5 2 2" xfId="2997"/>
    <cellStyle name="40% - Accent1 5 2 2 2" xfId="2998"/>
    <cellStyle name="40% - Accent1 5 2 2 2 2" xfId="2999"/>
    <cellStyle name="40% - Accent1 5 2 2 2 3" xfId="3000"/>
    <cellStyle name="40% - Accent1 5 2 2 3" xfId="3001"/>
    <cellStyle name="40% - Accent1 5 2 2 4" xfId="3002"/>
    <cellStyle name="40% - Accent1 5 2 2 5" xfId="3003"/>
    <cellStyle name="40% - Accent1 5 2 2 6" xfId="3004"/>
    <cellStyle name="40% - Accent1 5 2 3" xfId="3005"/>
    <cellStyle name="40% - Accent1 5 2 3 2" xfId="3006"/>
    <cellStyle name="40% - Accent1 5 2 3 2 2" xfId="3007"/>
    <cellStyle name="40% - Accent1 5 2 3 3" xfId="3008"/>
    <cellStyle name="40% - Accent1 5 2 3 4" xfId="3009"/>
    <cellStyle name="40% - Accent1 5 2 3 5" xfId="3010"/>
    <cellStyle name="40% - Accent1 5 2 4" xfId="3011"/>
    <cellStyle name="40% - Accent1 5 2 4 2" xfId="3012"/>
    <cellStyle name="40% - Accent1 5 2 4 3" xfId="3013"/>
    <cellStyle name="40% - Accent1 5 2 4 4" xfId="3014"/>
    <cellStyle name="40% - Accent1 5 2 5" xfId="3015"/>
    <cellStyle name="40% - Accent1 5 2 5 2" xfId="3016"/>
    <cellStyle name="40% - Accent1 5 2 6" xfId="3017"/>
    <cellStyle name="40% - Accent1 5 2 7" xfId="3018"/>
    <cellStyle name="40% - Accent1 5 2 8" xfId="3019"/>
    <cellStyle name="40% - Accent1 5 2 9" xfId="3020"/>
    <cellStyle name="40% - Accent1 5 3" xfId="3021"/>
    <cellStyle name="40% - Accent1 5 3 2" xfId="3022"/>
    <cellStyle name="40% - Accent1 5 3 2 2" xfId="3023"/>
    <cellStyle name="40% - Accent1 5 3 2 3" xfId="3024"/>
    <cellStyle name="40% - Accent1 5 3 3" xfId="3025"/>
    <cellStyle name="40% - Accent1 5 3 4" xfId="3026"/>
    <cellStyle name="40% - Accent1 5 3 5" xfId="3027"/>
    <cellStyle name="40% - Accent1 5 3 6" xfId="3028"/>
    <cellStyle name="40% - Accent1 5 4" xfId="3029"/>
    <cellStyle name="40% - Accent1 5 4 2" xfId="3030"/>
    <cellStyle name="40% - Accent1 5 4 2 2" xfId="3031"/>
    <cellStyle name="40% - Accent1 5 4 3" xfId="3032"/>
    <cellStyle name="40% - Accent1 5 4 4" xfId="3033"/>
    <cellStyle name="40% - Accent1 5 4 5" xfId="3034"/>
    <cellStyle name="40% - Accent1 5 5" xfId="3035"/>
    <cellStyle name="40% - Accent1 5 5 2" xfId="3036"/>
    <cellStyle name="40% - Accent1 5 5 3" xfId="3037"/>
    <cellStyle name="40% - Accent1 5 5 4" xfId="3038"/>
    <cellStyle name="40% - Accent1 5 6" xfId="3039"/>
    <cellStyle name="40% - Accent1 5 6 2" xfId="3040"/>
    <cellStyle name="40% - Accent1 5 7" xfId="3041"/>
    <cellStyle name="40% - Accent1 5 8" xfId="3042"/>
    <cellStyle name="40% - Accent1 5 9" xfId="3043"/>
    <cellStyle name="40% - Accent1 6" xfId="3044"/>
    <cellStyle name="40% - Accent1 6 10" xfId="3045"/>
    <cellStyle name="40% - Accent1 6 2" xfId="3046"/>
    <cellStyle name="40% - Accent1 6 2 2" xfId="3047"/>
    <cellStyle name="40% - Accent1 6 2 2 2" xfId="3048"/>
    <cellStyle name="40% - Accent1 6 2 2 2 2" xfId="3049"/>
    <cellStyle name="40% - Accent1 6 2 2 2 3" xfId="3050"/>
    <cellStyle name="40% - Accent1 6 2 2 3" xfId="3051"/>
    <cellStyle name="40% - Accent1 6 2 2 4" xfId="3052"/>
    <cellStyle name="40% - Accent1 6 2 2 5" xfId="3053"/>
    <cellStyle name="40% - Accent1 6 2 2 6" xfId="3054"/>
    <cellStyle name="40% - Accent1 6 2 3" xfId="3055"/>
    <cellStyle name="40% - Accent1 6 2 3 2" xfId="3056"/>
    <cellStyle name="40% - Accent1 6 2 3 2 2" xfId="3057"/>
    <cellStyle name="40% - Accent1 6 2 3 3" xfId="3058"/>
    <cellStyle name="40% - Accent1 6 2 3 4" xfId="3059"/>
    <cellStyle name="40% - Accent1 6 2 3 5" xfId="3060"/>
    <cellStyle name="40% - Accent1 6 2 4" xfId="3061"/>
    <cellStyle name="40% - Accent1 6 2 4 2" xfId="3062"/>
    <cellStyle name="40% - Accent1 6 2 4 3" xfId="3063"/>
    <cellStyle name="40% - Accent1 6 2 4 4" xfId="3064"/>
    <cellStyle name="40% - Accent1 6 2 5" xfId="3065"/>
    <cellStyle name="40% - Accent1 6 2 5 2" xfId="3066"/>
    <cellStyle name="40% - Accent1 6 2 6" xfId="3067"/>
    <cellStyle name="40% - Accent1 6 2 7" xfId="3068"/>
    <cellStyle name="40% - Accent1 6 2 8" xfId="3069"/>
    <cellStyle name="40% - Accent1 6 2 9" xfId="3070"/>
    <cellStyle name="40% - Accent1 6 3" xfId="3071"/>
    <cellStyle name="40% - Accent1 6 3 2" xfId="3072"/>
    <cellStyle name="40% - Accent1 6 3 2 2" xfId="3073"/>
    <cellStyle name="40% - Accent1 6 3 2 3" xfId="3074"/>
    <cellStyle name="40% - Accent1 6 3 3" xfId="3075"/>
    <cellStyle name="40% - Accent1 6 3 4" xfId="3076"/>
    <cellStyle name="40% - Accent1 6 3 5" xfId="3077"/>
    <cellStyle name="40% - Accent1 6 3 6" xfId="3078"/>
    <cellStyle name="40% - Accent1 6 4" xfId="3079"/>
    <cellStyle name="40% - Accent1 6 4 2" xfId="3080"/>
    <cellStyle name="40% - Accent1 6 4 2 2" xfId="3081"/>
    <cellStyle name="40% - Accent1 6 4 3" xfId="3082"/>
    <cellStyle name="40% - Accent1 6 4 4" xfId="3083"/>
    <cellStyle name="40% - Accent1 6 4 5" xfId="3084"/>
    <cellStyle name="40% - Accent1 6 5" xfId="3085"/>
    <cellStyle name="40% - Accent1 6 5 2" xfId="3086"/>
    <cellStyle name="40% - Accent1 6 5 3" xfId="3087"/>
    <cellStyle name="40% - Accent1 6 5 4" xfId="3088"/>
    <cellStyle name="40% - Accent1 6 6" xfId="3089"/>
    <cellStyle name="40% - Accent1 6 6 2" xfId="3090"/>
    <cellStyle name="40% - Accent1 6 7" xfId="3091"/>
    <cellStyle name="40% - Accent1 6 8" xfId="3092"/>
    <cellStyle name="40% - Accent1 6 9" xfId="3093"/>
    <cellStyle name="40% - Accent1 7" xfId="3094"/>
    <cellStyle name="40% - Accent1 7 2" xfId="3095"/>
    <cellStyle name="40% - Accent1 7 2 2" xfId="3096"/>
    <cellStyle name="40% - Accent1 7 2 2 2" xfId="3097"/>
    <cellStyle name="40% - Accent1 7 2 2 3" xfId="3098"/>
    <cellStyle name="40% - Accent1 7 2 3" xfId="3099"/>
    <cellStyle name="40% - Accent1 7 2 4" xfId="3100"/>
    <cellStyle name="40% - Accent1 7 2 5" xfId="3101"/>
    <cellStyle name="40% - Accent1 7 2 6" xfId="3102"/>
    <cellStyle name="40% - Accent1 7 3" xfId="3103"/>
    <cellStyle name="40% - Accent1 7 3 2" xfId="3104"/>
    <cellStyle name="40% - Accent1 7 3 2 2" xfId="3105"/>
    <cellStyle name="40% - Accent1 7 3 3" xfId="3106"/>
    <cellStyle name="40% - Accent1 7 3 4" xfId="3107"/>
    <cellStyle name="40% - Accent1 7 3 5" xfId="3108"/>
    <cellStyle name="40% - Accent1 7 4" xfId="3109"/>
    <cellStyle name="40% - Accent1 7 4 2" xfId="3110"/>
    <cellStyle name="40% - Accent1 7 4 3" xfId="3111"/>
    <cellStyle name="40% - Accent1 7 4 4" xfId="3112"/>
    <cellStyle name="40% - Accent1 7 5" xfId="3113"/>
    <cellStyle name="40% - Accent1 7 5 2" xfId="3114"/>
    <cellStyle name="40% - Accent1 7 6" xfId="3115"/>
    <cellStyle name="40% - Accent1 7 7" xfId="3116"/>
    <cellStyle name="40% - Accent1 7 8" xfId="3117"/>
    <cellStyle name="40% - Accent1 7 9" xfId="3118"/>
    <cellStyle name="40% - Accent1 8" xfId="3119"/>
    <cellStyle name="40% - Accent1 8 2" xfId="3120"/>
    <cellStyle name="40% - Accent1 8 2 2" xfId="3121"/>
    <cellStyle name="40% - Accent1 8 2 2 2" xfId="3122"/>
    <cellStyle name="40% - Accent1 8 2 2 3" xfId="3123"/>
    <cellStyle name="40% - Accent1 8 2 3" xfId="3124"/>
    <cellStyle name="40% - Accent1 8 2 4" xfId="3125"/>
    <cellStyle name="40% - Accent1 8 2 5" xfId="3126"/>
    <cellStyle name="40% - Accent1 8 2 6" xfId="3127"/>
    <cellStyle name="40% - Accent1 8 3" xfId="3128"/>
    <cellStyle name="40% - Accent1 8 3 2" xfId="3129"/>
    <cellStyle name="40% - Accent1 8 3 2 2" xfId="3130"/>
    <cellStyle name="40% - Accent1 8 3 3" xfId="3131"/>
    <cellStyle name="40% - Accent1 8 3 4" xfId="3132"/>
    <cellStyle name="40% - Accent1 8 3 5" xfId="3133"/>
    <cellStyle name="40% - Accent1 8 4" xfId="3134"/>
    <cellStyle name="40% - Accent1 8 4 2" xfId="3135"/>
    <cellStyle name="40% - Accent1 8 4 3" xfId="3136"/>
    <cellStyle name="40% - Accent1 8 4 4" xfId="3137"/>
    <cellStyle name="40% - Accent1 8 5" xfId="3138"/>
    <cellStyle name="40% - Accent1 8 5 2" xfId="3139"/>
    <cellStyle name="40% - Accent1 8 6" xfId="3140"/>
    <cellStyle name="40% - Accent1 8 7" xfId="3141"/>
    <cellStyle name="40% - Accent1 8 8" xfId="3142"/>
    <cellStyle name="40% - Accent1 8 9" xfId="3143"/>
    <cellStyle name="40% - Accent1 9" xfId="3144"/>
    <cellStyle name="40% - Accent1 9 2" xfId="3145"/>
    <cellStyle name="40% - Accent1 9 2 2" xfId="3146"/>
    <cellStyle name="40% - Accent1 9 2 2 2" xfId="3147"/>
    <cellStyle name="40% - Accent1 9 2 3" xfId="3148"/>
    <cellStyle name="40% - Accent1 9 2 4" xfId="3149"/>
    <cellStyle name="40% - Accent1 9 2 5" xfId="3150"/>
    <cellStyle name="40% - Accent1 9 3" xfId="3151"/>
    <cellStyle name="40% - Accent1 9 3 2" xfId="3152"/>
    <cellStyle name="40% - Accent1 9 3 3" xfId="3153"/>
    <cellStyle name="40% - Accent1 9 3 4" xfId="3154"/>
    <cellStyle name="40% - Accent1 9 4" xfId="3155"/>
    <cellStyle name="40% - Accent1 9 4 2" xfId="3156"/>
    <cellStyle name="40% - Accent1 9 5" xfId="3157"/>
    <cellStyle name="40% - Accent1 9 6" xfId="3158"/>
    <cellStyle name="40% - Accent1 9 7" xfId="3159"/>
    <cellStyle name="40% - Accent1 9 8" xfId="3160"/>
    <cellStyle name="40% - Accent2 10" xfId="3161"/>
    <cellStyle name="40% - Accent2 10 2" xfId="3162"/>
    <cellStyle name="40% - Accent2 10 2 2" xfId="3163"/>
    <cellStyle name="40% - Accent2 10 2 2 2" xfId="3164"/>
    <cellStyle name="40% - Accent2 10 2 3" xfId="3165"/>
    <cellStyle name="40% - Accent2 10 2 4" xfId="3166"/>
    <cellStyle name="40% - Accent2 10 2 5" xfId="3167"/>
    <cellStyle name="40% - Accent2 10 3" xfId="3168"/>
    <cellStyle name="40% - Accent2 10 3 2" xfId="3169"/>
    <cellStyle name="40% - Accent2 10 3 3" xfId="3170"/>
    <cellStyle name="40% - Accent2 10 3 4" xfId="3171"/>
    <cellStyle name="40% - Accent2 10 4" xfId="3172"/>
    <cellStyle name="40% - Accent2 10 4 2" xfId="3173"/>
    <cellStyle name="40% - Accent2 10 5" xfId="3174"/>
    <cellStyle name="40% - Accent2 10 6" xfId="3175"/>
    <cellStyle name="40% - Accent2 10 7" xfId="3176"/>
    <cellStyle name="40% - Accent2 10 8" xfId="3177"/>
    <cellStyle name="40% - Accent2 11" xfId="3178"/>
    <cellStyle name="40% - Accent2 11 2" xfId="3179"/>
    <cellStyle name="40% - Accent2 11 2 2" xfId="3180"/>
    <cellStyle name="40% - Accent2 11 2 2 2" xfId="3181"/>
    <cellStyle name="40% - Accent2 11 2 3" xfId="3182"/>
    <cellStyle name="40% - Accent2 11 2 4" xfId="3183"/>
    <cellStyle name="40% - Accent2 11 2 5" xfId="3184"/>
    <cellStyle name="40% - Accent2 11 3" xfId="3185"/>
    <cellStyle name="40% - Accent2 11 3 2" xfId="3186"/>
    <cellStyle name="40% - Accent2 11 3 3" xfId="3187"/>
    <cellStyle name="40% - Accent2 11 3 4" xfId="3188"/>
    <cellStyle name="40% - Accent2 11 4" xfId="3189"/>
    <cellStyle name="40% - Accent2 11 4 2" xfId="3190"/>
    <cellStyle name="40% - Accent2 11 5" xfId="3191"/>
    <cellStyle name="40% - Accent2 11 6" xfId="3192"/>
    <cellStyle name="40% - Accent2 11 7" xfId="3193"/>
    <cellStyle name="40% - Accent2 11 8" xfId="3194"/>
    <cellStyle name="40% - Accent2 12" xfId="3195"/>
    <cellStyle name="40% - Accent2 12 2" xfId="3196"/>
    <cellStyle name="40% - Accent2 12 2 2" xfId="3197"/>
    <cellStyle name="40% - Accent2 12 2 2 2" xfId="3198"/>
    <cellStyle name="40% - Accent2 12 2 3" xfId="3199"/>
    <cellStyle name="40% - Accent2 12 2 4" xfId="3200"/>
    <cellStyle name="40% - Accent2 12 2 5" xfId="3201"/>
    <cellStyle name="40% - Accent2 12 3" xfId="3202"/>
    <cellStyle name="40% - Accent2 12 3 2" xfId="3203"/>
    <cellStyle name="40% - Accent2 12 3 3" xfId="3204"/>
    <cellStyle name="40% - Accent2 12 3 4" xfId="3205"/>
    <cellStyle name="40% - Accent2 12 4" xfId="3206"/>
    <cellStyle name="40% - Accent2 12 4 2" xfId="3207"/>
    <cellStyle name="40% - Accent2 12 5" xfId="3208"/>
    <cellStyle name="40% - Accent2 12 6" xfId="3209"/>
    <cellStyle name="40% - Accent2 12 7" xfId="3210"/>
    <cellStyle name="40% - Accent2 12 8" xfId="3211"/>
    <cellStyle name="40% - Accent2 13" xfId="3212"/>
    <cellStyle name="40% - Accent2 13 2" xfId="3213"/>
    <cellStyle name="40% - Accent2 13 2 2" xfId="3214"/>
    <cellStyle name="40% - Accent2 13 2 3" xfId="3215"/>
    <cellStyle name="40% - Accent2 13 2 4" xfId="3216"/>
    <cellStyle name="40% - Accent2 13 3" xfId="3217"/>
    <cellStyle name="40% - Accent2 13 3 2" xfId="3218"/>
    <cellStyle name="40% - Accent2 13 4" xfId="3219"/>
    <cellStyle name="40% - Accent2 13 5" xfId="3220"/>
    <cellStyle name="40% - Accent2 13 6" xfId="3221"/>
    <cellStyle name="40% - Accent2 14" xfId="3222"/>
    <cellStyle name="40% - Accent2 14 2" xfId="3223"/>
    <cellStyle name="40% - Accent2 14 2 2" xfId="3224"/>
    <cellStyle name="40% - Accent2 14 3" xfId="3225"/>
    <cellStyle name="40% - Accent2 14 4" xfId="3226"/>
    <cellStyle name="40% - Accent2 14 5" xfId="3227"/>
    <cellStyle name="40% - Accent2 15" xfId="3228"/>
    <cellStyle name="40% - Accent2 15 2" xfId="3229"/>
    <cellStyle name="40% - Accent2 15 2 2" xfId="3230"/>
    <cellStyle name="40% - Accent2 15 3" xfId="3231"/>
    <cellStyle name="40% - Accent2 15 4" xfId="3232"/>
    <cellStyle name="40% - Accent2 15 5" xfId="3233"/>
    <cellStyle name="40% - Accent2 16" xfId="3234"/>
    <cellStyle name="40% - Accent2 16 2" xfId="3235"/>
    <cellStyle name="40% - Accent2 17" xfId="3236"/>
    <cellStyle name="40% - Accent2 18" xfId="3237"/>
    <cellStyle name="40% - Accent2 19" xfId="3238"/>
    <cellStyle name="40% - Accent2 2" xfId="3239"/>
    <cellStyle name="40% - Accent2 2 10" xfId="3240"/>
    <cellStyle name="40% - Accent2 2 11" xfId="3241"/>
    <cellStyle name="40% - Accent2 2 2" xfId="3242"/>
    <cellStyle name="40% - Accent2 2 2 10" xfId="3243"/>
    <cellStyle name="40% - Accent2 2 2 2" xfId="3244"/>
    <cellStyle name="40% - Accent2 2 2 2 2" xfId="3245"/>
    <cellStyle name="40% - Accent2 2 2 2 2 2" xfId="3246"/>
    <cellStyle name="40% - Accent2 2 2 2 2 2 2" xfId="3247"/>
    <cellStyle name="40% - Accent2 2 2 2 2 2 3" xfId="3248"/>
    <cellStyle name="40% - Accent2 2 2 2 2 3" xfId="3249"/>
    <cellStyle name="40% - Accent2 2 2 2 2 4" xfId="3250"/>
    <cellStyle name="40% - Accent2 2 2 2 2 5" xfId="3251"/>
    <cellStyle name="40% - Accent2 2 2 2 2 6" xfId="3252"/>
    <cellStyle name="40% - Accent2 2 2 2 3" xfId="3253"/>
    <cellStyle name="40% - Accent2 2 2 2 3 2" xfId="3254"/>
    <cellStyle name="40% - Accent2 2 2 2 3 2 2" xfId="3255"/>
    <cellStyle name="40% - Accent2 2 2 2 3 3" xfId="3256"/>
    <cellStyle name="40% - Accent2 2 2 2 3 4" xfId="3257"/>
    <cellStyle name="40% - Accent2 2 2 2 3 5" xfId="3258"/>
    <cellStyle name="40% - Accent2 2 2 2 4" xfId="3259"/>
    <cellStyle name="40% - Accent2 2 2 2 4 2" xfId="3260"/>
    <cellStyle name="40% - Accent2 2 2 2 4 3" xfId="3261"/>
    <cellStyle name="40% - Accent2 2 2 2 4 4" xfId="3262"/>
    <cellStyle name="40% - Accent2 2 2 2 5" xfId="3263"/>
    <cellStyle name="40% - Accent2 2 2 2 5 2" xfId="3264"/>
    <cellStyle name="40% - Accent2 2 2 2 6" xfId="3265"/>
    <cellStyle name="40% - Accent2 2 2 2 7" xfId="3266"/>
    <cellStyle name="40% - Accent2 2 2 2 8" xfId="3267"/>
    <cellStyle name="40% - Accent2 2 2 2 9" xfId="3268"/>
    <cellStyle name="40% - Accent2 2 2 3" xfId="3269"/>
    <cellStyle name="40% - Accent2 2 2 3 2" xfId="3270"/>
    <cellStyle name="40% - Accent2 2 2 3 2 2" xfId="3271"/>
    <cellStyle name="40% - Accent2 2 2 3 2 3" xfId="3272"/>
    <cellStyle name="40% - Accent2 2 2 3 3" xfId="3273"/>
    <cellStyle name="40% - Accent2 2 2 3 4" xfId="3274"/>
    <cellStyle name="40% - Accent2 2 2 3 5" xfId="3275"/>
    <cellStyle name="40% - Accent2 2 2 3 6" xfId="3276"/>
    <cellStyle name="40% - Accent2 2 2 4" xfId="3277"/>
    <cellStyle name="40% - Accent2 2 2 4 2" xfId="3278"/>
    <cellStyle name="40% - Accent2 2 2 4 2 2" xfId="3279"/>
    <cellStyle name="40% - Accent2 2 2 4 3" xfId="3280"/>
    <cellStyle name="40% - Accent2 2 2 4 4" xfId="3281"/>
    <cellStyle name="40% - Accent2 2 2 4 5" xfId="3282"/>
    <cellStyle name="40% - Accent2 2 2 5" xfId="3283"/>
    <cellStyle name="40% - Accent2 2 2 5 2" xfId="3284"/>
    <cellStyle name="40% - Accent2 2 2 5 3" xfId="3285"/>
    <cellStyle name="40% - Accent2 2 2 5 4" xfId="3286"/>
    <cellStyle name="40% - Accent2 2 2 6" xfId="3287"/>
    <cellStyle name="40% - Accent2 2 2 6 2" xfId="3288"/>
    <cellStyle name="40% - Accent2 2 2 7" xfId="3289"/>
    <cellStyle name="40% - Accent2 2 2 8" xfId="3290"/>
    <cellStyle name="40% - Accent2 2 2 9" xfId="3291"/>
    <cellStyle name="40% - Accent2 2 3" xfId="3292"/>
    <cellStyle name="40% - Accent2 2 3 2" xfId="3293"/>
    <cellStyle name="40% - Accent2 2 3 2 2" xfId="3294"/>
    <cellStyle name="40% - Accent2 2 3 2 2 2" xfId="3295"/>
    <cellStyle name="40% - Accent2 2 3 2 2 3" xfId="3296"/>
    <cellStyle name="40% - Accent2 2 3 2 3" xfId="3297"/>
    <cellStyle name="40% - Accent2 2 3 2 4" xfId="3298"/>
    <cellStyle name="40% - Accent2 2 3 2 5" xfId="3299"/>
    <cellStyle name="40% - Accent2 2 3 2 6" xfId="3300"/>
    <cellStyle name="40% - Accent2 2 3 3" xfId="3301"/>
    <cellStyle name="40% - Accent2 2 3 3 2" xfId="3302"/>
    <cellStyle name="40% - Accent2 2 3 3 2 2" xfId="3303"/>
    <cellStyle name="40% - Accent2 2 3 3 3" xfId="3304"/>
    <cellStyle name="40% - Accent2 2 3 3 4" xfId="3305"/>
    <cellStyle name="40% - Accent2 2 3 3 5" xfId="3306"/>
    <cellStyle name="40% - Accent2 2 3 4" xfId="3307"/>
    <cellStyle name="40% - Accent2 2 3 4 2" xfId="3308"/>
    <cellStyle name="40% - Accent2 2 3 4 3" xfId="3309"/>
    <cellStyle name="40% - Accent2 2 3 4 4" xfId="3310"/>
    <cellStyle name="40% - Accent2 2 3 5" xfId="3311"/>
    <cellStyle name="40% - Accent2 2 3 5 2" xfId="3312"/>
    <cellStyle name="40% - Accent2 2 3 6" xfId="3313"/>
    <cellStyle name="40% - Accent2 2 3 7" xfId="3314"/>
    <cellStyle name="40% - Accent2 2 3 8" xfId="3315"/>
    <cellStyle name="40% - Accent2 2 3 9" xfId="3316"/>
    <cellStyle name="40% - Accent2 2 4" xfId="3317"/>
    <cellStyle name="40% - Accent2 2 4 2" xfId="3318"/>
    <cellStyle name="40% - Accent2 2 4 2 2" xfId="3319"/>
    <cellStyle name="40% - Accent2 2 4 2 3" xfId="3320"/>
    <cellStyle name="40% - Accent2 2 4 3" xfId="3321"/>
    <cellStyle name="40% - Accent2 2 4 4" xfId="3322"/>
    <cellStyle name="40% - Accent2 2 4 5" xfId="3323"/>
    <cellStyle name="40% - Accent2 2 4 6" xfId="3324"/>
    <cellStyle name="40% - Accent2 2 5" xfId="3325"/>
    <cellStyle name="40% - Accent2 2 5 2" xfId="3326"/>
    <cellStyle name="40% - Accent2 2 5 2 2" xfId="3327"/>
    <cellStyle name="40% - Accent2 2 5 3" xfId="3328"/>
    <cellStyle name="40% - Accent2 2 5 4" xfId="3329"/>
    <cellStyle name="40% - Accent2 2 5 5" xfId="3330"/>
    <cellStyle name="40% - Accent2 2 6" xfId="3331"/>
    <cellStyle name="40% - Accent2 2 6 2" xfId="3332"/>
    <cellStyle name="40% - Accent2 2 6 2 2" xfId="3333"/>
    <cellStyle name="40% - Accent2 2 6 3" xfId="3334"/>
    <cellStyle name="40% - Accent2 2 6 4" xfId="3335"/>
    <cellStyle name="40% - Accent2 2 6 5" xfId="3336"/>
    <cellStyle name="40% - Accent2 2 7" xfId="3337"/>
    <cellStyle name="40% - Accent2 2 7 2" xfId="3338"/>
    <cellStyle name="40% - Accent2 2 8" xfId="3339"/>
    <cellStyle name="40% - Accent2 2 9" xfId="3340"/>
    <cellStyle name="40% - Accent2 3" xfId="3341"/>
    <cellStyle name="40% - Accent2 3 10" xfId="3342"/>
    <cellStyle name="40% - Accent2 3 2" xfId="3343"/>
    <cellStyle name="40% - Accent2 3 2 2" xfId="3344"/>
    <cellStyle name="40% - Accent2 3 2 2 2" xfId="3345"/>
    <cellStyle name="40% - Accent2 3 2 2 2 2" xfId="3346"/>
    <cellStyle name="40% - Accent2 3 2 2 2 3" xfId="3347"/>
    <cellStyle name="40% - Accent2 3 2 2 3" xfId="3348"/>
    <cellStyle name="40% - Accent2 3 2 2 4" xfId="3349"/>
    <cellStyle name="40% - Accent2 3 2 2 5" xfId="3350"/>
    <cellStyle name="40% - Accent2 3 2 2 6" xfId="3351"/>
    <cellStyle name="40% - Accent2 3 2 3" xfId="3352"/>
    <cellStyle name="40% - Accent2 3 2 3 2" xfId="3353"/>
    <cellStyle name="40% - Accent2 3 2 3 2 2" xfId="3354"/>
    <cellStyle name="40% - Accent2 3 2 3 3" xfId="3355"/>
    <cellStyle name="40% - Accent2 3 2 3 4" xfId="3356"/>
    <cellStyle name="40% - Accent2 3 2 3 5" xfId="3357"/>
    <cellStyle name="40% - Accent2 3 2 4" xfId="3358"/>
    <cellStyle name="40% - Accent2 3 2 4 2" xfId="3359"/>
    <cellStyle name="40% - Accent2 3 2 4 3" xfId="3360"/>
    <cellStyle name="40% - Accent2 3 2 4 4" xfId="3361"/>
    <cellStyle name="40% - Accent2 3 2 5" xfId="3362"/>
    <cellStyle name="40% - Accent2 3 2 5 2" xfId="3363"/>
    <cellStyle name="40% - Accent2 3 2 6" xfId="3364"/>
    <cellStyle name="40% - Accent2 3 2 7" xfId="3365"/>
    <cellStyle name="40% - Accent2 3 2 8" xfId="3366"/>
    <cellStyle name="40% - Accent2 3 2 9" xfId="3367"/>
    <cellStyle name="40% - Accent2 3 3" xfId="3368"/>
    <cellStyle name="40% - Accent2 3 3 2" xfId="3369"/>
    <cellStyle name="40% - Accent2 3 3 2 2" xfId="3370"/>
    <cellStyle name="40% - Accent2 3 3 2 3" xfId="3371"/>
    <cellStyle name="40% - Accent2 3 3 3" xfId="3372"/>
    <cellStyle name="40% - Accent2 3 3 4" xfId="3373"/>
    <cellStyle name="40% - Accent2 3 3 5" xfId="3374"/>
    <cellStyle name="40% - Accent2 3 3 6" xfId="3375"/>
    <cellStyle name="40% - Accent2 3 4" xfId="3376"/>
    <cellStyle name="40% - Accent2 3 4 2" xfId="3377"/>
    <cellStyle name="40% - Accent2 3 4 2 2" xfId="3378"/>
    <cellStyle name="40% - Accent2 3 4 3" xfId="3379"/>
    <cellStyle name="40% - Accent2 3 4 4" xfId="3380"/>
    <cellStyle name="40% - Accent2 3 4 5" xfId="3381"/>
    <cellStyle name="40% - Accent2 3 5" xfId="3382"/>
    <cellStyle name="40% - Accent2 3 5 2" xfId="3383"/>
    <cellStyle name="40% - Accent2 3 5 2 2" xfId="3384"/>
    <cellStyle name="40% - Accent2 3 5 3" xfId="3385"/>
    <cellStyle name="40% - Accent2 3 5 4" xfId="3386"/>
    <cellStyle name="40% - Accent2 3 5 5" xfId="3387"/>
    <cellStyle name="40% - Accent2 3 6" xfId="3388"/>
    <cellStyle name="40% - Accent2 3 6 2" xfId="3389"/>
    <cellStyle name="40% - Accent2 3 7" xfId="3390"/>
    <cellStyle name="40% - Accent2 3 8" xfId="3391"/>
    <cellStyle name="40% - Accent2 3 9" xfId="3392"/>
    <cellStyle name="40% - Accent2 4" xfId="3393"/>
    <cellStyle name="40% - Accent2 4 10" xfId="3394"/>
    <cellStyle name="40% - Accent2 4 2" xfId="3395"/>
    <cellStyle name="40% - Accent2 4 2 2" xfId="3396"/>
    <cellStyle name="40% - Accent2 4 2 2 2" xfId="3397"/>
    <cellStyle name="40% - Accent2 4 2 2 2 2" xfId="3398"/>
    <cellStyle name="40% - Accent2 4 2 2 2 3" xfId="3399"/>
    <cellStyle name="40% - Accent2 4 2 2 3" xfId="3400"/>
    <cellStyle name="40% - Accent2 4 2 2 4" xfId="3401"/>
    <cellStyle name="40% - Accent2 4 2 2 5" xfId="3402"/>
    <cellStyle name="40% - Accent2 4 2 2 6" xfId="3403"/>
    <cellStyle name="40% - Accent2 4 2 3" xfId="3404"/>
    <cellStyle name="40% - Accent2 4 2 3 2" xfId="3405"/>
    <cellStyle name="40% - Accent2 4 2 3 2 2" xfId="3406"/>
    <cellStyle name="40% - Accent2 4 2 3 3" xfId="3407"/>
    <cellStyle name="40% - Accent2 4 2 3 4" xfId="3408"/>
    <cellStyle name="40% - Accent2 4 2 3 5" xfId="3409"/>
    <cellStyle name="40% - Accent2 4 2 4" xfId="3410"/>
    <cellStyle name="40% - Accent2 4 2 4 2" xfId="3411"/>
    <cellStyle name="40% - Accent2 4 2 4 3" xfId="3412"/>
    <cellStyle name="40% - Accent2 4 2 4 4" xfId="3413"/>
    <cellStyle name="40% - Accent2 4 2 5" xfId="3414"/>
    <cellStyle name="40% - Accent2 4 2 5 2" xfId="3415"/>
    <cellStyle name="40% - Accent2 4 2 6" xfId="3416"/>
    <cellStyle name="40% - Accent2 4 2 7" xfId="3417"/>
    <cellStyle name="40% - Accent2 4 2 8" xfId="3418"/>
    <cellStyle name="40% - Accent2 4 2 9" xfId="3419"/>
    <cellStyle name="40% - Accent2 4 3" xfId="3420"/>
    <cellStyle name="40% - Accent2 4 3 2" xfId="3421"/>
    <cellStyle name="40% - Accent2 4 3 2 2" xfId="3422"/>
    <cellStyle name="40% - Accent2 4 3 2 3" xfId="3423"/>
    <cellStyle name="40% - Accent2 4 3 3" xfId="3424"/>
    <cellStyle name="40% - Accent2 4 3 4" xfId="3425"/>
    <cellStyle name="40% - Accent2 4 3 5" xfId="3426"/>
    <cellStyle name="40% - Accent2 4 3 6" xfId="3427"/>
    <cellStyle name="40% - Accent2 4 4" xfId="3428"/>
    <cellStyle name="40% - Accent2 4 4 2" xfId="3429"/>
    <cellStyle name="40% - Accent2 4 4 2 2" xfId="3430"/>
    <cellStyle name="40% - Accent2 4 4 3" xfId="3431"/>
    <cellStyle name="40% - Accent2 4 4 4" xfId="3432"/>
    <cellStyle name="40% - Accent2 4 4 5" xfId="3433"/>
    <cellStyle name="40% - Accent2 4 5" xfId="3434"/>
    <cellStyle name="40% - Accent2 4 5 2" xfId="3435"/>
    <cellStyle name="40% - Accent2 4 5 2 2" xfId="3436"/>
    <cellStyle name="40% - Accent2 4 5 3" xfId="3437"/>
    <cellStyle name="40% - Accent2 4 5 4" xfId="3438"/>
    <cellStyle name="40% - Accent2 4 5 5" xfId="3439"/>
    <cellStyle name="40% - Accent2 4 6" xfId="3440"/>
    <cellStyle name="40% - Accent2 4 6 2" xfId="3441"/>
    <cellStyle name="40% - Accent2 4 7" xfId="3442"/>
    <cellStyle name="40% - Accent2 4 8" xfId="3443"/>
    <cellStyle name="40% - Accent2 4 9" xfId="3444"/>
    <cellStyle name="40% - Accent2 5" xfId="3445"/>
    <cellStyle name="40% - Accent2 5 10" xfId="3446"/>
    <cellStyle name="40% - Accent2 5 2" xfId="3447"/>
    <cellStyle name="40% - Accent2 5 2 2" xfId="3448"/>
    <cellStyle name="40% - Accent2 5 2 2 2" xfId="3449"/>
    <cellStyle name="40% - Accent2 5 2 2 2 2" xfId="3450"/>
    <cellStyle name="40% - Accent2 5 2 2 2 3" xfId="3451"/>
    <cellStyle name="40% - Accent2 5 2 2 3" xfId="3452"/>
    <cellStyle name="40% - Accent2 5 2 2 4" xfId="3453"/>
    <cellStyle name="40% - Accent2 5 2 2 5" xfId="3454"/>
    <cellStyle name="40% - Accent2 5 2 2 6" xfId="3455"/>
    <cellStyle name="40% - Accent2 5 2 3" xfId="3456"/>
    <cellStyle name="40% - Accent2 5 2 3 2" xfId="3457"/>
    <cellStyle name="40% - Accent2 5 2 3 2 2" xfId="3458"/>
    <cellStyle name="40% - Accent2 5 2 3 3" xfId="3459"/>
    <cellStyle name="40% - Accent2 5 2 3 4" xfId="3460"/>
    <cellStyle name="40% - Accent2 5 2 3 5" xfId="3461"/>
    <cellStyle name="40% - Accent2 5 2 4" xfId="3462"/>
    <cellStyle name="40% - Accent2 5 2 4 2" xfId="3463"/>
    <cellStyle name="40% - Accent2 5 2 4 3" xfId="3464"/>
    <cellStyle name="40% - Accent2 5 2 4 4" xfId="3465"/>
    <cellStyle name="40% - Accent2 5 2 5" xfId="3466"/>
    <cellStyle name="40% - Accent2 5 2 5 2" xfId="3467"/>
    <cellStyle name="40% - Accent2 5 2 6" xfId="3468"/>
    <cellStyle name="40% - Accent2 5 2 7" xfId="3469"/>
    <cellStyle name="40% - Accent2 5 2 8" xfId="3470"/>
    <cellStyle name="40% - Accent2 5 2 9" xfId="3471"/>
    <cellStyle name="40% - Accent2 5 3" xfId="3472"/>
    <cellStyle name="40% - Accent2 5 3 2" xfId="3473"/>
    <cellStyle name="40% - Accent2 5 3 2 2" xfId="3474"/>
    <cellStyle name="40% - Accent2 5 3 2 3" xfId="3475"/>
    <cellStyle name="40% - Accent2 5 3 3" xfId="3476"/>
    <cellStyle name="40% - Accent2 5 3 4" xfId="3477"/>
    <cellStyle name="40% - Accent2 5 3 5" xfId="3478"/>
    <cellStyle name="40% - Accent2 5 3 6" xfId="3479"/>
    <cellStyle name="40% - Accent2 5 4" xfId="3480"/>
    <cellStyle name="40% - Accent2 5 4 2" xfId="3481"/>
    <cellStyle name="40% - Accent2 5 4 2 2" xfId="3482"/>
    <cellStyle name="40% - Accent2 5 4 3" xfId="3483"/>
    <cellStyle name="40% - Accent2 5 4 4" xfId="3484"/>
    <cellStyle name="40% - Accent2 5 4 5" xfId="3485"/>
    <cellStyle name="40% - Accent2 5 5" xfId="3486"/>
    <cellStyle name="40% - Accent2 5 5 2" xfId="3487"/>
    <cellStyle name="40% - Accent2 5 5 3" xfId="3488"/>
    <cellStyle name="40% - Accent2 5 5 4" xfId="3489"/>
    <cellStyle name="40% - Accent2 5 6" xfId="3490"/>
    <cellStyle name="40% - Accent2 5 6 2" xfId="3491"/>
    <cellStyle name="40% - Accent2 5 7" xfId="3492"/>
    <cellStyle name="40% - Accent2 5 8" xfId="3493"/>
    <cellStyle name="40% - Accent2 5 9" xfId="3494"/>
    <cellStyle name="40% - Accent2 6" xfId="3495"/>
    <cellStyle name="40% - Accent2 6 10" xfId="3496"/>
    <cellStyle name="40% - Accent2 6 2" xfId="3497"/>
    <cellStyle name="40% - Accent2 6 2 2" xfId="3498"/>
    <cellStyle name="40% - Accent2 6 2 2 2" xfId="3499"/>
    <cellStyle name="40% - Accent2 6 2 2 2 2" xfId="3500"/>
    <cellStyle name="40% - Accent2 6 2 2 2 3" xfId="3501"/>
    <cellStyle name="40% - Accent2 6 2 2 3" xfId="3502"/>
    <cellStyle name="40% - Accent2 6 2 2 4" xfId="3503"/>
    <cellStyle name="40% - Accent2 6 2 2 5" xfId="3504"/>
    <cellStyle name="40% - Accent2 6 2 2 6" xfId="3505"/>
    <cellStyle name="40% - Accent2 6 2 3" xfId="3506"/>
    <cellStyle name="40% - Accent2 6 2 3 2" xfId="3507"/>
    <cellStyle name="40% - Accent2 6 2 3 2 2" xfId="3508"/>
    <cellStyle name="40% - Accent2 6 2 3 3" xfId="3509"/>
    <cellStyle name="40% - Accent2 6 2 3 4" xfId="3510"/>
    <cellStyle name="40% - Accent2 6 2 3 5" xfId="3511"/>
    <cellStyle name="40% - Accent2 6 2 4" xfId="3512"/>
    <cellStyle name="40% - Accent2 6 2 4 2" xfId="3513"/>
    <cellStyle name="40% - Accent2 6 2 4 3" xfId="3514"/>
    <cellStyle name="40% - Accent2 6 2 4 4" xfId="3515"/>
    <cellStyle name="40% - Accent2 6 2 5" xfId="3516"/>
    <cellStyle name="40% - Accent2 6 2 5 2" xfId="3517"/>
    <cellStyle name="40% - Accent2 6 2 6" xfId="3518"/>
    <cellStyle name="40% - Accent2 6 2 7" xfId="3519"/>
    <cellStyle name="40% - Accent2 6 2 8" xfId="3520"/>
    <cellStyle name="40% - Accent2 6 2 9" xfId="3521"/>
    <cellStyle name="40% - Accent2 6 3" xfId="3522"/>
    <cellStyle name="40% - Accent2 6 3 2" xfId="3523"/>
    <cellStyle name="40% - Accent2 6 3 2 2" xfId="3524"/>
    <cellStyle name="40% - Accent2 6 3 2 3" xfId="3525"/>
    <cellStyle name="40% - Accent2 6 3 3" xfId="3526"/>
    <cellStyle name="40% - Accent2 6 3 4" xfId="3527"/>
    <cellStyle name="40% - Accent2 6 3 5" xfId="3528"/>
    <cellStyle name="40% - Accent2 6 3 6" xfId="3529"/>
    <cellStyle name="40% - Accent2 6 4" xfId="3530"/>
    <cellStyle name="40% - Accent2 6 4 2" xfId="3531"/>
    <cellStyle name="40% - Accent2 6 4 2 2" xfId="3532"/>
    <cellStyle name="40% - Accent2 6 4 3" xfId="3533"/>
    <cellStyle name="40% - Accent2 6 4 4" xfId="3534"/>
    <cellStyle name="40% - Accent2 6 4 5" xfId="3535"/>
    <cellStyle name="40% - Accent2 6 5" xfId="3536"/>
    <cellStyle name="40% - Accent2 6 5 2" xfId="3537"/>
    <cellStyle name="40% - Accent2 6 5 3" xfId="3538"/>
    <cellStyle name="40% - Accent2 6 5 4" xfId="3539"/>
    <cellStyle name="40% - Accent2 6 6" xfId="3540"/>
    <cellStyle name="40% - Accent2 6 6 2" xfId="3541"/>
    <cellStyle name="40% - Accent2 6 7" xfId="3542"/>
    <cellStyle name="40% - Accent2 6 8" xfId="3543"/>
    <cellStyle name="40% - Accent2 6 9" xfId="3544"/>
    <cellStyle name="40% - Accent2 7" xfId="3545"/>
    <cellStyle name="40% - Accent2 7 2" xfId="3546"/>
    <cellStyle name="40% - Accent2 7 2 2" xfId="3547"/>
    <cellStyle name="40% - Accent2 7 2 2 2" xfId="3548"/>
    <cellStyle name="40% - Accent2 7 2 2 3" xfId="3549"/>
    <cellStyle name="40% - Accent2 7 2 3" xfId="3550"/>
    <cellStyle name="40% - Accent2 7 2 4" xfId="3551"/>
    <cellStyle name="40% - Accent2 7 2 5" xfId="3552"/>
    <cellStyle name="40% - Accent2 7 2 6" xfId="3553"/>
    <cellStyle name="40% - Accent2 7 3" xfId="3554"/>
    <cellStyle name="40% - Accent2 7 3 2" xfId="3555"/>
    <cellStyle name="40% - Accent2 7 3 2 2" xfId="3556"/>
    <cellStyle name="40% - Accent2 7 3 3" xfId="3557"/>
    <cellStyle name="40% - Accent2 7 3 4" xfId="3558"/>
    <cellStyle name="40% - Accent2 7 3 5" xfId="3559"/>
    <cellStyle name="40% - Accent2 7 4" xfId="3560"/>
    <cellStyle name="40% - Accent2 7 4 2" xfId="3561"/>
    <cellStyle name="40% - Accent2 7 4 3" xfId="3562"/>
    <cellStyle name="40% - Accent2 7 4 4" xfId="3563"/>
    <cellStyle name="40% - Accent2 7 5" xfId="3564"/>
    <cellStyle name="40% - Accent2 7 5 2" xfId="3565"/>
    <cellStyle name="40% - Accent2 7 6" xfId="3566"/>
    <cellStyle name="40% - Accent2 7 7" xfId="3567"/>
    <cellStyle name="40% - Accent2 7 8" xfId="3568"/>
    <cellStyle name="40% - Accent2 7 9" xfId="3569"/>
    <cellStyle name="40% - Accent2 8" xfId="3570"/>
    <cellStyle name="40% - Accent2 8 2" xfId="3571"/>
    <cellStyle name="40% - Accent2 8 2 2" xfId="3572"/>
    <cellStyle name="40% - Accent2 8 2 2 2" xfId="3573"/>
    <cellStyle name="40% - Accent2 8 2 2 3" xfId="3574"/>
    <cellStyle name="40% - Accent2 8 2 3" xfId="3575"/>
    <cellStyle name="40% - Accent2 8 2 4" xfId="3576"/>
    <cellStyle name="40% - Accent2 8 2 5" xfId="3577"/>
    <cellStyle name="40% - Accent2 8 2 6" xfId="3578"/>
    <cellStyle name="40% - Accent2 8 3" xfId="3579"/>
    <cellStyle name="40% - Accent2 8 3 2" xfId="3580"/>
    <cellStyle name="40% - Accent2 8 3 2 2" xfId="3581"/>
    <cellStyle name="40% - Accent2 8 3 3" xfId="3582"/>
    <cellStyle name="40% - Accent2 8 3 4" xfId="3583"/>
    <cellStyle name="40% - Accent2 8 3 5" xfId="3584"/>
    <cellStyle name="40% - Accent2 8 4" xfId="3585"/>
    <cellStyle name="40% - Accent2 8 4 2" xfId="3586"/>
    <cellStyle name="40% - Accent2 8 4 3" xfId="3587"/>
    <cellStyle name="40% - Accent2 8 4 4" xfId="3588"/>
    <cellStyle name="40% - Accent2 8 5" xfId="3589"/>
    <cellStyle name="40% - Accent2 8 5 2" xfId="3590"/>
    <cellStyle name="40% - Accent2 8 6" xfId="3591"/>
    <cellStyle name="40% - Accent2 8 7" xfId="3592"/>
    <cellStyle name="40% - Accent2 8 8" xfId="3593"/>
    <cellStyle name="40% - Accent2 8 9" xfId="3594"/>
    <cellStyle name="40% - Accent2 9" xfId="3595"/>
    <cellStyle name="40% - Accent2 9 2" xfId="3596"/>
    <cellStyle name="40% - Accent2 9 2 2" xfId="3597"/>
    <cellStyle name="40% - Accent2 9 2 2 2" xfId="3598"/>
    <cellStyle name="40% - Accent2 9 2 3" xfId="3599"/>
    <cellStyle name="40% - Accent2 9 2 4" xfId="3600"/>
    <cellStyle name="40% - Accent2 9 2 5" xfId="3601"/>
    <cellStyle name="40% - Accent2 9 3" xfId="3602"/>
    <cellStyle name="40% - Accent2 9 3 2" xfId="3603"/>
    <cellStyle name="40% - Accent2 9 3 3" xfId="3604"/>
    <cellStyle name="40% - Accent2 9 3 4" xfId="3605"/>
    <cellStyle name="40% - Accent2 9 4" xfId="3606"/>
    <cellStyle name="40% - Accent2 9 4 2" xfId="3607"/>
    <cellStyle name="40% - Accent2 9 5" xfId="3608"/>
    <cellStyle name="40% - Accent2 9 6" xfId="3609"/>
    <cellStyle name="40% - Accent2 9 7" xfId="3610"/>
    <cellStyle name="40% - Accent2 9 8" xfId="3611"/>
    <cellStyle name="40% - Accent3 10" xfId="3612"/>
    <cellStyle name="40% - Accent3 10 2" xfId="3613"/>
    <cellStyle name="40% - Accent3 10 2 2" xfId="3614"/>
    <cellStyle name="40% - Accent3 10 2 2 2" xfId="3615"/>
    <cellStyle name="40% - Accent3 10 2 3" xfId="3616"/>
    <cellStyle name="40% - Accent3 10 2 4" xfId="3617"/>
    <cellStyle name="40% - Accent3 10 2 5" xfId="3618"/>
    <cellStyle name="40% - Accent3 10 3" xfId="3619"/>
    <cellStyle name="40% - Accent3 10 3 2" xfId="3620"/>
    <cellStyle name="40% - Accent3 10 3 3" xfId="3621"/>
    <cellStyle name="40% - Accent3 10 3 4" xfId="3622"/>
    <cellStyle name="40% - Accent3 10 4" xfId="3623"/>
    <cellStyle name="40% - Accent3 10 4 2" xfId="3624"/>
    <cellStyle name="40% - Accent3 10 5" xfId="3625"/>
    <cellStyle name="40% - Accent3 10 6" xfId="3626"/>
    <cellStyle name="40% - Accent3 10 7" xfId="3627"/>
    <cellStyle name="40% - Accent3 10 8" xfId="3628"/>
    <cellStyle name="40% - Accent3 11" xfId="3629"/>
    <cellStyle name="40% - Accent3 11 2" xfId="3630"/>
    <cellStyle name="40% - Accent3 11 2 2" xfId="3631"/>
    <cellStyle name="40% - Accent3 11 2 2 2" xfId="3632"/>
    <cellStyle name="40% - Accent3 11 2 3" xfId="3633"/>
    <cellStyle name="40% - Accent3 11 2 4" xfId="3634"/>
    <cellStyle name="40% - Accent3 11 2 5" xfId="3635"/>
    <cellStyle name="40% - Accent3 11 3" xfId="3636"/>
    <cellStyle name="40% - Accent3 11 3 2" xfId="3637"/>
    <cellStyle name="40% - Accent3 11 3 3" xfId="3638"/>
    <cellStyle name="40% - Accent3 11 3 4" xfId="3639"/>
    <cellStyle name="40% - Accent3 11 4" xfId="3640"/>
    <cellStyle name="40% - Accent3 11 4 2" xfId="3641"/>
    <cellStyle name="40% - Accent3 11 5" xfId="3642"/>
    <cellStyle name="40% - Accent3 11 6" xfId="3643"/>
    <cellStyle name="40% - Accent3 11 7" xfId="3644"/>
    <cellStyle name="40% - Accent3 11 8" xfId="3645"/>
    <cellStyle name="40% - Accent3 12" xfId="3646"/>
    <cellStyle name="40% - Accent3 12 2" xfId="3647"/>
    <cellStyle name="40% - Accent3 12 2 2" xfId="3648"/>
    <cellStyle name="40% - Accent3 12 2 2 2" xfId="3649"/>
    <cellStyle name="40% - Accent3 12 2 3" xfId="3650"/>
    <cellStyle name="40% - Accent3 12 2 4" xfId="3651"/>
    <cellStyle name="40% - Accent3 12 2 5" xfId="3652"/>
    <cellStyle name="40% - Accent3 12 3" xfId="3653"/>
    <cellStyle name="40% - Accent3 12 3 2" xfId="3654"/>
    <cellStyle name="40% - Accent3 12 3 3" xfId="3655"/>
    <cellStyle name="40% - Accent3 12 3 4" xfId="3656"/>
    <cellStyle name="40% - Accent3 12 4" xfId="3657"/>
    <cellStyle name="40% - Accent3 12 4 2" xfId="3658"/>
    <cellStyle name="40% - Accent3 12 5" xfId="3659"/>
    <cellStyle name="40% - Accent3 12 6" xfId="3660"/>
    <cellStyle name="40% - Accent3 12 7" xfId="3661"/>
    <cellStyle name="40% - Accent3 12 8" xfId="3662"/>
    <cellStyle name="40% - Accent3 13" xfId="3663"/>
    <cellStyle name="40% - Accent3 13 2" xfId="3664"/>
    <cellStyle name="40% - Accent3 13 2 2" xfId="3665"/>
    <cellStyle name="40% - Accent3 13 2 3" xfId="3666"/>
    <cellStyle name="40% - Accent3 13 2 4" xfId="3667"/>
    <cellStyle name="40% - Accent3 13 3" xfId="3668"/>
    <cellStyle name="40% - Accent3 13 3 2" xfId="3669"/>
    <cellStyle name="40% - Accent3 13 4" xfId="3670"/>
    <cellStyle name="40% - Accent3 13 5" xfId="3671"/>
    <cellStyle name="40% - Accent3 13 6" xfId="3672"/>
    <cellStyle name="40% - Accent3 14" xfId="3673"/>
    <cellStyle name="40% - Accent3 14 2" xfId="3674"/>
    <cellStyle name="40% - Accent3 14 2 2" xfId="3675"/>
    <cellStyle name="40% - Accent3 14 3" xfId="3676"/>
    <cellStyle name="40% - Accent3 14 4" xfId="3677"/>
    <cellStyle name="40% - Accent3 14 5" xfId="3678"/>
    <cellStyle name="40% - Accent3 15" xfId="3679"/>
    <cellStyle name="40% - Accent3 15 2" xfId="3680"/>
    <cellStyle name="40% - Accent3 15 2 2" xfId="3681"/>
    <cellStyle name="40% - Accent3 15 3" xfId="3682"/>
    <cellStyle name="40% - Accent3 15 4" xfId="3683"/>
    <cellStyle name="40% - Accent3 15 5" xfId="3684"/>
    <cellStyle name="40% - Accent3 16" xfId="3685"/>
    <cellStyle name="40% - Accent3 16 2" xfId="3686"/>
    <cellStyle name="40% - Accent3 17" xfId="3687"/>
    <cellStyle name="40% - Accent3 18" xfId="3688"/>
    <cellStyle name="40% - Accent3 19" xfId="3689"/>
    <cellStyle name="40% - Accent3 2" xfId="3690"/>
    <cellStyle name="40% - Accent3 2 10" xfId="3691"/>
    <cellStyle name="40% - Accent3 2 11" xfId="3692"/>
    <cellStyle name="40% - Accent3 2 2" xfId="3693"/>
    <cellStyle name="40% - Accent3 2 2 10" xfId="3694"/>
    <cellStyle name="40% - Accent3 2 2 2" xfId="3695"/>
    <cellStyle name="40% - Accent3 2 2 2 2" xfId="3696"/>
    <cellStyle name="40% - Accent3 2 2 2 2 2" xfId="3697"/>
    <cellStyle name="40% - Accent3 2 2 2 2 2 2" xfId="3698"/>
    <cellStyle name="40% - Accent3 2 2 2 2 2 3" xfId="3699"/>
    <cellStyle name="40% - Accent3 2 2 2 2 3" xfId="3700"/>
    <cellStyle name="40% - Accent3 2 2 2 2 4" xfId="3701"/>
    <cellStyle name="40% - Accent3 2 2 2 2 5" xfId="3702"/>
    <cellStyle name="40% - Accent3 2 2 2 2 6" xfId="3703"/>
    <cellStyle name="40% - Accent3 2 2 2 3" xfId="3704"/>
    <cellStyle name="40% - Accent3 2 2 2 3 2" xfId="3705"/>
    <cellStyle name="40% - Accent3 2 2 2 3 2 2" xfId="3706"/>
    <cellStyle name="40% - Accent3 2 2 2 3 3" xfId="3707"/>
    <cellStyle name="40% - Accent3 2 2 2 3 4" xfId="3708"/>
    <cellStyle name="40% - Accent3 2 2 2 3 5" xfId="3709"/>
    <cellStyle name="40% - Accent3 2 2 2 4" xfId="3710"/>
    <cellStyle name="40% - Accent3 2 2 2 4 2" xfId="3711"/>
    <cellStyle name="40% - Accent3 2 2 2 4 3" xfId="3712"/>
    <cellStyle name="40% - Accent3 2 2 2 4 4" xfId="3713"/>
    <cellStyle name="40% - Accent3 2 2 2 5" xfId="3714"/>
    <cellStyle name="40% - Accent3 2 2 2 5 2" xfId="3715"/>
    <cellStyle name="40% - Accent3 2 2 2 6" xfId="3716"/>
    <cellStyle name="40% - Accent3 2 2 2 7" xfId="3717"/>
    <cellStyle name="40% - Accent3 2 2 2 8" xfId="3718"/>
    <cellStyle name="40% - Accent3 2 2 2 9" xfId="3719"/>
    <cellStyle name="40% - Accent3 2 2 3" xfId="3720"/>
    <cellStyle name="40% - Accent3 2 2 3 2" xfId="3721"/>
    <cellStyle name="40% - Accent3 2 2 3 2 2" xfId="3722"/>
    <cellStyle name="40% - Accent3 2 2 3 2 3" xfId="3723"/>
    <cellStyle name="40% - Accent3 2 2 3 3" xfId="3724"/>
    <cellStyle name="40% - Accent3 2 2 3 4" xfId="3725"/>
    <cellStyle name="40% - Accent3 2 2 3 5" xfId="3726"/>
    <cellStyle name="40% - Accent3 2 2 3 6" xfId="3727"/>
    <cellStyle name="40% - Accent3 2 2 4" xfId="3728"/>
    <cellStyle name="40% - Accent3 2 2 4 2" xfId="3729"/>
    <cellStyle name="40% - Accent3 2 2 4 2 2" xfId="3730"/>
    <cellStyle name="40% - Accent3 2 2 4 3" xfId="3731"/>
    <cellStyle name="40% - Accent3 2 2 4 4" xfId="3732"/>
    <cellStyle name="40% - Accent3 2 2 4 5" xfId="3733"/>
    <cellStyle name="40% - Accent3 2 2 5" xfId="3734"/>
    <cellStyle name="40% - Accent3 2 2 5 2" xfId="3735"/>
    <cellStyle name="40% - Accent3 2 2 5 3" xfId="3736"/>
    <cellStyle name="40% - Accent3 2 2 5 4" xfId="3737"/>
    <cellStyle name="40% - Accent3 2 2 6" xfId="3738"/>
    <cellStyle name="40% - Accent3 2 2 6 2" xfId="3739"/>
    <cellStyle name="40% - Accent3 2 2 7" xfId="3740"/>
    <cellStyle name="40% - Accent3 2 2 8" xfId="3741"/>
    <cellStyle name="40% - Accent3 2 2 9" xfId="3742"/>
    <cellStyle name="40% - Accent3 2 3" xfId="3743"/>
    <cellStyle name="40% - Accent3 2 3 2" xfId="3744"/>
    <cellStyle name="40% - Accent3 2 3 2 2" xfId="3745"/>
    <cellStyle name="40% - Accent3 2 3 2 2 2" xfId="3746"/>
    <cellStyle name="40% - Accent3 2 3 2 2 3" xfId="3747"/>
    <cellStyle name="40% - Accent3 2 3 2 3" xfId="3748"/>
    <cellStyle name="40% - Accent3 2 3 2 4" xfId="3749"/>
    <cellStyle name="40% - Accent3 2 3 2 5" xfId="3750"/>
    <cellStyle name="40% - Accent3 2 3 2 6" xfId="3751"/>
    <cellStyle name="40% - Accent3 2 3 3" xfId="3752"/>
    <cellStyle name="40% - Accent3 2 3 3 2" xfId="3753"/>
    <cellStyle name="40% - Accent3 2 3 3 2 2" xfId="3754"/>
    <cellStyle name="40% - Accent3 2 3 3 3" xfId="3755"/>
    <cellStyle name="40% - Accent3 2 3 3 4" xfId="3756"/>
    <cellStyle name="40% - Accent3 2 3 3 5" xfId="3757"/>
    <cellStyle name="40% - Accent3 2 3 4" xfId="3758"/>
    <cellStyle name="40% - Accent3 2 3 4 2" xfId="3759"/>
    <cellStyle name="40% - Accent3 2 3 4 3" xfId="3760"/>
    <cellStyle name="40% - Accent3 2 3 4 4" xfId="3761"/>
    <cellStyle name="40% - Accent3 2 3 5" xfId="3762"/>
    <cellStyle name="40% - Accent3 2 3 5 2" xfId="3763"/>
    <cellStyle name="40% - Accent3 2 3 6" xfId="3764"/>
    <cellStyle name="40% - Accent3 2 3 7" xfId="3765"/>
    <cellStyle name="40% - Accent3 2 3 8" xfId="3766"/>
    <cellStyle name="40% - Accent3 2 3 9" xfId="3767"/>
    <cellStyle name="40% - Accent3 2 4" xfId="3768"/>
    <cellStyle name="40% - Accent3 2 4 2" xfId="3769"/>
    <cellStyle name="40% - Accent3 2 4 2 2" xfId="3770"/>
    <cellStyle name="40% - Accent3 2 4 2 3" xfId="3771"/>
    <cellStyle name="40% - Accent3 2 4 3" xfId="3772"/>
    <cellStyle name="40% - Accent3 2 4 4" xfId="3773"/>
    <cellStyle name="40% - Accent3 2 4 5" xfId="3774"/>
    <cellStyle name="40% - Accent3 2 4 6" xfId="3775"/>
    <cellStyle name="40% - Accent3 2 5" xfId="3776"/>
    <cellStyle name="40% - Accent3 2 5 2" xfId="3777"/>
    <cellStyle name="40% - Accent3 2 5 2 2" xfId="3778"/>
    <cellStyle name="40% - Accent3 2 5 3" xfId="3779"/>
    <cellStyle name="40% - Accent3 2 5 4" xfId="3780"/>
    <cellStyle name="40% - Accent3 2 5 5" xfId="3781"/>
    <cellStyle name="40% - Accent3 2 6" xfId="3782"/>
    <cellStyle name="40% - Accent3 2 6 2" xfId="3783"/>
    <cellStyle name="40% - Accent3 2 6 2 2" xfId="3784"/>
    <cellStyle name="40% - Accent3 2 6 3" xfId="3785"/>
    <cellStyle name="40% - Accent3 2 6 4" xfId="3786"/>
    <cellStyle name="40% - Accent3 2 6 5" xfId="3787"/>
    <cellStyle name="40% - Accent3 2 7" xfId="3788"/>
    <cellStyle name="40% - Accent3 2 7 2" xfId="3789"/>
    <cellStyle name="40% - Accent3 2 8" xfId="3790"/>
    <cellStyle name="40% - Accent3 2 9" xfId="3791"/>
    <cellStyle name="40% - Accent3 3" xfId="3792"/>
    <cellStyle name="40% - Accent3 3 10" xfId="3793"/>
    <cellStyle name="40% - Accent3 3 2" xfId="3794"/>
    <cellStyle name="40% - Accent3 3 2 2" xfId="3795"/>
    <cellStyle name="40% - Accent3 3 2 2 2" xfId="3796"/>
    <cellStyle name="40% - Accent3 3 2 2 2 2" xfId="3797"/>
    <cellStyle name="40% - Accent3 3 2 2 2 3" xfId="3798"/>
    <cellStyle name="40% - Accent3 3 2 2 3" xfId="3799"/>
    <cellStyle name="40% - Accent3 3 2 2 4" xfId="3800"/>
    <cellStyle name="40% - Accent3 3 2 2 5" xfId="3801"/>
    <cellStyle name="40% - Accent3 3 2 2 6" xfId="3802"/>
    <cellStyle name="40% - Accent3 3 2 3" xfId="3803"/>
    <cellStyle name="40% - Accent3 3 2 3 2" xfId="3804"/>
    <cellStyle name="40% - Accent3 3 2 3 2 2" xfId="3805"/>
    <cellStyle name="40% - Accent3 3 2 3 3" xfId="3806"/>
    <cellStyle name="40% - Accent3 3 2 3 4" xfId="3807"/>
    <cellStyle name="40% - Accent3 3 2 3 5" xfId="3808"/>
    <cellStyle name="40% - Accent3 3 2 4" xfId="3809"/>
    <cellStyle name="40% - Accent3 3 2 4 2" xfId="3810"/>
    <cellStyle name="40% - Accent3 3 2 4 3" xfId="3811"/>
    <cellStyle name="40% - Accent3 3 2 4 4" xfId="3812"/>
    <cellStyle name="40% - Accent3 3 2 5" xfId="3813"/>
    <cellStyle name="40% - Accent3 3 2 5 2" xfId="3814"/>
    <cellStyle name="40% - Accent3 3 2 6" xfId="3815"/>
    <cellStyle name="40% - Accent3 3 2 7" xfId="3816"/>
    <cellStyle name="40% - Accent3 3 2 8" xfId="3817"/>
    <cellStyle name="40% - Accent3 3 2 9" xfId="3818"/>
    <cellStyle name="40% - Accent3 3 3" xfId="3819"/>
    <cellStyle name="40% - Accent3 3 3 2" xfId="3820"/>
    <cellStyle name="40% - Accent3 3 3 2 2" xfId="3821"/>
    <cellStyle name="40% - Accent3 3 3 2 3" xfId="3822"/>
    <cellStyle name="40% - Accent3 3 3 3" xfId="3823"/>
    <cellStyle name="40% - Accent3 3 3 4" xfId="3824"/>
    <cellStyle name="40% - Accent3 3 3 5" xfId="3825"/>
    <cellStyle name="40% - Accent3 3 3 6" xfId="3826"/>
    <cellStyle name="40% - Accent3 3 4" xfId="3827"/>
    <cellStyle name="40% - Accent3 3 4 2" xfId="3828"/>
    <cellStyle name="40% - Accent3 3 4 2 2" xfId="3829"/>
    <cellStyle name="40% - Accent3 3 4 3" xfId="3830"/>
    <cellStyle name="40% - Accent3 3 4 4" xfId="3831"/>
    <cellStyle name="40% - Accent3 3 4 5" xfId="3832"/>
    <cellStyle name="40% - Accent3 3 5" xfId="3833"/>
    <cellStyle name="40% - Accent3 3 5 2" xfId="3834"/>
    <cellStyle name="40% - Accent3 3 5 2 2" xfId="3835"/>
    <cellStyle name="40% - Accent3 3 5 3" xfId="3836"/>
    <cellStyle name="40% - Accent3 3 5 4" xfId="3837"/>
    <cellStyle name="40% - Accent3 3 5 5" xfId="3838"/>
    <cellStyle name="40% - Accent3 3 6" xfId="3839"/>
    <cellStyle name="40% - Accent3 3 6 2" xfId="3840"/>
    <cellStyle name="40% - Accent3 3 7" xfId="3841"/>
    <cellStyle name="40% - Accent3 3 8" xfId="3842"/>
    <cellStyle name="40% - Accent3 3 9" xfId="3843"/>
    <cellStyle name="40% - Accent3 4" xfId="3844"/>
    <cellStyle name="40% - Accent3 4 10" xfId="3845"/>
    <cellStyle name="40% - Accent3 4 2" xfId="3846"/>
    <cellStyle name="40% - Accent3 4 2 2" xfId="3847"/>
    <cellStyle name="40% - Accent3 4 2 2 2" xfId="3848"/>
    <cellStyle name="40% - Accent3 4 2 2 2 2" xfId="3849"/>
    <cellStyle name="40% - Accent3 4 2 2 2 3" xfId="3850"/>
    <cellStyle name="40% - Accent3 4 2 2 3" xfId="3851"/>
    <cellStyle name="40% - Accent3 4 2 2 4" xfId="3852"/>
    <cellStyle name="40% - Accent3 4 2 2 5" xfId="3853"/>
    <cellStyle name="40% - Accent3 4 2 2 6" xfId="3854"/>
    <cellStyle name="40% - Accent3 4 2 3" xfId="3855"/>
    <cellStyle name="40% - Accent3 4 2 3 2" xfId="3856"/>
    <cellStyle name="40% - Accent3 4 2 3 2 2" xfId="3857"/>
    <cellStyle name="40% - Accent3 4 2 3 3" xfId="3858"/>
    <cellStyle name="40% - Accent3 4 2 3 4" xfId="3859"/>
    <cellStyle name="40% - Accent3 4 2 3 5" xfId="3860"/>
    <cellStyle name="40% - Accent3 4 2 4" xfId="3861"/>
    <cellStyle name="40% - Accent3 4 2 4 2" xfId="3862"/>
    <cellStyle name="40% - Accent3 4 2 4 3" xfId="3863"/>
    <cellStyle name="40% - Accent3 4 2 4 4" xfId="3864"/>
    <cellStyle name="40% - Accent3 4 2 5" xfId="3865"/>
    <cellStyle name="40% - Accent3 4 2 5 2" xfId="3866"/>
    <cellStyle name="40% - Accent3 4 2 6" xfId="3867"/>
    <cellStyle name="40% - Accent3 4 2 7" xfId="3868"/>
    <cellStyle name="40% - Accent3 4 2 8" xfId="3869"/>
    <cellStyle name="40% - Accent3 4 2 9" xfId="3870"/>
    <cellStyle name="40% - Accent3 4 3" xfId="3871"/>
    <cellStyle name="40% - Accent3 4 3 2" xfId="3872"/>
    <cellStyle name="40% - Accent3 4 3 2 2" xfId="3873"/>
    <cellStyle name="40% - Accent3 4 3 2 3" xfId="3874"/>
    <cellStyle name="40% - Accent3 4 3 3" xfId="3875"/>
    <cellStyle name="40% - Accent3 4 3 4" xfId="3876"/>
    <cellStyle name="40% - Accent3 4 3 5" xfId="3877"/>
    <cellStyle name="40% - Accent3 4 3 6" xfId="3878"/>
    <cellStyle name="40% - Accent3 4 4" xfId="3879"/>
    <cellStyle name="40% - Accent3 4 4 2" xfId="3880"/>
    <cellStyle name="40% - Accent3 4 4 2 2" xfId="3881"/>
    <cellStyle name="40% - Accent3 4 4 3" xfId="3882"/>
    <cellStyle name="40% - Accent3 4 4 4" xfId="3883"/>
    <cellStyle name="40% - Accent3 4 4 5" xfId="3884"/>
    <cellStyle name="40% - Accent3 4 5" xfId="3885"/>
    <cellStyle name="40% - Accent3 4 5 2" xfId="3886"/>
    <cellStyle name="40% - Accent3 4 5 2 2" xfId="3887"/>
    <cellStyle name="40% - Accent3 4 5 3" xfId="3888"/>
    <cellStyle name="40% - Accent3 4 5 4" xfId="3889"/>
    <cellStyle name="40% - Accent3 4 5 5" xfId="3890"/>
    <cellStyle name="40% - Accent3 4 6" xfId="3891"/>
    <cellStyle name="40% - Accent3 4 6 2" xfId="3892"/>
    <cellStyle name="40% - Accent3 4 7" xfId="3893"/>
    <cellStyle name="40% - Accent3 4 8" xfId="3894"/>
    <cellStyle name="40% - Accent3 4 9" xfId="3895"/>
    <cellStyle name="40% - Accent3 5" xfId="3896"/>
    <cellStyle name="40% - Accent3 5 10" xfId="3897"/>
    <cellStyle name="40% - Accent3 5 2" xfId="3898"/>
    <cellStyle name="40% - Accent3 5 2 2" xfId="3899"/>
    <cellStyle name="40% - Accent3 5 2 2 2" xfId="3900"/>
    <cellStyle name="40% - Accent3 5 2 2 2 2" xfId="3901"/>
    <cellStyle name="40% - Accent3 5 2 2 2 3" xfId="3902"/>
    <cellStyle name="40% - Accent3 5 2 2 3" xfId="3903"/>
    <cellStyle name="40% - Accent3 5 2 2 4" xfId="3904"/>
    <cellStyle name="40% - Accent3 5 2 2 5" xfId="3905"/>
    <cellStyle name="40% - Accent3 5 2 2 6" xfId="3906"/>
    <cellStyle name="40% - Accent3 5 2 3" xfId="3907"/>
    <cellStyle name="40% - Accent3 5 2 3 2" xfId="3908"/>
    <cellStyle name="40% - Accent3 5 2 3 2 2" xfId="3909"/>
    <cellStyle name="40% - Accent3 5 2 3 3" xfId="3910"/>
    <cellStyle name="40% - Accent3 5 2 3 4" xfId="3911"/>
    <cellStyle name="40% - Accent3 5 2 3 5" xfId="3912"/>
    <cellStyle name="40% - Accent3 5 2 4" xfId="3913"/>
    <cellStyle name="40% - Accent3 5 2 4 2" xfId="3914"/>
    <cellStyle name="40% - Accent3 5 2 4 3" xfId="3915"/>
    <cellStyle name="40% - Accent3 5 2 4 4" xfId="3916"/>
    <cellStyle name="40% - Accent3 5 2 5" xfId="3917"/>
    <cellStyle name="40% - Accent3 5 2 5 2" xfId="3918"/>
    <cellStyle name="40% - Accent3 5 2 6" xfId="3919"/>
    <cellStyle name="40% - Accent3 5 2 7" xfId="3920"/>
    <cellStyle name="40% - Accent3 5 2 8" xfId="3921"/>
    <cellStyle name="40% - Accent3 5 2 9" xfId="3922"/>
    <cellStyle name="40% - Accent3 5 3" xfId="3923"/>
    <cellStyle name="40% - Accent3 5 3 2" xfId="3924"/>
    <cellStyle name="40% - Accent3 5 3 2 2" xfId="3925"/>
    <cellStyle name="40% - Accent3 5 3 2 3" xfId="3926"/>
    <cellStyle name="40% - Accent3 5 3 3" xfId="3927"/>
    <cellStyle name="40% - Accent3 5 3 4" xfId="3928"/>
    <cellStyle name="40% - Accent3 5 3 5" xfId="3929"/>
    <cellStyle name="40% - Accent3 5 3 6" xfId="3930"/>
    <cellStyle name="40% - Accent3 5 4" xfId="3931"/>
    <cellStyle name="40% - Accent3 5 4 2" xfId="3932"/>
    <cellStyle name="40% - Accent3 5 4 2 2" xfId="3933"/>
    <cellStyle name="40% - Accent3 5 4 3" xfId="3934"/>
    <cellStyle name="40% - Accent3 5 4 4" xfId="3935"/>
    <cellStyle name="40% - Accent3 5 4 5" xfId="3936"/>
    <cellStyle name="40% - Accent3 5 5" xfId="3937"/>
    <cellStyle name="40% - Accent3 5 5 2" xfId="3938"/>
    <cellStyle name="40% - Accent3 5 5 3" xfId="3939"/>
    <cellStyle name="40% - Accent3 5 5 4" xfId="3940"/>
    <cellStyle name="40% - Accent3 5 6" xfId="3941"/>
    <cellStyle name="40% - Accent3 5 6 2" xfId="3942"/>
    <cellStyle name="40% - Accent3 5 7" xfId="3943"/>
    <cellStyle name="40% - Accent3 5 8" xfId="3944"/>
    <cellStyle name="40% - Accent3 5 9" xfId="3945"/>
    <cellStyle name="40% - Accent3 6" xfId="3946"/>
    <cellStyle name="40% - Accent3 6 10" xfId="3947"/>
    <cellStyle name="40% - Accent3 6 2" xfId="3948"/>
    <cellStyle name="40% - Accent3 6 2 2" xfId="3949"/>
    <cellStyle name="40% - Accent3 6 2 2 2" xfId="3950"/>
    <cellStyle name="40% - Accent3 6 2 2 2 2" xfId="3951"/>
    <cellStyle name="40% - Accent3 6 2 2 2 3" xfId="3952"/>
    <cellStyle name="40% - Accent3 6 2 2 3" xfId="3953"/>
    <cellStyle name="40% - Accent3 6 2 2 4" xfId="3954"/>
    <cellStyle name="40% - Accent3 6 2 2 5" xfId="3955"/>
    <cellStyle name="40% - Accent3 6 2 2 6" xfId="3956"/>
    <cellStyle name="40% - Accent3 6 2 3" xfId="3957"/>
    <cellStyle name="40% - Accent3 6 2 3 2" xfId="3958"/>
    <cellStyle name="40% - Accent3 6 2 3 2 2" xfId="3959"/>
    <cellStyle name="40% - Accent3 6 2 3 3" xfId="3960"/>
    <cellStyle name="40% - Accent3 6 2 3 4" xfId="3961"/>
    <cellStyle name="40% - Accent3 6 2 3 5" xfId="3962"/>
    <cellStyle name="40% - Accent3 6 2 4" xfId="3963"/>
    <cellStyle name="40% - Accent3 6 2 4 2" xfId="3964"/>
    <cellStyle name="40% - Accent3 6 2 4 3" xfId="3965"/>
    <cellStyle name="40% - Accent3 6 2 4 4" xfId="3966"/>
    <cellStyle name="40% - Accent3 6 2 5" xfId="3967"/>
    <cellStyle name="40% - Accent3 6 2 5 2" xfId="3968"/>
    <cellStyle name="40% - Accent3 6 2 6" xfId="3969"/>
    <cellStyle name="40% - Accent3 6 2 7" xfId="3970"/>
    <cellStyle name="40% - Accent3 6 2 8" xfId="3971"/>
    <cellStyle name="40% - Accent3 6 2 9" xfId="3972"/>
    <cellStyle name="40% - Accent3 6 3" xfId="3973"/>
    <cellStyle name="40% - Accent3 6 3 2" xfId="3974"/>
    <cellStyle name="40% - Accent3 6 3 2 2" xfId="3975"/>
    <cellStyle name="40% - Accent3 6 3 2 3" xfId="3976"/>
    <cellStyle name="40% - Accent3 6 3 3" xfId="3977"/>
    <cellStyle name="40% - Accent3 6 3 4" xfId="3978"/>
    <cellStyle name="40% - Accent3 6 3 5" xfId="3979"/>
    <cellStyle name="40% - Accent3 6 3 6" xfId="3980"/>
    <cellStyle name="40% - Accent3 6 4" xfId="3981"/>
    <cellStyle name="40% - Accent3 6 4 2" xfId="3982"/>
    <cellStyle name="40% - Accent3 6 4 2 2" xfId="3983"/>
    <cellStyle name="40% - Accent3 6 4 3" xfId="3984"/>
    <cellStyle name="40% - Accent3 6 4 4" xfId="3985"/>
    <cellStyle name="40% - Accent3 6 4 5" xfId="3986"/>
    <cellStyle name="40% - Accent3 6 5" xfId="3987"/>
    <cellStyle name="40% - Accent3 6 5 2" xfId="3988"/>
    <cellStyle name="40% - Accent3 6 5 3" xfId="3989"/>
    <cellStyle name="40% - Accent3 6 5 4" xfId="3990"/>
    <cellStyle name="40% - Accent3 6 6" xfId="3991"/>
    <cellStyle name="40% - Accent3 6 6 2" xfId="3992"/>
    <cellStyle name="40% - Accent3 6 7" xfId="3993"/>
    <cellStyle name="40% - Accent3 6 8" xfId="3994"/>
    <cellStyle name="40% - Accent3 6 9" xfId="3995"/>
    <cellStyle name="40% - Accent3 7" xfId="3996"/>
    <cellStyle name="40% - Accent3 7 2" xfId="3997"/>
    <cellStyle name="40% - Accent3 7 2 2" xfId="3998"/>
    <cellStyle name="40% - Accent3 7 2 2 2" xfId="3999"/>
    <cellStyle name="40% - Accent3 7 2 2 3" xfId="4000"/>
    <cellStyle name="40% - Accent3 7 2 3" xfId="4001"/>
    <cellStyle name="40% - Accent3 7 2 4" xfId="4002"/>
    <cellStyle name="40% - Accent3 7 2 5" xfId="4003"/>
    <cellStyle name="40% - Accent3 7 2 6" xfId="4004"/>
    <cellStyle name="40% - Accent3 7 3" xfId="4005"/>
    <cellStyle name="40% - Accent3 7 3 2" xfId="4006"/>
    <cellStyle name="40% - Accent3 7 3 2 2" xfId="4007"/>
    <cellStyle name="40% - Accent3 7 3 3" xfId="4008"/>
    <cellStyle name="40% - Accent3 7 3 4" xfId="4009"/>
    <cellStyle name="40% - Accent3 7 3 5" xfId="4010"/>
    <cellStyle name="40% - Accent3 7 4" xfId="4011"/>
    <cellStyle name="40% - Accent3 7 4 2" xfId="4012"/>
    <cellStyle name="40% - Accent3 7 4 3" xfId="4013"/>
    <cellStyle name="40% - Accent3 7 4 4" xfId="4014"/>
    <cellStyle name="40% - Accent3 7 5" xfId="4015"/>
    <cellStyle name="40% - Accent3 7 5 2" xfId="4016"/>
    <cellStyle name="40% - Accent3 7 6" xfId="4017"/>
    <cellStyle name="40% - Accent3 7 7" xfId="4018"/>
    <cellStyle name="40% - Accent3 7 8" xfId="4019"/>
    <cellStyle name="40% - Accent3 7 9" xfId="4020"/>
    <cellStyle name="40% - Accent3 8" xfId="4021"/>
    <cellStyle name="40% - Accent3 8 2" xfId="4022"/>
    <cellStyle name="40% - Accent3 8 2 2" xfId="4023"/>
    <cellStyle name="40% - Accent3 8 2 2 2" xfId="4024"/>
    <cellStyle name="40% - Accent3 8 2 2 3" xfId="4025"/>
    <cellStyle name="40% - Accent3 8 2 3" xfId="4026"/>
    <cellStyle name="40% - Accent3 8 2 4" xfId="4027"/>
    <cellStyle name="40% - Accent3 8 2 5" xfId="4028"/>
    <cellStyle name="40% - Accent3 8 2 6" xfId="4029"/>
    <cellStyle name="40% - Accent3 8 3" xfId="4030"/>
    <cellStyle name="40% - Accent3 8 3 2" xfId="4031"/>
    <cellStyle name="40% - Accent3 8 3 2 2" xfId="4032"/>
    <cellStyle name="40% - Accent3 8 3 3" xfId="4033"/>
    <cellStyle name="40% - Accent3 8 3 4" xfId="4034"/>
    <cellStyle name="40% - Accent3 8 3 5" xfId="4035"/>
    <cellStyle name="40% - Accent3 8 4" xfId="4036"/>
    <cellStyle name="40% - Accent3 8 4 2" xfId="4037"/>
    <cellStyle name="40% - Accent3 8 4 3" xfId="4038"/>
    <cellStyle name="40% - Accent3 8 4 4" xfId="4039"/>
    <cellStyle name="40% - Accent3 8 5" xfId="4040"/>
    <cellStyle name="40% - Accent3 8 5 2" xfId="4041"/>
    <cellStyle name="40% - Accent3 8 6" xfId="4042"/>
    <cellStyle name="40% - Accent3 8 7" xfId="4043"/>
    <cellStyle name="40% - Accent3 8 8" xfId="4044"/>
    <cellStyle name="40% - Accent3 8 9" xfId="4045"/>
    <cellStyle name="40% - Accent3 9" xfId="4046"/>
    <cellStyle name="40% - Accent3 9 2" xfId="4047"/>
    <cellStyle name="40% - Accent3 9 2 2" xfId="4048"/>
    <cellStyle name="40% - Accent3 9 2 2 2" xfId="4049"/>
    <cellStyle name="40% - Accent3 9 2 3" xfId="4050"/>
    <cellStyle name="40% - Accent3 9 2 4" xfId="4051"/>
    <cellStyle name="40% - Accent3 9 2 5" xfId="4052"/>
    <cellStyle name="40% - Accent3 9 3" xfId="4053"/>
    <cellStyle name="40% - Accent3 9 3 2" xfId="4054"/>
    <cellStyle name="40% - Accent3 9 3 3" xfId="4055"/>
    <cellStyle name="40% - Accent3 9 3 4" xfId="4056"/>
    <cellStyle name="40% - Accent3 9 4" xfId="4057"/>
    <cellStyle name="40% - Accent3 9 4 2" xfId="4058"/>
    <cellStyle name="40% - Accent3 9 5" xfId="4059"/>
    <cellStyle name="40% - Accent3 9 6" xfId="4060"/>
    <cellStyle name="40% - Accent3 9 7" xfId="4061"/>
    <cellStyle name="40% - Accent3 9 8" xfId="4062"/>
    <cellStyle name="40% - Accent4 10" xfId="4063"/>
    <cellStyle name="40% - Accent4 10 2" xfId="4064"/>
    <cellStyle name="40% - Accent4 10 2 2" xfId="4065"/>
    <cellStyle name="40% - Accent4 10 2 2 2" xfId="4066"/>
    <cellStyle name="40% - Accent4 10 2 3" xfId="4067"/>
    <cellStyle name="40% - Accent4 10 2 4" xfId="4068"/>
    <cellStyle name="40% - Accent4 10 2 5" xfId="4069"/>
    <cellStyle name="40% - Accent4 10 3" xfId="4070"/>
    <cellStyle name="40% - Accent4 10 3 2" xfId="4071"/>
    <cellStyle name="40% - Accent4 10 3 3" xfId="4072"/>
    <cellStyle name="40% - Accent4 10 3 4" xfId="4073"/>
    <cellStyle name="40% - Accent4 10 4" xfId="4074"/>
    <cellStyle name="40% - Accent4 10 4 2" xfId="4075"/>
    <cellStyle name="40% - Accent4 10 5" xfId="4076"/>
    <cellStyle name="40% - Accent4 10 6" xfId="4077"/>
    <cellStyle name="40% - Accent4 10 7" xfId="4078"/>
    <cellStyle name="40% - Accent4 10 8" xfId="4079"/>
    <cellStyle name="40% - Accent4 11" xfId="4080"/>
    <cellStyle name="40% - Accent4 11 2" xfId="4081"/>
    <cellStyle name="40% - Accent4 11 2 2" xfId="4082"/>
    <cellStyle name="40% - Accent4 11 2 2 2" xfId="4083"/>
    <cellStyle name="40% - Accent4 11 2 3" xfId="4084"/>
    <cellStyle name="40% - Accent4 11 2 4" xfId="4085"/>
    <cellStyle name="40% - Accent4 11 2 5" xfId="4086"/>
    <cellStyle name="40% - Accent4 11 3" xfId="4087"/>
    <cellStyle name="40% - Accent4 11 3 2" xfId="4088"/>
    <cellStyle name="40% - Accent4 11 3 3" xfId="4089"/>
    <cellStyle name="40% - Accent4 11 3 4" xfId="4090"/>
    <cellStyle name="40% - Accent4 11 4" xfId="4091"/>
    <cellStyle name="40% - Accent4 11 4 2" xfId="4092"/>
    <cellStyle name="40% - Accent4 11 5" xfId="4093"/>
    <cellStyle name="40% - Accent4 11 6" xfId="4094"/>
    <cellStyle name="40% - Accent4 11 7" xfId="4095"/>
    <cellStyle name="40% - Accent4 11 8" xfId="4096"/>
    <cellStyle name="40% - Accent4 12" xfId="4097"/>
    <cellStyle name="40% - Accent4 12 2" xfId="4098"/>
    <cellStyle name="40% - Accent4 12 2 2" xfId="4099"/>
    <cellStyle name="40% - Accent4 12 2 2 2" xfId="4100"/>
    <cellStyle name="40% - Accent4 12 2 3" xfId="4101"/>
    <cellStyle name="40% - Accent4 12 2 4" xfId="4102"/>
    <cellStyle name="40% - Accent4 12 2 5" xfId="4103"/>
    <cellStyle name="40% - Accent4 12 3" xfId="4104"/>
    <cellStyle name="40% - Accent4 12 3 2" xfId="4105"/>
    <cellStyle name="40% - Accent4 12 3 3" xfId="4106"/>
    <cellStyle name="40% - Accent4 12 3 4" xfId="4107"/>
    <cellStyle name="40% - Accent4 12 4" xfId="4108"/>
    <cellStyle name="40% - Accent4 12 4 2" xfId="4109"/>
    <cellStyle name="40% - Accent4 12 5" xfId="4110"/>
    <cellStyle name="40% - Accent4 12 6" xfId="4111"/>
    <cellStyle name="40% - Accent4 12 7" xfId="4112"/>
    <cellStyle name="40% - Accent4 12 8" xfId="4113"/>
    <cellStyle name="40% - Accent4 13" xfId="4114"/>
    <cellStyle name="40% - Accent4 13 2" xfId="4115"/>
    <cellStyle name="40% - Accent4 13 2 2" xfId="4116"/>
    <cellStyle name="40% - Accent4 13 2 3" xfId="4117"/>
    <cellStyle name="40% - Accent4 13 2 4" xfId="4118"/>
    <cellStyle name="40% - Accent4 13 3" xfId="4119"/>
    <cellStyle name="40% - Accent4 13 3 2" xfId="4120"/>
    <cellStyle name="40% - Accent4 13 4" xfId="4121"/>
    <cellStyle name="40% - Accent4 13 5" xfId="4122"/>
    <cellStyle name="40% - Accent4 13 6" xfId="4123"/>
    <cellStyle name="40% - Accent4 14" xfId="4124"/>
    <cellStyle name="40% - Accent4 14 2" xfId="4125"/>
    <cellStyle name="40% - Accent4 14 2 2" xfId="4126"/>
    <cellStyle name="40% - Accent4 14 3" xfId="4127"/>
    <cellStyle name="40% - Accent4 14 4" xfId="4128"/>
    <cellStyle name="40% - Accent4 14 5" xfId="4129"/>
    <cellStyle name="40% - Accent4 15" xfId="4130"/>
    <cellStyle name="40% - Accent4 15 2" xfId="4131"/>
    <cellStyle name="40% - Accent4 15 2 2" xfId="4132"/>
    <cellStyle name="40% - Accent4 15 3" xfId="4133"/>
    <cellStyle name="40% - Accent4 15 4" xfId="4134"/>
    <cellStyle name="40% - Accent4 15 5" xfId="4135"/>
    <cellStyle name="40% - Accent4 16" xfId="4136"/>
    <cellStyle name="40% - Accent4 16 2" xfId="4137"/>
    <cellStyle name="40% - Accent4 17" xfId="4138"/>
    <cellStyle name="40% - Accent4 18" xfId="4139"/>
    <cellStyle name="40% - Accent4 19" xfId="4140"/>
    <cellStyle name="40% - Accent4 2" xfId="4141"/>
    <cellStyle name="40% - Accent4 2 10" xfId="4142"/>
    <cellStyle name="40% - Accent4 2 11" xfId="4143"/>
    <cellStyle name="40% - Accent4 2 2" xfId="4144"/>
    <cellStyle name="40% - Accent4 2 2 10" xfId="4145"/>
    <cellStyle name="40% - Accent4 2 2 2" xfId="4146"/>
    <cellStyle name="40% - Accent4 2 2 2 2" xfId="4147"/>
    <cellStyle name="40% - Accent4 2 2 2 2 2" xfId="4148"/>
    <cellStyle name="40% - Accent4 2 2 2 2 2 2" xfId="4149"/>
    <cellStyle name="40% - Accent4 2 2 2 2 2 3" xfId="4150"/>
    <cellStyle name="40% - Accent4 2 2 2 2 3" xfId="4151"/>
    <cellStyle name="40% - Accent4 2 2 2 2 4" xfId="4152"/>
    <cellStyle name="40% - Accent4 2 2 2 2 5" xfId="4153"/>
    <cellStyle name="40% - Accent4 2 2 2 2 6" xfId="4154"/>
    <cellStyle name="40% - Accent4 2 2 2 3" xfId="4155"/>
    <cellStyle name="40% - Accent4 2 2 2 3 2" xfId="4156"/>
    <cellStyle name="40% - Accent4 2 2 2 3 2 2" xfId="4157"/>
    <cellStyle name="40% - Accent4 2 2 2 3 3" xfId="4158"/>
    <cellStyle name="40% - Accent4 2 2 2 3 4" xfId="4159"/>
    <cellStyle name="40% - Accent4 2 2 2 3 5" xfId="4160"/>
    <cellStyle name="40% - Accent4 2 2 2 4" xfId="4161"/>
    <cellStyle name="40% - Accent4 2 2 2 4 2" xfId="4162"/>
    <cellStyle name="40% - Accent4 2 2 2 4 3" xfId="4163"/>
    <cellStyle name="40% - Accent4 2 2 2 4 4" xfId="4164"/>
    <cellStyle name="40% - Accent4 2 2 2 5" xfId="4165"/>
    <cellStyle name="40% - Accent4 2 2 2 5 2" xfId="4166"/>
    <cellStyle name="40% - Accent4 2 2 2 6" xfId="4167"/>
    <cellStyle name="40% - Accent4 2 2 2 7" xfId="4168"/>
    <cellStyle name="40% - Accent4 2 2 2 8" xfId="4169"/>
    <cellStyle name="40% - Accent4 2 2 2 9" xfId="4170"/>
    <cellStyle name="40% - Accent4 2 2 3" xfId="4171"/>
    <cellStyle name="40% - Accent4 2 2 3 2" xfId="4172"/>
    <cellStyle name="40% - Accent4 2 2 3 2 2" xfId="4173"/>
    <cellStyle name="40% - Accent4 2 2 3 2 3" xfId="4174"/>
    <cellStyle name="40% - Accent4 2 2 3 3" xfId="4175"/>
    <cellStyle name="40% - Accent4 2 2 3 4" xfId="4176"/>
    <cellStyle name="40% - Accent4 2 2 3 5" xfId="4177"/>
    <cellStyle name="40% - Accent4 2 2 3 6" xfId="4178"/>
    <cellStyle name="40% - Accent4 2 2 4" xfId="4179"/>
    <cellStyle name="40% - Accent4 2 2 4 2" xfId="4180"/>
    <cellStyle name="40% - Accent4 2 2 4 2 2" xfId="4181"/>
    <cellStyle name="40% - Accent4 2 2 4 3" xfId="4182"/>
    <cellStyle name="40% - Accent4 2 2 4 4" xfId="4183"/>
    <cellStyle name="40% - Accent4 2 2 4 5" xfId="4184"/>
    <cellStyle name="40% - Accent4 2 2 5" xfId="4185"/>
    <cellStyle name="40% - Accent4 2 2 5 2" xfId="4186"/>
    <cellStyle name="40% - Accent4 2 2 5 3" xfId="4187"/>
    <cellStyle name="40% - Accent4 2 2 5 4" xfId="4188"/>
    <cellStyle name="40% - Accent4 2 2 6" xfId="4189"/>
    <cellStyle name="40% - Accent4 2 2 6 2" xfId="4190"/>
    <cellStyle name="40% - Accent4 2 2 7" xfId="4191"/>
    <cellStyle name="40% - Accent4 2 2 8" xfId="4192"/>
    <cellStyle name="40% - Accent4 2 2 9" xfId="4193"/>
    <cellStyle name="40% - Accent4 2 3" xfId="4194"/>
    <cellStyle name="40% - Accent4 2 3 2" xfId="4195"/>
    <cellStyle name="40% - Accent4 2 3 2 2" xfId="4196"/>
    <cellStyle name="40% - Accent4 2 3 2 2 2" xfId="4197"/>
    <cellStyle name="40% - Accent4 2 3 2 2 3" xfId="4198"/>
    <cellStyle name="40% - Accent4 2 3 2 3" xfId="4199"/>
    <cellStyle name="40% - Accent4 2 3 2 4" xfId="4200"/>
    <cellStyle name="40% - Accent4 2 3 2 5" xfId="4201"/>
    <cellStyle name="40% - Accent4 2 3 2 6" xfId="4202"/>
    <cellStyle name="40% - Accent4 2 3 3" xfId="4203"/>
    <cellStyle name="40% - Accent4 2 3 3 2" xfId="4204"/>
    <cellStyle name="40% - Accent4 2 3 3 2 2" xfId="4205"/>
    <cellStyle name="40% - Accent4 2 3 3 3" xfId="4206"/>
    <cellStyle name="40% - Accent4 2 3 3 4" xfId="4207"/>
    <cellStyle name="40% - Accent4 2 3 3 5" xfId="4208"/>
    <cellStyle name="40% - Accent4 2 3 4" xfId="4209"/>
    <cellStyle name="40% - Accent4 2 3 4 2" xfId="4210"/>
    <cellStyle name="40% - Accent4 2 3 4 3" xfId="4211"/>
    <cellStyle name="40% - Accent4 2 3 4 4" xfId="4212"/>
    <cellStyle name="40% - Accent4 2 3 5" xfId="4213"/>
    <cellStyle name="40% - Accent4 2 3 5 2" xfId="4214"/>
    <cellStyle name="40% - Accent4 2 3 6" xfId="4215"/>
    <cellStyle name="40% - Accent4 2 3 7" xfId="4216"/>
    <cellStyle name="40% - Accent4 2 3 8" xfId="4217"/>
    <cellStyle name="40% - Accent4 2 3 9" xfId="4218"/>
    <cellStyle name="40% - Accent4 2 4" xfId="4219"/>
    <cellStyle name="40% - Accent4 2 4 2" xfId="4220"/>
    <cellStyle name="40% - Accent4 2 4 2 2" xfId="4221"/>
    <cellStyle name="40% - Accent4 2 4 2 3" xfId="4222"/>
    <cellStyle name="40% - Accent4 2 4 3" xfId="4223"/>
    <cellStyle name="40% - Accent4 2 4 4" xfId="4224"/>
    <cellStyle name="40% - Accent4 2 4 5" xfId="4225"/>
    <cellStyle name="40% - Accent4 2 4 6" xfId="4226"/>
    <cellStyle name="40% - Accent4 2 5" xfId="4227"/>
    <cellStyle name="40% - Accent4 2 5 2" xfId="4228"/>
    <cellStyle name="40% - Accent4 2 5 2 2" xfId="4229"/>
    <cellStyle name="40% - Accent4 2 5 3" xfId="4230"/>
    <cellStyle name="40% - Accent4 2 5 4" xfId="4231"/>
    <cellStyle name="40% - Accent4 2 5 5" xfId="4232"/>
    <cellStyle name="40% - Accent4 2 6" xfId="4233"/>
    <cellStyle name="40% - Accent4 2 6 2" xfId="4234"/>
    <cellStyle name="40% - Accent4 2 6 2 2" xfId="4235"/>
    <cellStyle name="40% - Accent4 2 6 3" xfId="4236"/>
    <cellStyle name="40% - Accent4 2 6 4" xfId="4237"/>
    <cellStyle name="40% - Accent4 2 6 5" xfId="4238"/>
    <cellStyle name="40% - Accent4 2 7" xfId="4239"/>
    <cellStyle name="40% - Accent4 2 7 2" xfId="4240"/>
    <cellStyle name="40% - Accent4 2 8" xfId="4241"/>
    <cellStyle name="40% - Accent4 2 9" xfId="4242"/>
    <cellStyle name="40% - Accent4 3" xfId="4243"/>
    <cellStyle name="40% - Accent4 3 10" xfId="4244"/>
    <cellStyle name="40% - Accent4 3 2" xfId="4245"/>
    <cellStyle name="40% - Accent4 3 2 2" xfId="4246"/>
    <cellStyle name="40% - Accent4 3 2 2 2" xfId="4247"/>
    <cellStyle name="40% - Accent4 3 2 2 2 2" xfId="4248"/>
    <cellStyle name="40% - Accent4 3 2 2 2 3" xfId="4249"/>
    <cellStyle name="40% - Accent4 3 2 2 3" xfId="4250"/>
    <cellStyle name="40% - Accent4 3 2 2 4" xfId="4251"/>
    <cellStyle name="40% - Accent4 3 2 2 5" xfId="4252"/>
    <cellStyle name="40% - Accent4 3 2 2 6" xfId="4253"/>
    <cellStyle name="40% - Accent4 3 2 3" xfId="4254"/>
    <cellStyle name="40% - Accent4 3 2 3 2" xfId="4255"/>
    <cellStyle name="40% - Accent4 3 2 3 2 2" xfId="4256"/>
    <cellStyle name="40% - Accent4 3 2 3 3" xfId="4257"/>
    <cellStyle name="40% - Accent4 3 2 3 4" xfId="4258"/>
    <cellStyle name="40% - Accent4 3 2 3 5" xfId="4259"/>
    <cellStyle name="40% - Accent4 3 2 4" xfId="4260"/>
    <cellStyle name="40% - Accent4 3 2 4 2" xfId="4261"/>
    <cellStyle name="40% - Accent4 3 2 4 3" xfId="4262"/>
    <cellStyle name="40% - Accent4 3 2 4 4" xfId="4263"/>
    <cellStyle name="40% - Accent4 3 2 5" xfId="4264"/>
    <cellStyle name="40% - Accent4 3 2 5 2" xfId="4265"/>
    <cellStyle name="40% - Accent4 3 2 6" xfId="4266"/>
    <cellStyle name="40% - Accent4 3 2 7" xfId="4267"/>
    <cellStyle name="40% - Accent4 3 2 8" xfId="4268"/>
    <cellStyle name="40% - Accent4 3 2 9" xfId="4269"/>
    <cellStyle name="40% - Accent4 3 3" xfId="4270"/>
    <cellStyle name="40% - Accent4 3 3 2" xfId="4271"/>
    <cellStyle name="40% - Accent4 3 3 2 2" xfId="4272"/>
    <cellStyle name="40% - Accent4 3 3 2 3" xfId="4273"/>
    <cellStyle name="40% - Accent4 3 3 3" xfId="4274"/>
    <cellStyle name="40% - Accent4 3 3 4" xfId="4275"/>
    <cellStyle name="40% - Accent4 3 3 5" xfId="4276"/>
    <cellStyle name="40% - Accent4 3 3 6" xfId="4277"/>
    <cellStyle name="40% - Accent4 3 4" xfId="4278"/>
    <cellStyle name="40% - Accent4 3 4 2" xfId="4279"/>
    <cellStyle name="40% - Accent4 3 4 2 2" xfId="4280"/>
    <cellStyle name="40% - Accent4 3 4 3" xfId="4281"/>
    <cellStyle name="40% - Accent4 3 4 4" xfId="4282"/>
    <cellStyle name="40% - Accent4 3 4 5" xfId="4283"/>
    <cellStyle name="40% - Accent4 3 5" xfId="4284"/>
    <cellStyle name="40% - Accent4 3 5 2" xfId="4285"/>
    <cellStyle name="40% - Accent4 3 5 2 2" xfId="4286"/>
    <cellStyle name="40% - Accent4 3 5 3" xfId="4287"/>
    <cellStyle name="40% - Accent4 3 5 4" xfId="4288"/>
    <cellStyle name="40% - Accent4 3 5 5" xfId="4289"/>
    <cellStyle name="40% - Accent4 3 6" xfId="4290"/>
    <cellStyle name="40% - Accent4 3 6 2" xfId="4291"/>
    <cellStyle name="40% - Accent4 3 7" xfId="4292"/>
    <cellStyle name="40% - Accent4 3 8" xfId="4293"/>
    <cellStyle name="40% - Accent4 3 9" xfId="4294"/>
    <cellStyle name="40% - Accent4 4" xfId="4295"/>
    <cellStyle name="40% - Accent4 4 10" xfId="4296"/>
    <cellStyle name="40% - Accent4 4 2" xfId="4297"/>
    <cellStyle name="40% - Accent4 4 2 2" xfId="4298"/>
    <cellStyle name="40% - Accent4 4 2 2 2" xfId="4299"/>
    <cellStyle name="40% - Accent4 4 2 2 2 2" xfId="4300"/>
    <cellStyle name="40% - Accent4 4 2 2 2 3" xfId="4301"/>
    <cellStyle name="40% - Accent4 4 2 2 3" xfId="4302"/>
    <cellStyle name="40% - Accent4 4 2 2 4" xfId="4303"/>
    <cellStyle name="40% - Accent4 4 2 2 5" xfId="4304"/>
    <cellStyle name="40% - Accent4 4 2 2 6" xfId="4305"/>
    <cellStyle name="40% - Accent4 4 2 3" xfId="4306"/>
    <cellStyle name="40% - Accent4 4 2 3 2" xfId="4307"/>
    <cellStyle name="40% - Accent4 4 2 3 2 2" xfId="4308"/>
    <cellStyle name="40% - Accent4 4 2 3 3" xfId="4309"/>
    <cellStyle name="40% - Accent4 4 2 3 4" xfId="4310"/>
    <cellStyle name="40% - Accent4 4 2 3 5" xfId="4311"/>
    <cellStyle name="40% - Accent4 4 2 4" xfId="4312"/>
    <cellStyle name="40% - Accent4 4 2 4 2" xfId="4313"/>
    <cellStyle name="40% - Accent4 4 2 4 3" xfId="4314"/>
    <cellStyle name="40% - Accent4 4 2 4 4" xfId="4315"/>
    <cellStyle name="40% - Accent4 4 2 5" xfId="4316"/>
    <cellStyle name="40% - Accent4 4 2 5 2" xfId="4317"/>
    <cellStyle name="40% - Accent4 4 2 6" xfId="4318"/>
    <cellStyle name="40% - Accent4 4 2 7" xfId="4319"/>
    <cellStyle name="40% - Accent4 4 2 8" xfId="4320"/>
    <cellStyle name="40% - Accent4 4 2 9" xfId="4321"/>
    <cellStyle name="40% - Accent4 4 3" xfId="4322"/>
    <cellStyle name="40% - Accent4 4 3 2" xfId="4323"/>
    <cellStyle name="40% - Accent4 4 3 2 2" xfId="4324"/>
    <cellStyle name="40% - Accent4 4 3 2 3" xfId="4325"/>
    <cellStyle name="40% - Accent4 4 3 3" xfId="4326"/>
    <cellStyle name="40% - Accent4 4 3 4" xfId="4327"/>
    <cellStyle name="40% - Accent4 4 3 5" xfId="4328"/>
    <cellStyle name="40% - Accent4 4 3 6" xfId="4329"/>
    <cellStyle name="40% - Accent4 4 4" xfId="4330"/>
    <cellStyle name="40% - Accent4 4 4 2" xfId="4331"/>
    <cellStyle name="40% - Accent4 4 4 2 2" xfId="4332"/>
    <cellStyle name="40% - Accent4 4 4 3" xfId="4333"/>
    <cellStyle name="40% - Accent4 4 4 4" xfId="4334"/>
    <cellStyle name="40% - Accent4 4 4 5" xfId="4335"/>
    <cellStyle name="40% - Accent4 4 5" xfId="4336"/>
    <cellStyle name="40% - Accent4 4 5 2" xfId="4337"/>
    <cellStyle name="40% - Accent4 4 5 2 2" xfId="4338"/>
    <cellStyle name="40% - Accent4 4 5 3" xfId="4339"/>
    <cellStyle name="40% - Accent4 4 5 4" xfId="4340"/>
    <cellStyle name="40% - Accent4 4 5 5" xfId="4341"/>
    <cellStyle name="40% - Accent4 4 6" xfId="4342"/>
    <cellStyle name="40% - Accent4 4 6 2" xfId="4343"/>
    <cellStyle name="40% - Accent4 4 7" xfId="4344"/>
    <cellStyle name="40% - Accent4 4 8" xfId="4345"/>
    <cellStyle name="40% - Accent4 4 9" xfId="4346"/>
    <cellStyle name="40% - Accent4 5" xfId="4347"/>
    <cellStyle name="40% - Accent4 5 10" xfId="4348"/>
    <cellStyle name="40% - Accent4 5 2" xfId="4349"/>
    <cellStyle name="40% - Accent4 5 2 2" xfId="4350"/>
    <cellStyle name="40% - Accent4 5 2 2 2" xfId="4351"/>
    <cellStyle name="40% - Accent4 5 2 2 2 2" xfId="4352"/>
    <cellStyle name="40% - Accent4 5 2 2 2 3" xfId="4353"/>
    <cellStyle name="40% - Accent4 5 2 2 3" xfId="4354"/>
    <cellStyle name="40% - Accent4 5 2 2 4" xfId="4355"/>
    <cellStyle name="40% - Accent4 5 2 2 5" xfId="4356"/>
    <cellStyle name="40% - Accent4 5 2 2 6" xfId="4357"/>
    <cellStyle name="40% - Accent4 5 2 3" xfId="4358"/>
    <cellStyle name="40% - Accent4 5 2 3 2" xfId="4359"/>
    <cellStyle name="40% - Accent4 5 2 3 2 2" xfId="4360"/>
    <cellStyle name="40% - Accent4 5 2 3 3" xfId="4361"/>
    <cellStyle name="40% - Accent4 5 2 3 4" xfId="4362"/>
    <cellStyle name="40% - Accent4 5 2 3 5" xfId="4363"/>
    <cellStyle name="40% - Accent4 5 2 4" xfId="4364"/>
    <cellStyle name="40% - Accent4 5 2 4 2" xfId="4365"/>
    <cellStyle name="40% - Accent4 5 2 4 3" xfId="4366"/>
    <cellStyle name="40% - Accent4 5 2 4 4" xfId="4367"/>
    <cellStyle name="40% - Accent4 5 2 5" xfId="4368"/>
    <cellStyle name="40% - Accent4 5 2 5 2" xfId="4369"/>
    <cellStyle name="40% - Accent4 5 2 6" xfId="4370"/>
    <cellStyle name="40% - Accent4 5 2 7" xfId="4371"/>
    <cellStyle name="40% - Accent4 5 2 8" xfId="4372"/>
    <cellStyle name="40% - Accent4 5 2 9" xfId="4373"/>
    <cellStyle name="40% - Accent4 5 3" xfId="4374"/>
    <cellStyle name="40% - Accent4 5 3 2" xfId="4375"/>
    <cellStyle name="40% - Accent4 5 3 2 2" xfId="4376"/>
    <cellStyle name="40% - Accent4 5 3 2 3" xfId="4377"/>
    <cellStyle name="40% - Accent4 5 3 3" xfId="4378"/>
    <cellStyle name="40% - Accent4 5 3 4" xfId="4379"/>
    <cellStyle name="40% - Accent4 5 3 5" xfId="4380"/>
    <cellStyle name="40% - Accent4 5 3 6" xfId="4381"/>
    <cellStyle name="40% - Accent4 5 4" xfId="4382"/>
    <cellStyle name="40% - Accent4 5 4 2" xfId="4383"/>
    <cellStyle name="40% - Accent4 5 4 2 2" xfId="4384"/>
    <cellStyle name="40% - Accent4 5 4 3" xfId="4385"/>
    <cellStyle name="40% - Accent4 5 4 4" xfId="4386"/>
    <cellStyle name="40% - Accent4 5 4 5" xfId="4387"/>
    <cellStyle name="40% - Accent4 5 5" xfId="4388"/>
    <cellStyle name="40% - Accent4 5 5 2" xfId="4389"/>
    <cellStyle name="40% - Accent4 5 5 3" xfId="4390"/>
    <cellStyle name="40% - Accent4 5 5 4" xfId="4391"/>
    <cellStyle name="40% - Accent4 5 6" xfId="4392"/>
    <cellStyle name="40% - Accent4 5 6 2" xfId="4393"/>
    <cellStyle name="40% - Accent4 5 7" xfId="4394"/>
    <cellStyle name="40% - Accent4 5 8" xfId="4395"/>
    <cellStyle name="40% - Accent4 5 9" xfId="4396"/>
    <cellStyle name="40% - Accent4 6" xfId="4397"/>
    <cellStyle name="40% - Accent4 6 10" xfId="4398"/>
    <cellStyle name="40% - Accent4 6 2" xfId="4399"/>
    <cellStyle name="40% - Accent4 6 2 2" xfId="4400"/>
    <cellStyle name="40% - Accent4 6 2 2 2" xfId="4401"/>
    <cellStyle name="40% - Accent4 6 2 2 2 2" xfId="4402"/>
    <cellStyle name="40% - Accent4 6 2 2 2 3" xfId="4403"/>
    <cellStyle name="40% - Accent4 6 2 2 3" xfId="4404"/>
    <cellStyle name="40% - Accent4 6 2 2 4" xfId="4405"/>
    <cellStyle name="40% - Accent4 6 2 2 5" xfId="4406"/>
    <cellStyle name="40% - Accent4 6 2 2 6" xfId="4407"/>
    <cellStyle name="40% - Accent4 6 2 3" xfId="4408"/>
    <cellStyle name="40% - Accent4 6 2 3 2" xfId="4409"/>
    <cellStyle name="40% - Accent4 6 2 3 2 2" xfId="4410"/>
    <cellStyle name="40% - Accent4 6 2 3 3" xfId="4411"/>
    <cellStyle name="40% - Accent4 6 2 3 4" xfId="4412"/>
    <cellStyle name="40% - Accent4 6 2 3 5" xfId="4413"/>
    <cellStyle name="40% - Accent4 6 2 4" xfId="4414"/>
    <cellStyle name="40% - Accent4 6 2 4 2" xfId="4415"/>
    <cellStyle name="40% - Accent4 6 2 4 3" xfId="4416"/>
    <cellStyle name="40% - Accent4 6 2 4 4" xfId="4417"/>
    <cellStyle name="40% - Accent4 6 2 5" xfId="4418"/>
    <cellStyle name="40% - Accent4 6 2 5 2" xfId="4419"/>
    <cellStyle name="40% - Accent4 6 2 6" xfId="4420"/>
    <cellStyle name="40% - Accent4 6 2 7" xfId="4421"/>
    <cellStyle name="40% - Accent4 6 2 8" xfId="4422"/>
    <cellStyle name="40% - Accent4 6 2 9" xfId="4423"/>
    <cellStyle name="40% - Accent4 6 3" xfId="4424"/>
    <cellStyle name="40% - Accent4 6 3 2" xfId="4425"/>
    <cellStyle name="40% - Accent4 6 3 2 2" xfId="4426"/>
    <cellStyle name="40% - Accent4 6 3 2 3" xfId="4427"/>
    <cellStyle name="40% - Accent4 6 3 3" xfId="4428"/>
    <cellStyle name="40% - Accent4 6 3 4" xfId="4429"/>
    <cellStyle name="40% - Accent4 6 3 5" xfId="4430"/>
    <cellStyle name="40% - Accent4 6 3 6" xfId="4431"/>
    <cellStyle name="40% - Accent4 6 4" xfId="4432"/>
    <cellStyle name="40% - Accent4 6 4 2" xfId="4433"/>
    <cellStyle name="40% - Accent4 6 4 2 2" xfId="4434"/>
    <cellStyle name="40% - Accent4 6 4 3" xfId="4435"/>
    <cellStyle name="40% - Accent4 6 4 4" xfId="4436"/>
    <cellStyle name="40% - Accent4 6 4 5" xfId="4437"/>
    <cellStyle name="40% - Accent4 6 5" xfId="4438"/>
    <cellStyle name="40% - Accent4 6 5 2" xfId="4439"/>
    <cellStyle name="40% - Accent4 6 5 3" xfId="4440"/>
    <cellStyle name="40% - Accent4 6 5 4" xfId="4441"/>
    <cellStyle name="40% - Accent4 6 6" xfId="4442"/>
    <cellStyle name="40% - Accent4 6 6 2" xfId="4443"/>
    <cellStyle name="40% - Accent4 6 7" xfId="4444"/>
    <cellStyle name="40% - Accent4 6 8" xfId="4445"/>
    <cellStyle name="40% - Accent4 6 9" xfId="4446"/>
    <cellStyle name="40% - Accent4 7" xfId="4447"/>
    <cellStyle name="40% - Accent4 7 2" xfId="4448"/>
    <cellStyle name="40% - Accent4 7 2 2" xfId="4449"/>
    <cellStyle name="40% - Accent4 7 2 2 2" xfId="4450"/>
    <cellStyle name="40% - Accent4 7 2 2 3" xfId="4451"/>
    <cellStyle name="40% - Accent4 7 2 3" xfId="4452"/>
    <cellStyle name="40% - Accent4 7 2 4" xfId="4453"/>
    <cellStyle name="40% - Accent4 7 2 5" xfId="4454"/>
    <cellStyle name="40% - Accent4 7 2 6" xfId="4455"/>
    <cellStyle name="40% - Accent4 7 3" xfId="4456"/>
    <cellStyle name="40% - Accent4 7 3 2" xfId="4457"/>
    <cellStyle name="40% - Accent4 7 3 2 2" xfId="4458"/>
    <cellStyle name="40% - Accent4 7 3 3" xfId="4459"/>
    <cellStyle name="40% - Accent4 7 3 4" xfId="4460"/>
    <cellStyle name="40% - Accent4 7 3 5" xfId="4461"/>
    <cellStyle name="40% - Accent4 7 4" xfId="4462"/>
    <cellStyle name="40% - Accent4 7 4 2" xfId="4463"/>
    <cellStyle name="40% - Accent4 7 4 3" xfId="4464"/>
    <cellStyle name="40% - Accent4 7 4 4" xfId="4465"/>
    <cellStyle name="40% - Accent4 7 5" xfId="4466"/>
    <cellStyle name="40% - Accent4 7 5 2" xfId="4467"/>
    <cellStyle name="40% - Accent4 7 6" xfId="4468"/>
    <cellStyle name="40% - Accent4 7 7" xfId="4469"/>
    <cellStyle name="40% - Accent4 7 8" xfId="4470"/>
    <cellStyle name="40% - Accent4 7 9" xfId="4471"/>
    <cellStyle name="40% - Accent4 8" xfId="4472"/>
    <cellStyle name="40% - Accent4 8 2" xfId="4473"/>
    <cellStyle name="40% - Accent4 8 2 2" xfId="4474"/>
    <cellStyle name="40% - Accent4 8 2 2 2" xfId="4475"/>
    <cellStyle name="40% - Accent4 8 2 2 3" xfId="4476"/>
    <cellStyle name="40% - Accent4 8 2 3" xfId="4477"/>
    <cellStyle name="40% - Accent4 8 2 4" xfId="4478"/>
    <cellStyle name="40% - Accent4 8 2 5" xfId="4479"/>
    <cellStyle name="40% - Accent4 8 2 6" xfId="4480"/>
    <cellStyle name="40% - Accent4 8 3" xfId="4481"/>
    <cellStyle name="40% - Accent4 8 3 2" xfId="4482"/>
    <cellStyle name="40% - Accent4 8 3 2 2" xfId="4483"/>
    <cellStyle name="40% - Accent4 8 3 3" xfId="4484"/>
    <cellStyle name="40% - Accent4 8 3 4" xfId="4485"/>
    <cellStyle name="40% - Accent4 8 3 5" xfId="4486"/>
    <cellStyle name="40% - Accent4 8 4" xfId="4487"/>
    <cellStyle name="40% - Accent4 8 4 2" xfId="4488"/>
    <cellStyle name="40% - Accent4 8 4 3" xfId="4489"/>
    <cellStyle name="40% - Accent4 8 4 4" xfId="4490"/>
    <cellStyle name="40% - Accent4 8 5" xfId="4491"/>
    <cellStyle name="40% - Accent4 8 5 2" xfId="4492"/>
    <cellStyle name="40% - Accent4 8 6" xfId="4493"/>
    <cellStyle name="40% - Accent4 8 7" xfId="4494"/>
    <cellStyle name="40% - Accent4 8 8" xfId="4495"/>
    <cellStyle name="40% - Accent4 8 9" xfId="4496"/>
    <cellStyle name="40% - Accent4 9" xfId="4497"/>
    <cellStyle name="40% - Accent4 9 2" xfId="4498"/>
    <cellStyle name="40% - Accent4 9 2 2" xfId="4499"/>
    <cellStyle name="40% - Accent4 9 2 2 2" xfId="4500"/>
    <cellStyle name="40% - Accent4 9 2 3" xfId="4501"/>
    <cellStyle name="40% - Accent4 9 2 4" xfId="4502"/>
    <cellStyle name="40% - Accent4 9 2 5" xfId="4503"/>
    <cellStyle name="40% - Accent4 9 3" xfId="4504"/>
    <cellStyle name="40% - Accent4 9 3 2" xfId="4505"/>
    <cellStyle name="40% - Accent4 9 3 3" xfId="4506"/>
    <cellStyle name="40% - Accent4 9 3 4" xfId="4507"/>
    <cellStyle name="40% - Accent4 9 4" xfId="4508"/>
    <cellStyle name="40% - Accent4 9 4 2" xfId="4509"/>
    <cellStyle name="40% - Accent4 9 5" xfId="4510"/>
    <cellStyle name="40% - Accent4 9 6" xfId="4511"/>
    <cellStyle name="40% - Accent4 9 7" xfId="4512"/>
    <cellStyle name="40% - Accent4 9 8" xfId="4513"/>
    <cellStyle name="40% - Accent5 10" xfId="4514"/>
    <cellStyle name="40% - Accent5 10 2" xfId="4515"/>
    <cellStyle name="40% - Accent5 10 2 2" xfId="4516"/>
    <cellStyle name="40% - Accent5 10 2 2 2" xfId="4517"/>
    <cellStyle name="40% - Accent5 10 2 3" xfId="4518"/>
    <cellStyle name="40% - Accent5 10 2 4" xfId="4519"/>
    <cellStyle name="40% - Accent5 10 2 5" xfId="4520"/>
    <cellStyle name="40% - Accent5 10 3" xfId="4521"/>
    <cellStyle name="40% - Accent5 10 3 2" xfId="4522"/>
    <cellStyle name="40% - Accent5 10 3 3" xfId="4523"/>
    <cellStyle name="40% - Accent5 10 3 4" xfId="4524"/>
    <cellStyle name="40% - Accent5 10 4" xfId="4525"/>
    <cellStyle name="40% - Accent5 10 4 2" xfId="4526"/>
    <cellStyle name="40% - Accent5 10 5" xfId="4527"/>
    <cellStyle name="40% - Accent5 10 6" xfId="4528"/>
    <cellStyle name="40% - Accent5 10 7" xfId="4529"/>
    <cellStyle name="40% - Accent5 10 8" xfId="4530"/>
    <cellStyle name="40% - Accent5 11" xfId="4531"/>
    <cellStyle name="40% - Accent5 11 2" xfId="4532"/>
    <cellStyle name="40% - Accent5 11 2 2" xfId="4533"/>
    <cellStyle name="40% - Accent5 11 2 2 2" xfId="4534"/>
    <cellStyle name="40% - Accent5 11 2 3" xfId="4535"/>
    <cellStyle name="40% - Accent5 11 2 4" xfId="4536"/>
    <cellStyle name="40% - Accent5 11 2 5" xfId="4537"/>
    <cellStyle name="40% - Accent5 11 3" xfId="4538"/>
    <cellStyle name="40% - Accent5 11 3 2" xfId="4539"/>
    <cellStyle name="40% - Accent5 11 3 3" xfId="4540"/>
    <cellStyle name="40% - Accent5 11 3 4" xfId="4541"/>
    <cellStyle name="40% - Accent5 11 4" xfId="4542"/>
    <cellStyle name="40% - Accent5 11 4 2" xfId="4543"/>
    <cellStyle name="40% - Accent5 11 5" xfId="4544"/>
    <cellStyle name="40% - Accent5 11 6" xfId="4545"/>
    <cellStyle name="40% - Accent5 11 7" xfId="4546"/>
    <cellStyle name="40% - Accent5 11 8" xfId="4547"/>
    <cellStyle name="40% - Accent5 12" xfId="4548"/>
    <cellStyle name="40% - Accent5 12 2" xfId="4549"/>
    <cellStyle name="40% - Accent5 12 2 2" xfId="4550"/>
    <cellStyle name="40% - Accent5 12 2 2 2" xfId="4551"/>
    <cellStyle name="40% - Accent5 12 2 3" xfId="4552"/>
    <cellStyle name="40% - Accent5 12 2 4" xfId="4553"/>
    <cellStyle name="40% - Accent5 12 2 5" xfId="4554"/>
    <cellStyle name="40% - Accent5 12 3" xfId="4555"/>
    <cellStyle name="40% - Accent5 12 3 2" xfId="4556"/>
    <cellStyle name="40% - Accent5 12 3 3" xfId="4557"/>
    <cellStyle name="40% - Accent5 12 3 4" xfId="4558"/>
    <cellStyle name="40% - Accent5 12 4" xfId="4559"/>
    <cellStyle name="40% - Accent5 12 4 2" xfId="4560"/>
    <cellStyle name="40% - Accent5 12 5" xfId="4561"/>
    <cellStyle name="40% - Accent5 12 6" xfId="4562"/>
    <cellStyle name="40% - Accent5 12 7" xfId="4563"/>
    <cellStyle name="40% - Accent5 12 8" xfId="4564"/>
    <cellStyle name="40% - Accent5 13" xfId="4565"/>
    <cellStyle name="40% - Accent5 13 2" xfId="4566"/>
    <cellStyle name="40% - Accent5 13 2 2" xfId="4567"/>
    <cellStyle name="40% - Accent5 13 2 3" xfId="4568"/>
    <cellStyle name="40% - Accent5 13 2 4" xfId="4569"/>
    <cellStyle name="40% - Accent5 13 3" xfId="4570"/>
    <cellStyle name="40% - Accent5 13 3 2" xfId="4571"/>
    <cellStyle name="40% - Accent5 13 4" xfId="4572"/>
    <cellStyle name="40% - Accent5 13 5" xfId="4573"/>
    <cellStyle name="40% - Accent5 13 6" xfId="4574"/>
    <cellStyle name="40% - Accent5 14" xfId="4575"/>
    <cellStyle name="40% - Accent5 14 2" xfId="4576"/>
    <cellStyle name="40% - Accent5 14 2 2" xfId="4577"/>
    <cellStyle name="40% - Accent5 14 3" xfId="4578"/>
    <cellStyle name="40% - Accent5 14 4" xfId="4579"/>
    <cellStyle name="40% - Accent5 14 5" xfId="4580"/>
    <cellStyle name="40% - Accent5 15" xfId="4581"/>
    <cellStyle name="40% - Accent5 15 2" xfId="4582"/>
    <cellStyle name="40% - Accent5 15 2 2" xfId="4583"/>
    <cellStyle name="40% - Accent5 15 3" xfId="4584"/>
    <cellStyle name="40% - Accent5 15 4" xfId="4585"/>
    <cellStyle name="40% - Accent5 15 5" xfId="4586"/>
    <cellStyle name="40% - Accent5 16" xfId="4587"/>
    <cellStyle name="40% - Accent5 16 2" xfId="4588"/>
    <cellStyle name="40% - Accent5 17" xfId="4589"/>
    <cellStyle name="40% - Accent5 18" xfId="4590"/>
    <cellStyle name="40% - Accent5 19" xfId="4591"/>
    <cellStyle name="40% - Accent5 2" xfId="4592"/>
    <cellStyle name="40% - Accent5 2 10" xfId="4593"/>
    <cellStyle name="40% - Accent5 2 11" xfId="4594"/>
    <cellStyle name="40% - Accent5 2 2" xfId="4595"/>
    <cellStyle name="40% - Accent5 2 2 10" xfId="4596"/>
    <cellStyle name="40% - Accent5 2 2 2" xfId="4597"/>
    <cellStyle name="40% - Accent5 2 2 2 2" xfId="4598"/>
    <cellStyle name="40% - Accent5 2 2 2 2 2" xfId="4599"/>
    <cellStyle name="40% - Accent5 2 2 2 2 2 2" xfId="4600"/>
    <cellStyle name="40% - Accent5 2 2 2 2 2 3" xfId="4601"/>
    <cellStyle name="40% - Accent5 2 2 2 2 3" xfId="4602"/>
    <cellStyle name="40% - Accent5 2 2 2 2 4" xfId="4603"/>
    <cellStyle name="40% - Accent5 2 2 2 2 5" xfId="4604"/>
    <cellStyle name="40% - Accent5 2 2 2 2 6" xfId="4605"/>
    <cellStyle name="40% - Accent5 2 2 2 3" xfId="4606"/>
    <cellStyle name="40% - Accent5 2 2 2 3 2" xfId="4607"/>
    <cellStyle name="40% - Accent5 2 2 2 3 2 2" xfId="4608"/>
    <cellStyle name="40% - Accent5 2 2 2 3 3" xfId="4609"/>
    <cellStyle name="40% - Accent5 2 2 2 3 4" xfId="4610"/>
    <cellStyle name="40% - Accent5 2 2 2 3 5" xfId="4611"/>
    <cellStyle name="40% - Accent5 2 2 2 4" xfId="4612"/>
    <cellStyle name="40% - Accent5 2 2 2 4 2" xfId="4613"/>
    <cellStyle name="40% - Accent5 2 2 2 4 3" xfId="4614"/>
    <cellStyle name="40% - Accent5 2 2 2 4 4" xfId="4615"/>
    <cellStyle name="40% - Accent5 2 2 2 5" xfId="4616"/>
    <cellStyle name="40% - Accent5 2 2 2 5 2" xfId="4617"/>
    <cellStyle name="40% - Accent5 2 2 2 6" xfId="4618"/>
    <cellStyle name="40% - Accent5 2 2 2 7" xfId="4619"/>
    <cellStyle name="40% - Accent5 2 2 2 8" xfId="4620"/>
    <cellStyle name="40% - Accent5 2 2 2 9" xfId="4621"/>
    <cellStyle name="40% - Accent5 2 2 3" xfId="4622"/>
    <cellStyle name="40% - Accent5 2 2 3 2" xfId="4623"/>
    <cellStyle name="40% - Accent5 2 2 3 2 2" xfId="4624"/>
    <cellStyle name="40% - Accent5 2 2 3 2 3" xfId="4625"/>
    <cellStyle name="40% - Accent5 2 2 3 3" xfId="4626"/>
    <cellStyle name="40% - Accent5 2 2 3 4" xfId="4627"/>
    <cellStyle name="40% - Accent5 2 2 3 5" xfId="4628"/>
    <cellStyle name="40% - Accent5 2 2 3 6" xfId="4629"/>
    <cellStyle name="40% - Accent5 2 2 4" xfId="4630"/>
    <cellStyle name="40% - Accent5 2 2 4 2" xfId="4631"/>
    <cellStyle name="40% - Accent5 2 2 4 2 2" xfId="4632"/>
    <cellStyle name="40% - Accent5 2 2 4 3" xfId="4633"/>
    <cellStyle name="40% - Accent5 2 2 4 4" xfId="4634"/>
    <cellStyle name="40% - Accent5 2 2 4 5" xfId="4635"/>
    <cellStyle name="40% - Accent5 2 2 5" xfId="4636"/>
    <cellStyle name="40% - Accent5 2 2 5 2" xfId="4637"/>
    <cellStyle name="40% - Accent5 2 2 5 3" xfId="4638"/>
    <cellStyle name="40% - Accent5 2 2 5 4" xfId="4639"/>
    <cellStyle name="40% - Accent5 2 2 6" xfId="4640"/>
    <cellStyle name="40% - Accent5 2 2 6 2" xfId="4641"/>
    <cellStyle name="40% - Accent5 2 2 7" xfId="4642"/>
    <cellStyle name="40% - Accent5 2 2 8" xfId="4643"/>
    <cellStyle name="40% - Accent5 2 2 9" xfId="4644"/>
    <cellStyle name="40% - Accent5 2 3" xfId="4645"/>
    <cellStyle name="40% - Accent5 2 3 2" xfId="4646"/>
    <cellStyle name="40% - Accent5 2 3 2 2" xfId="4647"/>
    <cellStyle name="40% - Accent5 2 3 2 2 2" xfId="4648"/>
    <cellStyle name="40% - Accent5 2 3 2 2 3" xfId="4649"/>
    <cellStyle name="40% - Accent5 2 3 2 3" xfId="4650"/>
    <cellStyle name="40% - Accent5 2 3 2 4" xfId="4651"/>
    <cellStyle name="40% - Accent5 2 3 2 5" xfId="4652"/>
    <cellStyle name="40% - Accent5 2 3 2 6" xfId="4653"/>
    <cellStyle name="40% - Accent5 2 3 3" xfId="4654"/>
    <cellStyle name="40% - Accent5 2 3 3 2" xfId="4655"/>
    <cellStyle name="40% - Accent5 2 3 3 2 2" xfId="4656"/>
    <cellStyle name="40% - Accent5 2 3 3 3" xfId="4657"/>
    <cellStyle name="40% - Accent5 2 3 3 4" xfId="4658"/>
    <cellStyle name="40% - Accent5 2 3 3 5" xfId="4659"/>
    <cellStyle name="40% - Accent5 2 3 4" xfId="4660"/>
    <cellStyle name="40% - Accent5 2 3 4 2" xfId="4661"/>
    <cellStyle name="40% - Accent5 2 3 4 3" xfId="4662"/>
    <cellStyle name="40% - Accent5 2 3 4 4" xfId="4663"/>
    <cellStyle name="40% - Accent5 2 3 5" xfId="4664"/>
    <cellStyle name="40% - Accent5 2 3 5 2" xfId="4665"/>
    <cellStyle name="40% - Accent5 2 3 6" xfId="4666"/>
    <cellStyle name="40% - Accent5 2 3 7" xfId="4667"/>
    <cellStyle name="40% - Accent5 2 3 8" xfId="4668"/>
    <cellStyle name="40% - Accent5 2 3 9" xfId="4669"/>
    <cellStyle name="40% - Accent5 2 4" xfId="4670"/>
    <cellStyle name="40% - Accent5 2 4 2" xfId="4671"/>
    <cellStyle name="40% - Accent5 2 4 2 2" xfId="4672"/>
    <cellStyle name="40% - Accent5 2 4 2 3" xfId="4673"/>
    <cellStyle name="40% - Accent5 2 4 3" xfId="4674"/>
    <cellStyle name="40% - Accent5 2 4 4" xfId="4675"/>
    <cellStyle name="40% - Accent5 2 4 5" xfId="4676"/>
    <cellStyle name="40% - Accent5 2 4 6" xfId="4677"/>
    <cellStyle name="40% - Accent5 2 5" xfId="4678"/>
    <cellStyle name="40% - Accent5 2 5 2" xfId="4679"/>
    <cellStyle name="40% - Accent5 2 5 2 2" xfId="4680"/>
    <cellStyle name="40% - Accent5 2 5 3" xfId="4681"/>
    <cellStyle name="40% - Accent5 2 5 4" xfId="4682"/>
    <cellStyle name="40% - Accent5 2 5 5" xfId="4683"/>
    <cellStyle name="40% - Accent5 2 6" xfId="4684"/>
    <cellStyle name="40% - Accent5 2 6 2" xfId="4685"/>
    <cellStyle name="40% - Accent5 2 6 2 2" xfId="4686"/>
    <cellStyle name="40% - Accent5 2 6 3" xfId="4687"/>
    <cellStyle name="40% - Accent5 2 6 4" xfId="4688"/>
    <cellStyle name="40% - Accent5 2 6 5" xfId="4689"/>
    <cellStyle name="40% - Accent5 2 7" xfId="4690"/>
    <cellStyle name="40% - Accent5 2 7 2" xfId="4691"/>
    <cellStyle name="40% - Accent5 2 8" xfId="4692"/>
    <cellStyle name="40% - Accent5 2 9" xfId="4693"/>
    <cellStyle name="40% - Accent5 3" xfId="4694"/>
    <cellStyle name="40% - Accent5 3 10" xfId="4695"/>
    <cellStyle name="40% - Accent5 3 2" xfId="4696"/>
    <cellStyle name="40% - Accent5 3 2 2" xfId="4697"/>
    <cellStyle name="40% - Accent5 3 2 2 2" xfId="4698"/>
    <cellStyle name="40% - Accent5 3 2 2 2 2" xfId="4699"/>
    <cellStyle name="40% - Accent5 3 2 2 2 3" xfId="4700"/>
    <cellStyle name="40% - Accent5 3 2 2 3" xfId="4701"/>
    <cellStyle name="40% - Accent5 3 2 2 4" xfId="4702"/>
    <cellStyle name="40% - Accent5 3 2 2 5" xfId="4703"/>
    <cellStyle name="40% - Accent5 3 2 2 6" xfId="4704"/>
    <cellStyle name="40% - Accent5 3 2 3" xfId="4705"/>
    <cellStyle name="40% - Accent5 3 2 3 2" xfId="4706"/>
    <cellStyle name="40% - Accent5 3 2 3 2 2" xfId="4707"/>
    <cellStyle name="40% - Accent5 3 2 3 3" xfId="4708"/>
    <cellStyle name="40% - Accent5 3 2 3 4" xfId="4709"/>
    <cellStyle name="40% - Accent5 3 2 3 5" xfId="4710"/>
    <cellStyle name="40% - Accent5 3 2 4" xfId="4711"/>
    <cellStyle name="40% - Accent5 3 2 4 2" xfId="4712"/>
    <cellStyle name="40% - Accent5 3 2 4 3" xfId="4713"/>
    <cellStyle name="40% - Accent5 3 2 4 4" xfId="4714"/>
    <cellStyle name="40% - Accent5 3 2 5" xfId="4715"/>
    <cellStyle name="40% - Accent5 3 2 5 2" xfId="4716"/>
    <cellStyle name="40% - Accent5 3 2 6" xfId="4717"/>
    <cellStyle name="40% - Accent5 3 2 7" xfId="4718"/>
    <cellStyle name="40% - Accent5 3 2 8" xfId="4719"/>
    <cellStyle name="40% - Accent5 3 2 9" xfId="4720"/>
    <cellStyle name="40% - Accent5 3 3" xfId="4721"/>
    <cellStyle name="40% - Accent5 3 3 2" xfId="4722"/>
    <cellStyle name="40% - Accent5 3 3 2 2" xfId="4723"/>
    <cellStyle name="40% - Accent5 3 3 2 3" xfId="4724"/>
    <cellStyle name="40% - Accent5 3 3 3" xfId="4725"/>
    <cellStyle name="40% - Accent5 3 3 4" xfId="4726"/>
    <cellStyle name="40% - Accent5 3 3 5" xfId="4727"/>
    <cellStyle name="40% - Accent5 3 3 6" xfId="4728"/>
    <cellStyle name="40% - Accent5 3 4" xfId="4729"/>
    <cellStyle name="40% - Accent5 3 4 2" xfId="4730"/>
    <cellStyle name="40% - Accent5 3 4 2 2" xfId="4731"/>
    <cellStyle name="40% - Accent5 3 4 3" xfId="4732"/>
    <cellStyle name="40% - Accent5 3 4 4" xfId="4733"/>
    <cellStyle name="40% - Accent5 3 4 5" xfId="4734"/>
    <cellStyle name="40% - Accent5 3 5" xfId="4735"/>
    <cellStyle name="40% - Accent5 3 5 2" xfId="4736"/>
    <cellStyle name="40% - Accent5 3 5 2 2" xfId="4737"/>
    <cellStyle name="40% - Accent5 3 5 3" xfId="4738"/>
    <cellStyle name="40% - Accent5 3 5 4" xfId="4739"/>
    <cellStyle name="40% - Accent5 3 5 5" xfId="4740"/>
    <cellStyle name="40% - Accent5 3 6" xfId="4741"/>
    <cellStyle name="40% - Accent5 3 6 2" xfId="4742"/>
    <cellStyle name="40% - Accent5 3 7" xfId="4743"/>
    <cellStyle name="40% - Accent5 3 8" xfId="4744"/>
    <cellStyle name="40% - Accent5 3 9" xfId="4745"/>
    <cellStyle name="40% - Accent5 4" xfId="4746"/>
    <cellStyle name="40% - Accent5 4 10" xfId="4747"/>
    <cellStyle name="40% - Accent5 4 2" xfId="4748"/>
    <cellStyle name="40% - Accent5 4 2 2" xfId="4749"/>
    <cellStyle name="40% - Accent5 4 2 2 2" xfId="4750"/>
    <cellStyle name="40% - Accent5 4 2 2 2 2" xfId="4751"/>
    <cellStyle name="40% - Accent5 4 2 2 2 3" xfId="4752"/>
    <cellStyle name="40% - Accent5 4 2 2 3" xfId="4753"/>
    <cellStyle name="40% - Accent5 4 2 2 4" xfId="4754"/>
    <cellStyle name="40% - Accent5 4 2 2 5" xfId="4755"/>
    <cellStyle name="40% - Accent5 4 2 2 6" xfId="4756"/>
    <cellStyle name="40% - Accent5 4 2 3" xfId="4757"/>
    <cellStyle name="40% - Accent5 4 2 3 2" xfId="4758"/>
    <cellStyle name="40% - Accent5 4 2 3 2 2" xfId="4759"/>
    <cellStyle name="40% - Accent5 4 2 3 3" xfId="4760"/>
    <cellStyle name="40% - Accent5 4 2 3 4" xfId="4761"/>
    <cellStyle name="40% - Accent5 4 2 3 5" xfId="4762"/>
    <cellStyle name="40% - Accent5 4 2 4" xfId="4763"/>
    <cellStyle name="40% - Accent5 4 2 4 2" xfId="4764"/>
    <cellStyle name="40% - Accent5 4 2 4 3" xfId="4765"/>
    <cellStyle name="40% - Accent5 4 2 4 4" xfId="4766"/>
    <cellStyle name="40% - Accent5 4 2 5" xfId="4767"/>
    <cellStyle name="40% - Accent5 4 2 5 2" xfId="4768"/>
    <cellStyle name="40% - Accent5 4 2 6" xfId="4769"/>
    <cellStyle name="40% - Accent5 4 2 7" xfId="4770"/>
    <cellStyle name="40% - Accent5 4 2 8" xfId="4771"/>
    <cellStyle name="40% - Accent5 4 2 9" xfId="4772"/>
    <cellStyle name="40% - Accent5 4 3" xfId="4773"/>
    <cellStyle name="40% - Accent5 4 3 2" xfId="4774"/>
    <cellStyle name="40% - Accent5 4 3 2 2" xfId="4775"/>
    <cellStyle name="40% - Accent5 4 3 2 3" xfId="4776"/>
    <cellStyle name="40% - Accent5 4 3 3" xfId="4777"/>
    <cellStyle name="40% - Accent5 4 3 4" xfId="4778"/>
    <cellStyle name="40% - Accent5 4 3 5" xfId="4779"/>
    <cellStyle name="40% - Accent5 4 3 6" xfId="4780"/>
    <cellStyle name="40% - Accent5 4 4" xfId="4781"/>
    <cellStyle name="40% - Accent5 4 4 2" xfId="4782"/>
    <cellStyle name="40% - Accent5 4 4 2 2" xfId="4783"/>
    <cellStyle name="40% - Accent5 4 4 3" xfId="4784"/>
    <cellStyle name="40% - Accent5 4 4 4" xfId="4785"/>
    <cellStyle name="40% - Accent5 4 4 5" xfId="4786"/>
    <cellStyle name="40% - Accent5 4 5" xfId="4787"/>
    <cellStyle name="40% - Accent5 4 5 2" xfId="4788"/>
    <cellStyle name="40% - Accent5 4 5 2 2" xfId="4789"/>
    <cellStyle name="40% - Accent5 4 5 3" xfId="4790"/>
    <cellStyle name="40% - Accent5 4 5 4" xfId="4791"/>
    <cellStyle name="40% - Accent5 4 5 5" xfId="4792"/>
    <cellStyle name="40% - Accent5 4 6" xfId="4793"/>
    <cellStyle name="40% - Accent5 4 6 2" xfId="4794"/>
    <cellStyle name="40% - Accent5 4 7" xfId="4795"/>
    <cellStyle name="40% - Accent5 4 8" xfId="4796"/>
    <cellStyle name="40% - Accent5 4 9" xfId="4797"/>
    <cellStyle name="40% - Accent5 5" xfId="4798"/>
    <cellStyle name="40% - Accent5 5 10" xfId="4799"/>
    <cellStyle name="40% - Accent5 5 2" xfId="4800"/>
    <cellStyle name="40% - Accent5 5 2 2" xfId="4801"/>
    <cellStyle name="40% - Accent5 5 2 2 2" xfId="4802"/>
    <cellStyle name="40% - Accent5 5 2 2 2 2" xfId="4803"/>
    <cellStyle name="40% - Accent5 5 2 2 2 3" xfId="4804"/>
    <cellStyle name="40% - Accent5 5 2 2 3" xfId="4805"/>
    <cellStyle name="40% - Accent5 5 2 2 4" xfId="4806"/>
    <cellStyle name="40% - Accent5 5 2 2 5" xfId="4807"/>
    <cellStyle name="40% - Accent5 5 2 2 6" xfId="4808"/>
    <cellStyle name="40% - Accent5 5 2 3" xfId="4809"/>
    <cellStyle name="40% - Accent5 5 2 3 2" xfId="4810"/>
    <cellStyle name="40% - Accent5 5 2 3 2 2" xfId="4811"/>
    <cellStyle name="40% - Accent5 5 2 3 3" xfId="4812"/>
    <cellStyle name="40% - Accent5 5 2 3 4" xfId="4813"/>
    <cellStyle name="40% - Accent5 5 2 3 5" xfId="4814"/>
    <cellStyle name="40% - Accent5 5 2 4" xfId="4815"/>
    <cellStyle name="40% - Accent5 5 2 4 2" xfId="4816"/>
    <cellStyle name="40% - Accent5 5 2 4 3" xfId="4817"/>
    <cellStyle name="40% - Accent5 5 2 4 4" xfId="4818"/>
    <cellStyle name="40% - Accent5 5 2 5" xfId="4819"/>
    <cellStyle name="40% - Accent5 5 2 5 2" xfId="4820"/>
    <cellStyle name="40% - Accent5 5 2 6" xfId="4821"/>
    <cellStyle name="40% - Accent5 5 2 7" xfId="4822"/>
    <cellStyle name="40% - Accent5 5 2 8" xfId="4823"/>
    <cellStyle name="40% - Accent5 5 2 9" xfId="4824"/>
    <cellStyle name="40% - Accent5 5 3" xfId="4825"/>
    <cellStyle name="40% - Accent5 5 3 2" xfId="4826"/>
    <cellStyle name="40% - Accent5 5 3 2 2" xfId="4827"/>
    <cellStyle name="40% - Accent5 5 3 2 3" xfId="4828"/>
    <cellStyle name="40% - Accent5 5 3 3" xfId="4829"/>
    <cellStyle name="40% - Accent5 5 3 4" xfId="4830"/>
    <cellStyle name="40% - Accent5 5 3 5" xfId="4831"/>
    <cellStyle name="40% - Accent5 5 3 6" xfId="4832"/>
    <cellStyle name="40% - Accent5 5 4" xfId="4833"/>
    <cellStyle name="40% - Accent5 5 4 2" xfId="4834"/>
    <cellStyle name="40% - Accent5 5 4 2 2" xfId="4835"/>
    <cellStyle name="40% - Accent5 5 4 3" xfId="4836"/>
    <cellStyle name="40% - Accent5 5 4 4" xfId="4837"/>
    <cellStyle name="40% - Accent5 5 4 5" xfId="4838"/>
    <cellStyle name="40% - Accent5 5 5" xfId="4839"/>
    <cellStyle name="40% - Accent5 5 5 2" xfId="4840"/>
    <cellStyle name="40% - Accent5 5 5 3" xfId="4841"/>
    <cellStyle name="40% - Accent5 5 5 4" xfId="4842"/>
    <cellStyle name="40% - Accent5 5 6" xfId="4843"/>
    <cellStyle name="40% - Accent5 5 6 2" xfId="4844"/>
    <cellStyle name="40% - Accent5 5 7" xfId="4845"/>
    <cellStyle name="40% - Accent5 5 8" xfId="4846"/>
    <cellStyle name="40% - Accent5 5 9" xfId="4847"/>
    <cellStyle name="40% - Accent5 6" xfId="4848"/>
    <cellStyle name="40% - Accent5 6 10" xfId="4849"/>
    <cellStyle name="40% - Accent5 6 2" xfId="4850"/>
    <cellStyle name="40% - Accent5 6 2 2" xfId="4851"/>
    <cellStyle name="40% - Accent5 6 2 2 2" xfId="4852"/>
    <cellStyle name="40% - Accent5 6 2 2 2 2" xfId="4853"/>
    <cellStyle name="40% - Accent5 6 2 2 2 3" xfId="4854"/>
    <cellStyle name="40% - Accent5 6 2 2 3" xfId="4855"/>
    <cellStyle name="40% - Accent5 6 2 2 4" xfId="4856"/>
    <cellStyle name="40% - Accent5 6 2 2 5" xfId="4857"/>
    <cellStyle name="40% - Accent5 6 2 2 6" xfId="4858"/>
    <cellStyle name="40% - Accent5 6 2 3" xfId="4859"/>
    <cellStyle name="40% - Accent5 6 2 3 2" xfId="4860"/>
    <cellStyle name="40% - Accent5 6 2 3 2 2" xfId="4861"/>
    <cellStyle name="40% - Accent5 6 2 3 3" xfId="4862"/>
    <cellStyle name="40% - Accent5 6 2 3 4" xfId="4863"/>
    <cellStyle name="40% - Accent5 6 2 3 5" xfId="4864"/>
    <cellStyle name="40% - Accent5 6 2 4" xfId="4865"/>
    <cellStyle name="40% - Accent5 6 2 4 2" xfId="4866"/>
    <cellStyle name="40% - Accent5 6 2 4 3" xfId="4867"/>
    <cellStyle name="40% - Accent5 6 2 4 4" xfId="4868"/>
    <cellStyle name="40% - Accent5 6 2 5" xfId="4869"/>
    <cellStyle name="40% - Accent5 6 2 5 2" xfId="4870"/>
    <cellStyle name="40% - Accent5 6 2 6" xfId="4871"/>
    <cellStyle name="40% - Accent5 6 2 7" xfId="4872"/>
    <cellStyle name="40% - Accent5 6 2 8" xfId="4873"/>
    <cellStyle name="40% - Accent5 6 2 9" xfId="4874"/>
    <cellStyle name="40% - Accent5 6 3" xfId="4875"/>
    <cellStyle name="40% - Accent5 6 3 2" xfId="4876"/>
    <cellStyle name="40% - Accent5 6 3 2 2" xfId="4877"/>
    <cellStyle name="40% - Accent5 6 3 2 3" xfId="4878"/>
    <cellStyle name="40% - Accent5 6 3 3" xfId="4879"/>
    <cellStyle name="40% - Accent5 6 3 4" xfId="4880"/>
    <cellStyle name="40% - Accent5 6 3 5" xfId="4881"/>
    <cellStyle name="40% - Accent5 6 3 6" xfId="4882"/>
    <cellStyle name="40% - Accent5 6 4" xfId="4883"/>
    <cellStyle name="40% - Accent5 6 4 2" xfId="4884"/>
    <cellStyle name="40% - Accent5 6 4 2 2" xfId="4885"/>
    <cellStyle name="40% - Accent5 6 4 3" xfId="4886"/>
    <cellStyle name="40% - Accent5 6 4 4" xfId="4887"/>
    <cellStyle name="40% - Accent5 6 4 5" xfId="4888"/>
    <cellStyle name="40% - Accent5 6 5" xfId="4889"/>
    <cellStyle name="40% - Accent5 6 5 2" xfId="4890"/>
    <cellStyle name="40% - Accent5 6 5 3" xfId="4891"/>
    <cellStyle name="40% - Accent5 6 5 4" xfId="4892"/>
    <cellStyle name="40% - Accent5 6 6" xfId="4893"/>
    <cellStyle name="40% - Accent5 6 6 2" xfId="4894"/>
    <cellStyle name="40% - Accent5 6 7" xfId="4895"/>
    <cellStyle name="40% - Accent5 6 8" xfId="4896"/>
    <cellStyle name="40% - Accent5 6 9" xfId="4897"/>
    <cellStyle name="40% - Accent5 7" xfId="4898"/>
    <cellStyle name="40% - Accent5 7 2" xfId="4899"/>
    <cellStyle name="40% - Accent5 7 2 2" xfId="4900"/>
    <cellStyle name="40% - Accent5 7 2 2 2" xfId="4901"/>
    <cellStyle name="40% - Accent5 7 2 2 3" xfId="4902"/>
    <cellStyle name="40% - Accent5 7 2 3" xfId="4903"/>
    <cellStyle name="40% - Accent5 7 2 4" xfId="4904"/>
    <cellStyle name="40% - Accent5 7 2 5" xfId="4905"/>
    <cellStyle name="40% - Accent5 7 2 6" xfId="4906"/>
    <cellStyle name="40% - Accent5 7 3" xfId="4907"/>
    <cellStyle name="40% - Accent5 7 3 2" xfId="4908"/>
    <cellStyle name="40% - Accent5 7 3 2 2" xfId="4909"/>
    <cellStyle name="40% - Accent5 7 3 3" xfId="4910"/>
    <cellStyle name="40% - Accent5 7 3 4" xfId="4911"/>
    <cellStyle name="40% - Accent5 7 3 5" xfId="4912"/>
    <cellStyle name="40% - Accent5 7 4" xfId="4913"/>
    <cellStyle name="40% - Accent5 7 4 2" xfId="4914"/>
    <cellStyle name="40% - Accent5 7 4 3" xfId="4915"/>
    <cellStyle name="40% - Accent5 7 4 4" xfId="4916"/>
    <cellStyle name="40% - Accent5 7 5" xfId="4917"/>
    <cellStyle name="40% - Accent5 7 5 2" xfId="4918"/>
    <cellStyle name="40% - Accent5 7 6" xfId="4919"/>
    <cellStyle name="40% - Accent5 7 7" xfId="4920"/>
    <cellStyle name="40% - Accent5 7 8" xfId="4921"/>
    <cellStyle name="40% - Accent5 7 9" xfId="4922"/>
    <cellStyle name="40% - Accent5 8" xfId="4923"/>
    <cellStyle name="40% - Accent5 8 2" xfId="4924"/>
    <cellStyle name="40% - Accent5 8 2 2" xfId="4925"/>
    <cellStyle name="40% - Accent5 8 2 2 2" xfId="4926"/>
    <cellStyle name="40% - Accent5 8 2 2 3" xfId="4927"/>
    <cellStyle name="40% - Accent5 8 2 3" xfId="4928"/>
    <cellStyle name="40% - Accent5 8 2 4" xfId="4929"/>
    <cellStyle name="40% - Accent5 8 2 5" xfId="4930"/>
    <cellStyle name="40% - Accent5 8 2 6" xfId="4931"/>
    <cellStyle name="40% - Accent5 8 3" xfId="4932"/>
    <cellStyle name="40% - Accent5 8 3 2" xfId="4933"/>
    <cellStyle name="40% - Accent5 8 3 2 2" xfId="4934"/>
    <cellStyle name="40% - Accent5 8 3 3" xfId="4935"/>
    <cellStyle name="40% - Accent5 8 3 4" xfId="4936"/>
    <cellStyle name="40% - Accent5 8 3 5" xfId="4937"/>
    <cellStyle name="40% - Accent5 8 4" xfId="4938"/>
    <cellStyle name="40% - Accent5 8 4 2" xfId="4939"/>
    <cellStyle name="40% - Accent5 8 4 3" xfId="4940"/>
    <cellStyle name="40% - Accent5 8 4 4" xfId="4941"/>
    <cellStyle name="40% - Accent5 8 5" xfId="4942"/>
    <cellStyle name="40% - Accent5 8 5 2" xfId="4943"/>
    <cellStyle name="40% - Accent5 8 6" xfId="4944"/>
    <cellStyle name="40% - Accent5 8 7" xfId="4945"/>
    <cellStyle name="40% - Accent5 8 8" xfId="4946"/>
    <cellStyle name="40% - Accent5 8 9" xfId="4947"/>
    <cellStyle name="40% - Accent5 9" xfId="4948"/>
    <cellStyle name="40% - Accent5 9 2" xfId="4949"/>
    <cellStyle name="40% - Accent5 9 2 2" xfId="4950"/>
    <cellStyle name="40% - Accent5 9 2 2 2" xfId="4951"/>
    <cellStyle name="40% - Accent5 9 2 3" xfId="4952"/>
    <cellStyle name="40% - Accent5 9 2 4" xfId="4953"/>
    <cellStyle name="40% - Accent5 9 2 5" xfId="4954"/>
    <cellStyle name="40% - Accent5 9 3" xfId="4955"/>
    <cellStyle name="40% - Accent5 9 3 2" xfId="4956"/>
    <cellStyle name="40% - Accent5 9 3 3" xfId="4957"/>
    <cellStyle name="40% - Accent5 9 3 4" xfId="4958"/>
    <cellStyle name="40% - Accent5 9 4" xfId="4959"/>
    <cellStyle name="40% - Accent5 9 4 2" xfId="4960"/>
    <cellStyle name="40% - Accent5 9 5" xfId="4961"/>
    <cellStyle name="40% - Accent5 9 6" xfId="4962"/>
    <cellStyle name="40% - Accent5 9 7" xfId="4963"/>
    <cellStyle name="40% - Accent5 9 8" xfId="4964"/>
    <cellStyle name="40% - Accent6 10" xfId="4965"/>
    <cellStyle name="40% - Accent6 10 2" xfId="4966"/>
    <cellStyle name="40% - Accent6 10 2 2" xfId="4967"/>
    <cellStyle name="40% - Accent6 10 2 2 2" xfId="4968"/>
    <cellStyle name="40% - Accent6 10 2 3" xfId="4969"/>
    <cellStyle name="40% - Accent6 10 2 4" xfId="4970"/>
    <cellStyle name="40% - Accent6 10 2 5" xfId="4971"/>
    <cellStyle name="40% - Accent6 10 3" xfId="4972"/>
    <cellStyle name="40% - Accent6 10 3 2" xfId="4973"/>
    <cellStyle name="40% - Accent6 10 3 3" xfId="4974"/>
    <cellStyle name="40% - Accent6 10 3 4" xfId="4975"/>
    <cellStyle name="40% - Accent6 10 4" xfId="4976"/>
    <cellStyle name="40% - Accent6 10 4 2" xfId="4977"/>
    <cellStyle name="40% - Accent6 10 5" xfId="4978"/>
    <cellStyle name="40% - Accent6 10 6" xfId="4979"/>
    <cellStyle name="40% - Accent6 10 7" xfId="4980"/>
    <cellStyle name="40% - Accent6 10 8" xfId="4981"/>
    <cellStyle name="40% - Accent6 11" xfId="4982"/>
    <cellStyle name="40% - Accent6 11 2" xfId="4983"/>
    <cellStyle name="40% - Accent6 11 2 2" xfId="4984"/>
    <cellStyle name="40% - Accent6 11 2 2 2" xfId="4985"/>
    <cellStyle name="40% - Accent6 11 2 3" xfId="4986"/>
    <cellStyle name="40% - Accent6 11 2 4" xfId="4987"/>
    <cellStyle name="40% - Accent6 11 2 5" xfId="4988"/>
    <cellStyle name="40% - Accent6 11 3" xfId="4989"/>
    <cellStyle name="40% - Accent6 11 3 2" xfId="4990"/>
    <cellStyle name="40% - Accent6 11 3 3" xfId="4991"/>
    <cellStyle name="40% - Accent6 11 3 4" xfId="4992"/>
    <cellStyle name="40% - Accent6 11 4" xfId="4993"/>
    <cellStyle name="40% - Accent6 11 4 2" xfId="4994"/>
    <cellStyle name="40% - Accent6 11 5" xfId="4995"/>
    <cellStyle name="40% - Accent6 11 6" xfId="4996"/>
    <cellStyle name="40% - Accent6 11 7" xfId="4997"/>
    <cellStyle name="40% - Accent6 11 8" xfId="4998"/>
    <cellStyle name="40% - Accent6 12" xfId="4999"/>
    <cellStyle name="40% - Accent6 12 2" xfId="5000"/>
    <cellStyle name="40% - Accent6 12 2 2" xfId="5001"/>
    <cellStyle name="40% - Accent6 12 2 2 2" xfId="5002"/>
    <cellStyle name="40% - Accent6 12 2 3" xfId="5003"/>
    <cellStyle name="40% - Accent6 12 2 4" xfId="5004"/>
    <cellStyle name="40% - Accent6 12 2 5" xfId="5005"/>
    <cellStyle name="40% - Accent6 12 3" xfId="5006"/>
    <cellStyle name="40% - Accent6 12 3 2" xfId="5007"/>
    <cellStyle name="40% - Accent6 12 3 3" xfId="5008"/>
    <cellStyle name="40% - Accent6 12 3 4" xfId="5009"/>
    <cellStyle name="40% - Accent6 12 4" xfId="5010"/>
    <cellStyle name="40% - Accent6 12 4 2" xfId="5011"/>
    <cellStyle name="40% - Accent6 12 5" xfId="5012"/>
    <cellStyle name="40% - Accent6 12 6" xfId="5013"/>
    <cellStyle name="40% - Accent6 12 7" xfId="5014"/>
    <cellStyle name="40% - Accent6 12 8" xfId="5015"/>
    <cellStyle name="40% - Accent6 13" xfId="5016"/>
    <cellStyle name="40% - Accent6 13 2" xfId="5017"/>
    <cellStyle name="40% - Accent6 13 2 2" xfId="5018"/>
    <cellStyle name="40% - Accent6 13 2 3" xfId="5019"/>
    <cellStyle name="40% - Accent6 13 2 4" xfId="5020"/>
    <cellStyle name="40% - Accent6 13 3" xfId="5021"/>
    <cellStyle name="40% - Accent6 13 3 2" xfId="5022"/>
    <cellStyle name="40% - Accent6 13 4" xfId="5023"/>
    <cellStyle name="40% - Accent6 13 5" xfId="5024"/>
    <cellStyle name="40% - Accent6 13 6" xfId="5025"/>
    <cellStyle name="40% - Accent6 14" xfId="5026"/>
    <cellStyle name="40% - Accent6 14 2" xfId="5027"/>
    <cellStyle name="40% - Accent6 14 2 2" xfId="5028"/>
    <cellStyle name="40% - Accent6 14 3" xfId="5029"/>
    <cellStyle name="40% - Accent6 14 4" xfId="5030"/>
    <cellStyle name="40% - Accent6 14 5" xfId="5031"/>
    <cellStyle name="40% - Accent6 15" xfId="5032"/>
    <cellStyle name="40% - Accent6 15 2" xfId="5033"/>
    <cellStyle name="40% - Accent6 15 2 2" xfId="5034"/>
    <cellStyle name="40% - Accent6 15 3" xfId="5035"/>
    <cellStyle name="40% - Accent6 15 4" xfId="5036"/>
    <cellStyle name="40% - Accent6 15 5" xfId="5037"/>
    <cellStyle name="40% - Accent6 16" xfId="5038"/>
    <cellStyle name="40% - Accent6 16 2" xfId="5039"/>
    <cellStyle name="40% - Accent6 17" xfId="5040"/>
    <cellStyle name="40% - Accent6 18" xfId="5041"/>
    <cellStyle name="40% - Accent6 19" xfId="5042"/>
    <cellStyle name="40% - Accent6 2" xfId="5043"/>
    <cellStyle name="40% - Accent6 2 10" xfId="5044"/>
    <cellStyle name="40% - Accent6 2 11" xfId="5045"/>
    <cellStyle name="40% - Accent6 2 2" xfId="5046"/>
    <cellStyle name="40% - Accent6 2 2 10" xfId="5047"/>
    <cellStyle name="40% - Accent6 2 2 2" xfId="5048"/>
    <cellStyle name="40% - Accent6 2 2 2 2" xfId="5049"/>
    <cellStyle name="40% - Accent6 2 2 2 2 2" xfId="5050"/>
    <cellStyle name="40% - Accent6 2 2 2 2 2 2" xfId="5051"/>
    <cellStyle name="40% - Accent6 2 2 2 2 2 3" xfId="5052"/>
    <cellStyle name="40% - Accent6 2 2 2 2 3" xfId="5053"/>
    <cellStyle name="40% - Accent6 2 2 2 2 4" xfId="5054"/>
    <cellStyle name="40% - Accent6 2 2 2 2 5" xfId="5055"/>
    <cellStyle name="40% - Accent6 2 2 2 2 6" xfId="5056"/>
    <cellStyle name="40% - Accent6 2 2 2 3" xfId="5057"/>
    <cellStyle name="40% - Accent6 2 2 2 3 2" xfId="5058"/>
    <cellStyle name="40% - Accent6 2 2 2 3 2 2" xfId="5059"/>
    <cellStyle name="40% - Accent6 2 2 2 3 3" xfId="5060"/>
    <cellStyle name="40% - Accent6 2 2 2 3 4" xfId="5061"/>
    <cellStyle name="40% - Accent6 2 2 2 3 5" xfId="5062"/>
    <cellStyle name="40% - Accent6 2 2 2 4" xfId="5063"/>
    <cellStyle name="40% - Accent6 2 2 2 4 2" xfId="5064"/>
    <cellStyle name="40% - Accent6 2 2 2 4 3" xfId="5065"/>
    <cellStyle name="40% - Accent6 2 2 2 4 4" xfId="5066"/>
    <cellStyle name="40% - Accent6 2 2 2 5" xfId="5067"/>
    <cellStyle name="40% - Accent6 2 2 2 5 2" xfId="5068"/>
    <cellStyle name="40% - Accent6 2 2 2 6" xfId="5069"/>
    <cellStyle name="40% - Accent6 2 2 2 7" xfId="5070"/>
    <cellStyle name="40% - Accent6 2 2 2 8" xfId="5071"/>
    <cellStyle name="40% - Accent6 2 2 2 9" xfId="5072"/>
    <cellStyle name="40% - Accent6 2 2 3" xfId="5073"/>
    <cellStyle name="40% - Accent6 2 2 3 2" xfId="5074"/>
    <cellStyle name="40% - Accent6 2 2 3 2 2" xfId="5075"/>
    <cellStyle name="40% - Accent6 2 2 3 2 3" xfId="5076"/>
    <cellStyle name="40% - Accent6 2 2 3 3" xfId="5077"/>
    <cellStyle name="40% - Accent6 2 2 3 4" xfId="5078"/>
    <cellStyle name="40% - Accent6 2 2 3 5" xfId="5079"/>
    <cellStyle name="40% - Accent6 2 2 3 6" xfId="5080"/>
    <cellStyle name="40% - Accent6 2 2 4" xfId="5081"/>
    <cellStyle name="40% - Accent6 2 2 4 2" xfId="5082"/>
    <cellStyle name="40% - Accent6 2 2 4 2 2" xfId="5083"/>
    <cellStyle name="40% - Accent6 2 2 4 3" xfId="5084"/>
    <cellStyle name="40% - Accent6 2 2 4 4" xfId="5085"/>
    <cellStyle name="40% - Accent6 2 2 4 5" xfId="5086"/>
    <cellStyle name="40% - Accent6 2 2 5" xfId="5087"/>
    <cellStyle name="40% - Accent6 2 2 5 2" xfId="5088"/>
    <cellStyle name="40% - Accent6 2 2 5 3" xfId="5089"/>
    <cellStyle name="40% - Accent6 2 2 5 4" xfId="5090"/>
    <cellStyle name="40% - Accent6 2 2 6" xfId="5091"/>
    <cellStyle name="40% - Accent6 2 2 6 2" xfId="5092"/>
    <cellStyle name="40% - Accent6 2 2 7" xfId="5093"/>
    <cellStyle name="40% - Accent6 2 2 8" xfId="5094"/>
    <cellStyle name="40% - Accent6 2 2 9" xfId="5095"/>
    <cellStyle name="40% - Accent6 2 3" xfId="5096"/>
    <cellStyle name="40% - Accent6 2 3 2" xfId="5097"/>
    <cellStyle name="40% - Accent6 2 3 2 2" xfId="5098"/>
    <cellStyle name="40% - Accent6 2 3 2 2 2" xfId="5099"/>
    <cellStyle name="40% - Accent6 2 3 2 2 3" xfId="5100"/>
    <cellStyle name="40% - Accent6 2 3 2 3" xfId="5101"/>
    <cellStyle name="40% - Accent6 2 3 2 4" xfId="5102"/>
    <cellStyle name="40% - Accent6 2 3 2 5" xfId="5103"/>
    <cellStyle name="40% - Accent6 2 3 2 6" xfId="5104"/>
    <cellStyle name="40% - Accent6 2 3 3" xfId="5105"/>
    <cellStyle name="40% - Accent6 2 3 3 2" xfId="5106"/>
    <cellStyle name="40% - Accent6 2 3 3 2 2" xfId="5107"/>
    <cellStyle name="40% - Accent6 2 3 3 3" xfId="5108"/>
    <cellStyle name="40% - Accent6 2 3 3 4" xfId="5109"/>
    <cellStyle name="40% - Accent6 2 3 3 5" xfId="5110"/>
    <cellStyle name="40% - Accent6 2 3 4" xfId="5111"/>
    <cellStyle name="40% - Accent6 2 3 4 2" xfId="5112"/>
    <cellStyle name="40% - Accent6 2 3 4 3" xfId="5113"/>
    <cellStyle name="40% - Accent6 2 3 4 4" xfId="5114"/>
    <cellStyle name="40% - Accent6 2 3 5" xfId="5115"/>
    <cellStyle name="40% - Accent6 2 3 5 2" xfId="5116"/>
    <cellStyle name="40% - Accent6 2 3 6" xfId="5117"/>
    <cellStyle name="40% - Accent6 2 3 7" xfId="5118"/>
    <cellStyle name="40% - Accent6 2 3 8" xfId="5119"/>
    <cellStyle name="40% - Accent6 2 3 9" xfId="5120"/>
    <cellStyle name="40% - Accent6 2 4" xfId="5121"/>
    <cellStyle name="40% - Accent6 2 4 2" xfId="5122"/>
    <cellStyle name="40% - Accent6 2 4 2 2" xfId="5123"/>
    <cellStyle name="40% - Accent6 2 4 2 3" xfId="5124"/>
    <cellStyle name="40% - Accent6 2 4 3" xfId="5125"/>
    <cellStyle name="40% - Accent6 2 4 4" xfId="5126"/>
    <cellStyle name="40% - Accent6 2 4 5" xfId="5127"/>
    <cellStyle name="40% - Accent6 2 4 6" xfId="5128"/>
    <cellStyle name="40% - Accent6 2 5" xfId="5129"/>
    <cellStyle name="40% - Accent6 2 5 2" xfId="5130"/>
    <cellStyle name="40% - Accent6 2 5 2 2" xfId="5131"/>
    <cellStyle name="40% - Accent6 2 5 3" xfId="5132"/>
    <cellStyle name="40% - Accent6 2 5 4" xfId="5133"/>
    <cellStyle name="40% - Accent6 2 5 5" xfId="5134"/>
    <cellStyle name="40% - Accent6 2 6" xfId="5135"/>
    <cellStyle name="40% - Accent6 2 6 2" xfId="5136"/>
    <cellStyle name="40% - Accent6 2 6 2 2" xfId="5137"/>
    <cellStyle name="40% - Accent6 2 6 3" xfId="5138"/>
    <cellStyle name="40% - Accent6 2 6 4" xfId="5139"/>
    <cellStyle name="40% - Accent6 2 6 5" xfId="5140"/>
    <cellStyle name="40% - Accent6 2 7" xfId="5141"/>
    <cellStyle name="40% - Accent6 2 7 2" xfId="5142"/>
    <cellStyle name="40% - Accent6 2 8" xfId="5143"/>
    <cellStyle name="40% - Accent6 2 9" xfId="5144"/>
    <cellStyle name="40% - Accent6 3" xfId="5145"/>
    <cellStyle name="40% - Accent6 3 10" xfId="5146"/>
    <cellStyle name="40% - Accent6 3 2" xfId="5147"/>
    <cellStyle name="40% - Accent6 3 2 2" xfId="5148"/>
    <cellStyle name="40% - Accent6 3 2 2 2" xfId="5149"/>
    <cellStyle name="40% - Accent6 3 2 2 2 2" xfId="5150"/>
    <cellStyle name="40% - Accent6 3 2 2 2 3" xfId="5151"/>
    <cellStyle name="40% - Accent6 3 2 2 3" xfId="5152"/>
    <cellStyle name="40% - Accent6 3 2 2 4" xfId="5153"/>
    <cellStyle name="40% - Accent6 3 2 2 5" xfId="5154"/>
    <cellStyle name="40% - Accent6 3 2 2 6" xfId="5155"/>
    <cellStyle name="40% - Accent6 3 2 3" xfId="5156"/>
    <cellStyle name="40% - Accent6 3 2 3 2" xfId="5157"/>
    <cellStyle name="40% - Accent6 3 2 3 2 2" xfId="5158"/>
    <cellStyle name="40% - Accent6 3 2 3 3" xfId="5159"/>
    <cellStyle name="40% - Accent6 3 2 3 4" xfId="5160"/>
    <cellStyle name="40% - Accent6 3 2 3 5" xfId="5161"/>
    <cellStyle name="40% - Accent6 3 2 4" xfId="5162"/>
    <cellStyle name="40% - Accent6 3 2 4 2" xfId="5163"/>
    <cellStyle name="40% - Accent6 3 2 4 3" xfId="5164"/>
    <cellStyle name="40% - Accent6 3 2 4 4" xfId="5165"/>
    <cellStyle name="40% - Accent6 3 2 5" xfId="5166"/>
    <cellStyle name="40% - Accent6 3 2 5 2" xfId="5167"/>
    <cellStyle name="40% - Accent6 3 2 6" xfId="5168"/>
    <cellStyle name="40% - Accent6 3 2 7" xfId="5169"/>
    <cellStyle name="40% - Accent6 3 2 8" xfId="5170"/>
    <cellStyle name="40% - Accent6 3 2 9" xfId="5171"/>
    <cellStyle name="40% - Accent6 3 3" xfId="5172"/>
    <cellStyle name="40% - Accent6 3 3 2" xfId="5173"/>
    <cellStyle name="40% - Accent6 3 3 2 2" xfId="5174"/>
    <cellStyle name="40% - Accent6 3 3 2 3" xfId="5175"/>
    <cellStyle name="40% - Accent6 3 3 3" xfId="5176"/>
    <cellStyle name="40% - Accent6 3 3 4" xfId="5177"/>
    <cellStyle name="40% - Accent6 3 3 5" xfId="5178"/>
    <cellStyle name="40% - Accent6 3 3 6" xfId="5179"/>
    <cellStyle name="40% - Accent6 3 4" xfId="5180"/>
    <cellStyle name="40% - Accent6 3 4 2" xfId="5181"/>
    <cellStyle name="40% - Accent6 3 4 2 2" xfId="5182"/>
    <cellStyle name="40% - Accent6 3 4 3" xfId="5183"/>
    <cellStyle name="40% - Accent6 3 4 4" xfId="5184"/>
    <cellStyle name="40% - Accent6 3 4 5" xfId="5185"/>
    <cellStyle name="40% - Accent6 3 5" xfId="5186"/>
    <cellStyle name="40% - Accent6 3 5 2" xfId="5187"/>
    <cellStyle name="40% - Accent6 3 5 2 2" xfId="5188"/>
    <cellStyle name="40% - Accent6 3 5 3" xfId="5189"/>
    <cellStyle name="40% - Accent6 3 5 4" xfId="5190"/>
    <cellStyle name="40% - Accent6 3 5 5" xfId="5191"/>
    <cellStyle name="40% - Accent6 3 6" xfId="5192"/>
    <cellStyle name="40% - Accent6 3 6 2" xfId="5193"/>
    <cellStyle name="40% - Accent6 3 7" xfId="5194"/>
    <cellStyle name="40% - Accent6 3 8" xfId="5195"/>
    <cellStyle name="40% - Accent6 3 9" xfId="5196"/>
    <cellStyle name="40% - Accent6 4" xfId="5197"/>
    <cellStyle name="40% - Accent6 4 10" xfId="5198"/>
    <cellStyle name="40% - Accent6 4 2" xfId="5199"/>
    <cellStyle name="40% - Accent6 4 2 2" xfId="5200"/>
    <cellStyle name="40% - Accent6 4 2 2 2" xfId="5201"/>
    <cellStyle name="40% - Accent6 4 2 2 2 2" xfId="5202"/>
    <cellStyle name="40% - Accent6 4 2 2 2 3" xfId="5203"/>
    <cellStyle name="40% - Accent6 4 2 2 3" xfId="5204"/>
    <cellStyle name="40% - Accent6 4 2 2 4" xfId="5205"/>
    <cellStyle name="40% - Accent6 4 2 2 5" xfId="5206"/>
    <cellStyle name="40% - Accent6 4 2 2 6" xfId="5207"/>
    <cellStyle name="40% - Accent6 4 2 3" xfId="5208"/>
    <cellStyle name="40% - Accent6 4 2 3 2" xfId="5209"/>
    <cellStyle name="40% - Accent6 4 2 3 2 2" xfId="5210"/>
    <cellStyle name="40% - Accent6 4 2 3 3" xfId="5211"/>
    <cellStyle name="40% - Accent6 4 2 3 4" xfId="5212"/>
    <cellStyle name="40% - Accent6 4 2 3 5" xfId="5213"/>
    <cellStyle name="40% - Accent6 4 2 4" xfId="5214"/>
    <cellStyle name="40% - Accent6 4 2 4 2" xfId="5215"/>
    <cellStyle name="40% - Accent6 4 2 4 3" xfId="5216"/>
    <cellStyle name="40% - Accent6 4 2 4 4" xfId="5217"/>
    <cellStyle name="40% - Accent6 4 2 5" xfId="5218"/>
    <cellStyle name="40% - Accent6 4 2 5 2" xfId="5219"/>
    <cellStyle name="40% - Accent6 4 2 6" xfId="5220"/>
    <cellStyle name="40% - Accent6 4 2 7" xfId="5221"/>
    <cellStyle name="40% - Accent6 4 2 8" xfId="5222"/>
    <cellStyle name="40% - Accent6 4 2 9" xfId="5223"/>
    <cellStyle name="40% - Accent6 4 3" xfId="5224"/>
    <cellStyle name="40% - Accent6 4 3 2" xfId="5225"/>
    <cellStyle name="40% - Accent6 4 3 2 2" xfId="5226"/>
    <cellStyle name="40% - Accent6 4 3 2 3" xfId="5227"/>
    <cellStyle name="40% - Accent6 4 3 3" xfId="5228"/>
    <cellStyle name="40% - Accent6 4 3 4" xfId="5229"/>
    <cellStyle name="40% - Accent6 4 3 5" xfId="5230"/>
    <cellStyle name="40% - Accent6 4 3 6" xfId="5231"/>
    <cellStyle name="40% - Accent6 4 4" xfId="5232"/>
    <cellStyle name="40% - Accent6 4 4 2" xfId="5233"/>
    <cellStyle name="40% - Accent6 4 4 2 2" xfId="5234"/>
    <cellStyle name="40% - Accent6 4 4 3" xfId="5235"/>
    <cellStyle name="40% - Accent6 4 4 4" xfId="5236"/>
    <cellStyle name="40% - Accent6 4 4 5" xfId="5237"/>
    <cellStyle name="40% - Accent6 4 5" xfId="5238"/>
    <cellStyle name="40% - Accent6 4 5 2" xfId="5239"/>
    <cellStyle name="40% - Accent6 4 5 2 2" xfId="5240"/>
    <cellStyle name="40% - Accent6 4 5 3" xfId="5241"/>
    <cellStyle name="40% - Accent6 4 5 4" xfId="5242"/>
    <cellStyle name="40% - Accent6 4 5 5" xfId="5243"/>
    <cellStyle name="40% - Accent6 4 6" xfId="5244"/>
    <cellStyle name="40% - Accent6 4 6 2" xfId="5245"/>
    <cellStyle name="40% - Accent6 4 7" xfId="5246"/>
    <cellStyle name="40% - Accent6 4 8" xfId="5247"/>
    <cellStyle name="40% - Accent6 4 9" xfId="5248"/>
    <cellStyle name="40% - Accent6 5" xfId="5249"/>
    <cellStyle name="40% - Accent6 5 10" xfId="5250"/>
    <cellStyle name="40% - Accent6 5 2" xfId="5251"/>
    <cellStyle name="40% - Accent6 5 2 2" xfId="5252"/>
    <cellStyle name="40% - Accent6 5 2 2 2" xfId="5253"/>
    <cellStyle name="40% - Accent6 5 2 2 2 2" xfId="5254"/>
    <cellStyle name="40% - Accent6 5 2 2 2 3" xfId="5255"/>
    <cellStyle name="40% - Accent6 5 2 2 3" xfId="5256"/>
    <cellStyle name="40% - Accent6 5 2 2 4" xfId="5257"/>
    <cellStyle name="40% - Accent6 5 2 2 5" xfId="5258"/>
    <cellStyle name="40% - Accent6 5 2 2 6" xfId="5259"/>
    <cellStyle name="40% - Accent6 5 2 3" xfId="5260"/>
    <cellStyle name="40% - Accent6 5 2 3 2" xfId="5261"/>
    <cellStyle name="40% - Accent6 5 2 3 2 2" xfId="5262"/>
    <cellStyle name="40% - Accent6 5 2 3 3" xfId="5263"/>
    <cellStyle name="40% - Accent6 5 2 3 4" xfId="5264"/>
    <cellStyle name="40% - Accent6 5 2 3 5" xfId="5265"/>
    <cellStyle name="40% - Accent6 5 2 4" xfId="5266"/>
    <cellStyle name="40% - Accent6 5 2 4 2" xfId="5267"/>
    <cellStyle name="40% - Accent6 5 2 4 3" xfId="5268"/>
    <cellStyle name="40% - Accent6 5 2 4 4" xfId="5269"/>
    <cellStyle name="40% - Accent6 5 2 5" xfId="5270"/>
    <cellStyle name="40% - Accent6 5 2 5 2" xfId="5271"/>
    <cellStyle name="40% - Accent6 5 2 6" xfId="5272"/>
    <cellStyle name="40% - Accent6 5 2 7" xfId="5273"/>
    <cellStyle name="40% - Accent6 5 2 8" xfId="5274"/>
    <cellStyle name="40% - Accent6 5 2 9" xfId="5275"/>
    <cellStyle name="40% - Accent6 5 3" xfId="5276"/>
    <cellStyle name="40% - Accent6 5 3 2" xfId="5277"/>
    <cellStyle name="40% - Accent6 5 3 2 2" xfId="5278"/>
    <cellStyle name="40% - Accent6 5 3 2 3" xfId="5279"/>
    <cellStyle name="40% - Accent6 5 3 3" xfId="5280"/>
    <cellStyle name="40% - Accent6 5 3 4" xfId="5281"/>
    <cellStyle name="40% - Accent6 5 3 5" xfId="5282"/>
    <cellStyle name="40% - Accent6 5 3 6" xfId="5283"/>
    <cellStyle name="40% - Accent6 5 4" xfId="5284"/>
    <cellStyle name="40% - Accent6 5 4 2" xfId="5285"/>
    <cellStyle name="40% - Accent6 5 4 2 2" xfId="5286"/>
    <cellStyle name="40% - Accent6 5 4 3" xfId="5287"/>
    <cellStyle name="40% - Accent6 5 4 4" xfId="5288"/>
    <cellStyle name="40% - Accent6 5 4 5" xfId="5289"/>
    <cellStyle name="40% - Accent6 5 5" xfId="5290"/>
    <cellStyle name="40% - Accent6 5 5 2" xfId="5291"/>
    <cellStyle name="40% - Accent6 5 5 3" xfId="5292"/>
    <cellStyle name="40% - Accent6 5 5 4" xfId="5293"/>
    <cellStyle name="40% - Accent6 5 6" xfId="5294"/>
    <cellStyle name="40% - Accent6 5 6 2" xfId="5295"/>
    <cellStyle name="40% - Accent6 5 7" xfId="5296"/>
    <cellStyle name="40% - Accent6 5 8" xfId="5297"/>
    <cellStyle name="40% - Accent6 5 9" xfId="5298"/>
    <cellStyle name="40% - Accent6 6" xfId="5299"/>
    <cellStyle name="40% - Accent6 6 10" xfId="5300"/>
    <cellStyle name="40% - Accent6 6 2" xfId="5301"/>
    <cellStyle name="40% - Accent6 6 2 2" xfId="5302"/>
    <cellStyle name="40% - Accent6 6 2 2 2" xfId="5303"/>
    <cellStyle name="40% - Accent6 6 2 2 2 2" xfId="5304"/>
    <cellStyle name="40% - Accent6 6 2 2 2 3" xfId="5305"/>
    <cellStyle name="40% - Accent6 6 2 2 3" xfId="5306"/>
    <cellStyle name="40% - Accent6 6 2 2 4" xfId="5307"/>
    <cellStyle name="40% - Accent6 6 2 2 5" xfId="5308"/>
    <cellStyle name="40% - Accent6 6 2 2 6" xfId="5309"/>
    <cellStyle name="40% - Accent6 6 2 3" xfId="5310"/>
    <cellStyle name="40% - Accent6 6 2 3 2" xfId="5311"/>
    <cellStyle name="40% - Accent6 6 2 3 2 2" xfId="5312"/>
    <cellStyle name="40% - Accent6 6 2 3 3" xfId="5313"/>
    <cellStyle name="40% - Accent6 6 2 3 4" xfId="5314"/>
    <cellStyle name="40% - Accent6 6 2 3 5" xfId="5315"/>
    <cellStyle name="40% - Accent6 6 2 4" xfId="5316"/>
    <cellStyle name="40% - Accent6 6 2 4 2" xfId="5317"/>
    <cellStyle name="40% - Accent6 6 2 4 3" xfId="5318"/>
    <cellStyle name="40% - Accent6 6 2 4 4" xfId="5319"/>
    <cellStyle name="40% - Accent6 6 2 5" xfId="5320"/>
    <cellStyle name="40% - Accent6 6 2 5 2" xfId="5321"/>
    <cellStyle name="40% - Accent6 6 2 6" xfId="5322"/>
    <cellStyle name="40% - Accent6 6 2 7" xfId="5323"/>
    <cellStyle name="40% - Accent6 6 2 8" xfId="5324"/>
    <cellStyle name="40% - Accent6 6 2 9" xfId="5325"/>
    <cellStyle name="40% - Accent6 6 3" xfId="5326"/>
    <cellStyle name="40% - Accent6 6 3 2" xfId="5327"/>
    <cellStyle name="40% - Accent6 6 3 2 2" xfId="5328"/>
    <cellStyle name="40% - Accent6 6 3 2 3" xfId="5329"/>
    <cellStyle name="40% - Accent6 6 3 3" xfId="5330"/>
    <cellStyle name="40% - Accent6 6 3 4" xfId="5331"/>
    <cellStyle name="40% - Accent6 6 3 5" xfId="5332"/>
    <cellStyle name="40% - Accent6 6 3 6" xfId="5333"/>
    <cellStyle name="40% - Accent6 6 4" xfId="5334"/>
    <cellStyle name="40% - Accent6 6 4 2" xfId="5335"/>
    <cellStyle name="40% - Accent6 6 4 2 2" xfId="5336"/>
    <cellStyle name="40% - Accent6 6 4 3" xfId="5337"/>
    <cellStyle name="40% - Accent6 6 4 4" xfId="5338"/>
    <cellStyle name="40% - Accent6 6 4 5" xfId="5339"/>
    <cellStyle name="40% - Accent6 6 5" xfId="5340"/>
    <cellStyle name="40% - Accent6 6 5 2" xfId="5341"/>
    <cellStyle name="40% - Accent6 6 5 3" xfId="5342"/>
    <cellStyle name="40% - Accent6 6 5 4" xfId="5343"/>
    <cellStyle name="40% - Accent6 6 6" xfId="5344"/>
    <cellStyle name="40% - Accent6 6 6 2" xfId="5345"/>
    <cellStyle name="40% - Accent6 6 7" xfId="5346"/>
    <cellStyle name="40% - Accent6 6 8" xfId="5347"/>
    <cellStyle name="40% - Accent6 6 9" xfId="5348"/>
    <cellStyle name="40% - Accent6 7" xfId="5349"/>
    <cellStyle name="40% - Accent6 7 2" xfId="5350"/>
    <cellStyle name="40% - Accent6 7 2 2" xfId="5351"/>
    <cellStyle name="40% - Accent6 7 2 2 2" xfId="5352"/>
    <cellStyle name="40% - Accent6 7 2 2 3" xfId="5353"/>
    <cellStyle name="40% - Accent6 7 2 3" xfId="5354"/>
    <cellStyle name="40% - Accent6 7 2 4" xfId="5355"/>
    <cellStyle name="40% - Accent6 7 2 5" xfId="5356"/>
    <cellStyle name="40% - Accent6 7 2 6" xfId="5357"/>
    <cellStyle name="40% - Accent6 7 3" xfId="5358"/>
    <cellStyle name="40% - Accent6 7 3 2" xfId="5359"/>
    <cellStyle name="40% - Accent6 7 3 2 2" xfId="5360"/>
    <cellStyle name="40% - Accent6 7 3 3" xfId="5361"/>
    <cellStyle name="40% - Accent6 7 3 4" xfId="5362"/>
    <cellStyle name="40% - Accent6 7 3 5" xfId="5363"/>
    <cellStyle name="40% - Accent6 7 4" xfId="5364"/>
    <cellStyle name="40% - Accent6 7 4 2" xfId="5365"/>
    <cellStyle name="40% - Accent6 7 4 3" xfId="5366"/>
    <cellStyle name="40% - Accent6 7 4 4" xfId="5367"/>
    <cellStyle name="40% - Accent6 7 5" xfId="5368"/>
    <cellStyle name="40% - Accent6 7 5 2" xfId="5369"/>
    <cellStyle name="40% - Accent6 7 6" xfId="5370"/>
    <cellStyle name="40% - Accent6 7 7" xfId="5371"/>
    <cellStyle name="40% - Accent6 7 8" xfId="5372"/>
    <cellStyle name="40% - Accent6 7 9" xfId="5373"/>
    <cellStyle name="40% - Accent6 8" xfId="5374"/>
    <cellStyle name="40% - Accent6 8 2" xfId="5375"/>
    <cellStyle name="40% - Accent6 8 2 2" xfId="5376"/>
    <cellStyle name="40% - Accent6 8 2 2 2" xfId="5377"/>
    <cellStyle name="40% - Accent6 8 2 2 3" xfId="5378"/>
    <cellStyle name="40% - Accent6 8 2 3" xfId="5379"/>
    <cellStyle name="40% - Accent6 8 2 4" xfId="5380"/>
    <cellStyle name="40% - Accent6 8 2 5" xfId="5381"/>
    <cellStyle name="40% - Accent6 8 2 6" xfId="5382"/>
    <cellStyle name="40% - Accent6 8 3" xfId="5383"/>
    <cellStyle name="40% - Accent6 8 3 2" xfId="5384"/>
    <cellStyle name="40% - Accent6 8 3 2 2" xfId="5385"/>
    <cellStyle name="40% - Accent6 8 3 3" xfId="5386"/>
    <cellStyle name="40% - Accent6 8 3 4" xfId="5387"/>
    <cellStyle name="40% - Accent6 8 3 5" xfId="5388"/>
    <cellStyle name="40% - Accent6 8 4" xfId="5389"/>
    <cellStyle name="40% - Accent6 8 4 2" xfId="5390"/>
    <cellStyle name="40% - Accent6 8 4 3" xfId="5391"/>
    <cellStyle name="40% - Accent6 8 4 4" xfId="5392"/>
    <cellStyle name="40% - Accent6 8 5" xfId="5393"/>
    <cellStyle name="40% - Accent6 8 5 2" xfId="5394"/>
    <cellStyle name="40% - Accent6 8 6" xfId="5395"/>
    <cellStyle name="40% - Accent6 8 7" xfId="5396"/>
    <cellStyle name="40% - Accent6 8 8" xfId="5397"/>
    <cellStyle name="40% - Accent6 8 9" xfId="5398"/>
    <cellStyle name="40% - Accent6 9" xfId="5399"/>
    <cellStyle name="40% - Accent6 9 2" xfId="5400"/>
    <cellStyle name="40% - Accent6 9 2 2" xfId="5401"/>
    <cellStyle name="40% - Accent6 9 2 2 2" xfId="5402"/>
    <cellStyle name="40% - Accent6 9 2 3" xfId="5403"/>
    <cellStyle name="40% - Accent6 9 2 4" xfId="5404"/>
    <cellStyle name="40% - Accent6 9 2 5" xfId="5405"/>
    <cellStyle name="40% - Accent6 9 3" xfId="5406"/>
    <cellStyle name="40% - Accent6 9 3 2" xfId="5407"/>
    <cellStyle name="40% - Accent6 9 3 3" xfId="5408"/>
    <cellStyle name="40% - Accent6 9 3 4" xfId="5409"/>
    <cellStyle name="40% - Accent6 9 4" xfId="5410"/>
    <cellStyle name="40% - Accent6 9 4 2" xfId="5411"/>
    <cellStyle name="40% - Accent6 9 5" xfId="5412"/>
    <cellStyle name="40% - Accent6 9 6" xfId="5413"/>
    <cellStyle name="40% - Accent6 9 7" xfId="5414"/>
    <cellStyle name="40% - Accent6 9 8" xfId="5415"/>
    <cellStyle name="C00A" xfId="5416"/>
    <cellStyle name="C00B" xfId="5417"/>
    <cellStyle name="C00L" xfId="5418"/>
    <cellStyle name="C01A" xfId="5419"/>
    <cellStyle name="C01B" xfId="5420"/>
    <cellStyle name="C01H" xfId="5421"/>
    <cellStyle name="C01L" xfId="5422"/>
    <cellStyle name="C02A" xfId="5423"/>
    <cellStyle name="C02B" xfId="5424"/>
    <cellStyle name="C02H" xfId="5425"/>
    <cellStyle name="C02L" xfId="5426"/>
    <cellStyle name="C03A" xfId="5427"/>
    <cellStyle name="C03B" xfId="5428"/>
    <cellStyle name="C03H" xfId="5429"/>
    <cellStyle name="C03L" xfId="5430"/>
    <cellStyle name="C04A" xfId="5431"/>
    <cellStyle name="C04B" xfId="5432"/>
    <cellStyle name="C04H" xfId="5433"/>
    <cellStyle name="C04L" xfId="5434"/>
    <cellStyle name="C05A" xfId="5435"/>
    <cellStyle name="C05B" xfId="5436"/>
    <cellStyle name="C05H" xfId="5437"/>
    <cellStyle name="C05L" xfId="5438"/>
    <cellStyle name="C06A" xfId="5439"/>
    <cellStyle name="C06B" xfId="5440"/>
    <cellStyle name="C06H" xfId="5441"/>
    <cellStyle name="C06L" xfId="5442"/>
    <cellStyle name="C07A" xfId="5443"/>
    <cellStyle name="C07B" xfId="5444"/>
    <cellStyle name="C07H" xfId="5445"/>
    <cellStyle name="C07L" xfId="5446"/>
    <cellStyle name="Comma" xfId="1" builtinId="3"/>
    <cellStyle name="Comma 10" xfId="5447"/>
    <cellStyle name="Comma 11" xfId="5448"/>
    <cellStyle name="Comma 12" xfId="5449"/>
    <cellStyle name="Comma 13" xfId="5450"/>
    <cellStyle name="Comma 14" xfId="5451"/>
    <cellStyle name="Comma 15" xfId="5452"/>
    <cellStyle name="Comma 16" xfId="5453"/>
    <cellStyle name="Comma 17" xfId="5454"/>
    <cellStyle name="Comma 18" xfId="5455"/>
    <cellStyle name="Comma 19" xfId="5456"/>
    <cellStyle name="Comma 2" xfId="5457"/>
    <cellStyle name="Comma 2 10" xfId="5458"/>
    <cellStyle name="Comma 2 10 10" xfId="5459"/>
    <cellStyle name="Comma 2 10 11" xfId="5460"/>
    <cellStyle name="Comma 2 10 2" xfId="5461"/>
    <cellStyle name="Comma 2 10 2 2" xfId="5462"/>
    <cellStyle name="Comma 2 10 2 2 2" xfId="5463"/>
    <cellStyle name="Comma 2 10 2 2 2 2" xfId="5464"/>
    <cellStyle name="Comma 2 10 2 2 2 3" xfId="5465"/>
    <cellStyle name="Comma 2 10 2 2 3" xfId="5466"/>
    <cellStyle name="Comma 2 10 2 2 4" xfId="5467"/>
    <cellStyle name="Comma 2 10 2 2 5" xfId="5468"/>
    <cellStyle name="Comma 2 10 2 2 6" xfId="5469"/>
    <cellStyle name="Comma 2 10 2 3" xfId="5470"/>
    <cellStyle name="Comma 2 10 2 3 2" xfId="5471"/>
    <cellStyle name="Comma 2 10 2 3 2 2" xfId="5472"/>
    <cellStyle name="Comma 2 10 2 3 3" xfId="5473"/>
    <cellStyle name="Comma 2 10 2 3 4" xfId="5474"/>
    <cellStyle name="Comma 2 10 2 3 5" xfId="5475"/>
    <cellStyle name="Comma 2 10 2 4" xfId="5476"/>
    <cellStyle name="Comma 2 10 2 4 2" xfId="5477"/>
    <cellStyle name="Comma 2 10 2 4 3" xfId="5478"/>
    <cellStyle name="Comma 2 10 2 4 4" xfId="5479"/>
    <cellStyle name="Comma 2 10 2 5" xfId="5480"/>
    <cellStyle name="Comma 2 10 2 5 2" xfId="5481"/>
    <cellStyle name="Comma 2 10 2 6" xfId="5482"/>
    <cellStyle name="Comma 2 10 2 7" xfId="5483"/>
    <cellStyle name="Comma 2 10 2 8" xfId="5484"/>
    <cellStyle name="Comma 2 10 2 9" xfId="5485"/>
    <cellStyle name="Comma 2 10 3" xfId="5486"/>
    <cellStyle name="Comma 2 10 3 2" xfId="5487"/>
    <cellStyle name="Comma 2 10 3 2 2" xfId="5488"/>
    <cellStyle name="Comma 2 10 3 2 2 2" xfId="5489"/>
    <cellStyle name="Comma 2 10 3 2 2 3" xfId="5490"/>
    <cellStyle name="Comma 2 10 3 2 3" xfId="5491"/>
    <cellStyle name="Comma 2 10 3 2 4" xfId="5492"/>
    <cellStyle name="Comma 2 10 3 2 5" xfId="5493"/>
    <cellStyle name="Comma 2 10 3 2 6" xfId="5494"/>
    <cellStyle name="Comma 2 10 3 3" xfId="5495"/>
    <cellStyle name="Comma 2 10 3 3 2" xfId="5496"/>
    <cellStyle name="Comma 2 10 3 3 2 2" xfId="5497"/>
    <cellStyle name="Comma 2 10 3 3 3" xfId="5498"/>
    <cellStyle name="Comma 2 10 3 3 4" xfId="5499"/>
    <cellStyle name="Comma 2 10 3 3 5" xfId="5500"/>
    <cellStyle name="Comma 2 10 3 4" xfId="5501"/>
    <cellStyle name="Comma 2 10 3 4 2" xfId="5502"/>
    <cellStyle name="Comma 2 10 3 4 3" xfId="5503"/>
    <cellStyle name="Comma 2 10 3 4 4" xfId="5504"/>
    <cellStyle name="Comma 2 10 3 5" xfId="5505"/>
    <cellStyle name="Comma 2 10 3 5 2" xfId="5506"/>
    <cellStyle name="Comma 2 10 3 6" xfId="5507"/>
    <cellStyle name="Comma 2 10 3 7" xfId="5508"/>
    <cellStyle name="Comma 2 10 3 8" xfId="5509"/>
    <cellStyle name="Comma 2 10 3 9" xfId="5510"/>
    <cellStyle name="Comma 2 10 4" xfId="5511"/>
    <cellStyle name="Comma 2 10 4 2" xfId="5512"/>
    <cellStyle name="Comma 2 10 4 2 2" xfId="5513"/>
    <cellStyle name="Comma 2 10 4 2 3" xfId="5514"/>
    <cellStyle name="Comma 2 10 4 3" xfId="5515"/>
    <cellStyle name="Comma 2 10 4 4" xfId="5516"/>
    <cellStyle name="Comma 2 10 4 5" xfId="5517"/>
    <cellStyle name="Comma 2 10 4 6" xfId="5518"/>
    <cellStyle name="Comma 2 10 5" xfId="5519"/>
    <cellStyle name="Comma 2 10 5 2" xfId="5520"/>
    <cellStyle name="Comma 2 10 5 2 2" xfId="5521"/>
    <cellStyle name="Comma 2 10 5 3" xfId="5522"/>
    <cellStyle name="Comma 2 10 5 4" xfId="5523"/>
    <cellStyle name="Comma 2 10 5 5" xfId="5524"/>
    <cellStyle name="Comma 2 10 5 6" xfId="5525"/>
    <cellStyle name="Comma 2 10 6" xfId="5526"/>
    <cellStyle name="Comma 2 10 6 2" xfId="5527"/>
    <cellStyle name="Comma 2 10 6 3" xfId="5528"/>
    <cellStyle name="Comma 2 10 6 4" xfId="5529"/>
    <cellStyle name="Comma 2 10 6 5" xfId="5530"/>
    <cellStyle name="Comma 2 10 7" xfId="5531"/>
    <cellStyle name="Comma 2 10 7 2" xfId="5532"/>
    <cellStyle name="Comma 2 10 7 3" xfId="5533"/>
    <cellStyle name="Comma 2 10 8" xfId="5534"/>
    <cellStyle name="Comma 2 10 9" xfId="5535"/>
    <cellStyle name="Comma 2 11" xfId="5536"/>
    <cellStyle name="Comma 2 11 10" xfId="5537"/>
    <cellStyle name="Comma 2 11 11" xfId="5538"/>
    <cellStyle name="Comma 2 11 2" xfId="5539"/>
    <cellStyle name="Comma 2 11 2 2" xfId="5540"/>
    <cellStyle name="Comma 2 11 2 2 2" xfId="5541"/>
    <cellStyle name="Comma 2 11 2 2 2 2" xfId="5542"/>
    <cellStyle name="Comma 2 11 2 2 2 3" xfId="5543"/>
    <cellStyle name="Comma 2 11 2 2 3" xfId="5544"/>
    <cellStyle name="Comma 2 11 2 2 4" xfId="5545"/>
    <cellStyle name="Comma 2 11 2 2 5" xfId="5546"/>
    <cellStyle name="Comma 2 11 2 2 6" xfId="5547"/>
    <cellStyle name="Comma 2 11 2 3" xfId="5548"/>
    <cellStyle name="Comma 2 11 2 3 2" xfId="5549"/>
    <cellStyle name="Comma 2 11 2 3 2 2" xfId="5550"/>
    <cellStyle name="Comma 2 11 2 3 3" xfId="5551"/>
    <cellStyle name="Comma 2 11 2 3 4" xfId="5552"/>
    <cellStyle name="Comma 2 11 2 3 5" xfId="5553"/>
    <cellStyle name="Comma 2 11 2 4" xfId="5554"/>
    <cellStyle name="Comma 2 11 2 4 2" xfId="5555"/>
    <cellStyle name="Comma 2 11 2 4 3" xfId="5556"/>
    <cellStyle name="Comma 2 11 2 4 4" xfId="5557"/>
    <cellStyle name="Comma 2 11 2 5" xfId="5558"/>
    <cellStyle name="Comma 2 11 2 5 2" xfId="5559"/>
    <cellStyle name="Comma 2 11 2 6" xfId="5560"/>
    <cellStyle name="Comma 2 11 2 7" xfId="5561"/>
    <cellStyle name="Comma 2 11 2 8" xfId="5562"/>
    <cellStyle name="Comma 2 11 2 9" xfId="5563"/>
    <cellStyle name="Comma 2 11 3" xfId="5564"/>
    <cellStyle name="Comma 2 11 3 2" xfId="5565"/>
    <cellStyle name="Comma 2 11 3 2 2" xfId="5566"/>
    <cellStyle name="Comma 2 11 3 2 2 2" xfId="5567"/>
    <cellStyle name="Comma 2 11 3 2 2 3" xfId="5568"/>
    <cellStyle name="Comma 2 11 3 2 3" xfId="5569"/>
    <cellStyle name="Comma 2 11 3 2 4" xfId="5570"/>
    <cellStyle name="Comma 2 11 3 2 5" xfId="5571"/>
    <cellStyle name="Comma 2 11 3 2 6" xfId="5572"/>
    <cellStyle name="Comma 2 11 3 3" xfId="5573"/>
    <cellStyle name="Comma 2 11 3 3 2" xfId="5574"/>
    <cellStyle name="Comma 2 11 3 3 2 2" xfId="5575"/>
    <cellStyle name="Comma 2 11 3 3 3" xfId="5576"/>
    <cellStyle name="Comma 2 11 3 3 4" xfId="5577"/>
    <cellStyle name="Comma 2 11 3 3 5" xfId="5578"/>
    <cellStyle name="Comma 2 11 3 4" xfId="5579"/>
    <cellStyle name="Comma 2 11 3 4 2" xfId="5580"/>
    <cellStyle name="Comma 2 11 3 4 3" xfId="5581"/>
    <cellStyle name="Comma 2 11 3 4 4" xfId="5582"/>
    <cellStyle name="Comma 2 11 3 5" xfId="5583"/>
    <cellStyle name="Comma 2 11 3 5 2" xfId="5584"/>
    <cellStyle name="Comma 2 11 3 6" xfId="5585"/>
    <cellStyle name="Comma 2 11 3 7" xfId="5586"/>
    <cellStyle name="Comma 2 11 3 8" xfId="5587"/>
    <cellStyle name="Comma 2 11 3 9" xfId="5588"/>
    <cellStyle name="Comma 2 11 4" xfId="5589"/>
    <cellStyle name="Comma 2 11 4 2" xfId="5590"/>
    <cellStyle name="Comma 2 11 4 2 2" xfId="5591"/>
    <cellStyle name="Comma 2 11 4 2 3" xfId="5592"/>
    <cellStyle name="Comma 2 11 4 3" xfId="5593"/>
    <cellStyle name="Comma 2 11 4 4" xfId="5594"/>
    <cellStyle name="Comma 2 11 4 5" xfId="5595"/>
    <cellStyle name="Comma 2 11 4 6" xfId="5596"/>
    <cellStyle name="Comma 2 11 5" xfId="5597"/>
    <cellStyle name="Comma 2 11 5 2" xfId="5598"/>
    <cellStyle name="Comma 2 11 5 2 2" xfId="5599"/>
    <cellStyle name="Comma 2 11 5 3" xfId="5600"/>
    <cellStyle name="Comma 2 11 5 4" xfId="5601"/>
    <cellStyle name="Comma 2 11 5 5" xfId="5602"/>
    <cellStyle name="Comma 2 11 5 6" xfId="5603"/>
    <cellStyle name="Comma 2 11 6" xfId="5604"/>
    <cellStyle name="Comma 2 11 6 2" xfId="5605"/>
    <cellStyle name="Comma 2 11 6 3" xfId="5606"/>
    <cellStyle name="Comma 2 11 6 4" xfId="5607"/>
    <cellStyle name="Comma 2 11 6 5" xfId="5608"/>
    <cellStyle name="Comma 2 11 7" xfId="5609"/>
    <cellStyle name="Comma 2 11 7 2" xfId="5610"/>
    <cellStyle name="Comma 2 11 7 3" xfId="5611"/>
    <cellStyle name="Comma 2 11 8" xfId="5612"/>
    <cellStyle name="Comma 2 11 9" xfId="5613"/>
    <cellStyle name="Comma 2 12" xfId="5614"/>
    <cellStyle name="Comma 2 12 10" xfId="5615"/>
    <cellStyle name="Comma 2 12 11" xfId="5616"/>
    <cellStyle name="Comma 2 12 12" xfId="5617"/>
    <cellStyle name="Comma 2 12 13" xfId="5618"/>
    <cellStyle name="Comma 2 12 14" xfId="5619"/>
    <cellStyle name="Comma 2 12 15" xfId="5620"/>
    <cellStyle name="Comma 2 12 16" xfId="5621"/>
    <cellStyle name="Comma 2 12 17" xfId="5622"/>
    <cellStyle name="Comma 2 12 18" xfId="5623"/>
    <cellStyle name="Comma 2 12 19" xfId="5624"/>
    <cellStyle name="Comma 2 12 2" xfId="5625"/>
    <cellStyle name="Comma 2 12 2 2" xfId="5626"/>
    <cellStyle name="Comma 2 12 2 2 2" xfId="5627"/>
    <cellStyle name="Comma 2 12 2 2 2 2" xfId="5628"/>
    <cellStyle name="Comma 2 12 2 2 2 3" xfId="5629"/>
    <cellStyle name="Comma 2 12 2 2 3" xfId="5630"/>
    <cellStyle name="Comma 2 12 2 2 4" xfId="5631"/>
    <cellStyle name="Comma 2 12 2 2 5" xfId="5632"/>
    <cellStyle name="Comma 2 12 2 2 6" xfId="5633"/>
    <cellStyle name="Comma 2 12 2 3" xfId="5634"/>
    <cellStyle name="Comma 2 12 2 3 2" xfId="5635"/>
    <cellStyle name="Comma 2 12 2 3 2 2" xfId="5636"/>
    <cellStyle name="Comma 2 12 2 3 3" xfId="5637"/>
    <cellStyle name="Comma 2 12 2 3 4" xfId="5638"/>
    <cellStyle name="Comma 2 12 2 3 5" xfId="5639"/>
    <cellStyle name="Comma 2 12 2 4" xfId="5640"/>
    <cellStyle name="Comma 2 12 2 4 2" xfId="5641"/>
    <cellStyle name="Comma 2 12 2 4 3" xfId="5642"/>
    <cellStyle name="Comma 2 12 2 4 4" xfId="5643"/>
    <cellStyle name="Comma 2 12 2 5" xfId="5644"/>
    <cellStyle name="Comma 2 12 2 5 2" xfId="5645"/>
    <cellStyle name="Comma 2 12 2 6" xfId="5646"/>
    <cellStyle name="Comma 2 12 2 7" xfId="5647"/>
    <cellStyle name="Comma 2 12 2 8" xfId="5648"/>
    <cellStyle name="Comma 2 12 2 9" xfId="5649"/>
    <cellStyle name="Comma 2 12 20" xfId="5650"/>
    <cellStyle name="Comma 2 12 21" xfId="5651"/>
    <cellStyle name="Comma 2 12 22" xfId="5652"/>
    <cellStyle name="Comma 2 12 23" xfId="5653"/>
    <cellStyle name="Comma 2 12 24" xfId="5654"/>
    <cellStyle name="Comma 2 12 25" xfId="5655"/>
    <cellStyle name="Comma 2 12 26" xfId="5656"/>
    <cellStyle name="Comma 2 12 27" xfId="5657"/>
    <cellStyle name="Comma 2 12 28" xfId="5658"/>
    <cellStyle name="Comma 2 12 29" xfId="5659"/>
    <cellStyle name="Comma 2 12 3" xfId="5660"/>
    <cellStyle name="Comma 2 12 3 2" xfId="5661"/>
    <cellStyle name="Comma 2 12 3 2 2" xfId="5662"/>
    <cellStyle name="Comma 2 12 3 2 2 2" xfId="5663"/>
    <cellStyle name="Comma 2 12 3 2 2 3" xfId="5664"/>
    <cellStyle name="Comma 2 12 3 2 3" xfId="5665"/>
    <cellStyle name="Comma 2 12 3 2 4" xfId="5666"/>
    <cellStyle name="Comma 2 12 3 2 5" xfId="5667"/>
    <cellStyle name="Comma 2 12 3 2 6" xfId="5668"/>
    <cellStyle name="Comma 2 12 3 3" xfId="5669"/>
    <cellStyle name="Comma 2 12 3 3 2" xfId="5670"/>
    <cellStyle name="Comma 2 12 3 3 2 2" xfId="5671"/>
    <cellStyle name="Comma 2 12 3 3 3" xfId="5672"/>
    <cellStyle name="Comma 2 12 3 3 4" xfId="5673"/>
    <cellStyle name="Comma 2 12 3 3 5" xfId="5674"/>
    <cellStyle name="Comma 2 12 3 4" xfId="5675"/>
    <cellStyle name="Comma 2 12 3 4 2" xfId="5676"/>
    <cellStyle name="Comma 2 12 3 4 3" xfId="5677"/>
    <cellStyle name="Comma 2 12 3 4 4" xfId="5678"/>
    <cellStyle name="Comma 2 12 3 5" xfId="5679"/>
    <cellStyle name="Comma 2 12 3 5 2" xfId="5680"/>
    <cellStyle name="Comma 2 12 3 6" xfId="5681"/>
    <cellStyle name="Comma 2 12 3 7" xfId="5682"/>
    <cellStyle name="Comma 2 12 3 8" xfId="5683"/>
    <cellStyle name="Comma 2 12 3 9" xfId="5684"/>
    <cellStyle name="Comma 2 12 30" xfId="5685"/>
    <cellStyle name="Comma 2 12 31" xfId="5686"/>
    <cellStyle name="Comma 2 12 32" xfId="5687"/>
    <cellStyle name="Comma 2 12 33" xfId="5688"/>
    <cellStyle name="Comma 2 12 34" xfId="5689"/>
    <cellStyle name="Comma 2 12 35" xfId="5690"/>
    <cellStyle name="Comma 2 12 36" xfId="5691"/>
    <cellStyle name="Comma 2 12 37" xfId="5692"/>
    <cellStyle name="Comma 2 12 37 2" xfId="5693"/>
    <cellStyle name="Comma 2 12 38" xfId="5694"/>
    <cellStyle name="Comma 2 12 39" xfId="5695"/>
    <cellStyle name="Comma 2 12 4" xfId="5696"/>
    <cellStyle name="Comma 2 12 4 2" xfId="5697"/>
    <cellStyle name="Comma 2 12 4 2 2" xfId="5698"/>
    <cellStyle name="Comma 2 12 4 2 3" xfId="5699"/>
    <cellStyle name="Comma 2 12 4 3" xfId="5700"/>
    <cellStyle name="Comma 2 12 4 4" xfId="5701"/>
    <cellStyle name="Comma 2 12 4 5" xfId="5702"/>
    <cellStyle name="Comma 2 12 4 6" xfId="5703"/>
    <cellStyle name="Comma 2 12 40" xfId="5704"/>
    <cellStyle name="Comma 2 12 5" xfId="5705"/>
    <cellStyle name="Comma 2 12 5 2" xfId="5706"/>
    <cellStyle name="Comma 2 12 5 2 2" xfId="5707"/>
    <cellStyle name="Comma 2 12 5 2 3" xfId="5708"/>
    <cellStyle name="Comma 2 12 5 3" xfId="5709"/>
    <cellStyle name="Comma 2 12 5 4" xfId="5710"/>
    <cellStyle name="Comma 2 12 5 5" xfId="5711"/>
    <cellStyle name="Comma 2 12 5 6" xfId="5712"/>
    <cellStyle name="Comma 2 12 6" xfId="5713"/>
    <cellStyle name="Comma 2 12 6 2" xfId="5714"/>
    <cellStyle name="Comma 2 12 6 2 2" xfId="5715"/>
    <cellStyle name="Comma 2 12 6 3" xfId="5716"/>
    <cellStyle name="Comma 2 12 6 4" xfId="5717"/>
    <cellStyle name="Comma 2 12 6 5" xfId="5718"/>
    <cellStyle name="Comma 2 12 7" xfId="5719"/>
    <cellStyle name="Comma 2 12 7 2" xfId="5720"/>
    <cellStyle name="Comma 2 12 7 3" xfId="5721"/>
    <cellStyle name="Comma 2 12 8" xfId="5722"/>
    <cellStyle name="Comma 2 12 8 2" xfId="5723"/>
    <cellStyle name="Comma 2 12 8 3" xfId="5724"/>
    <cellStyle name="Comma 2 12 9" xfId="5725"/>
    <cellStyle name="Comma 2 13" xfId="5726"/>
    <cellStyle name="Comma 2 13 10" xfId="5727"/>
    <cellStyle name="Comma 2 13 11" xfId="5728"/>
    <cellStyle name="Comma 2 13 2" xfId="5729"/>
    <cellStyle name="Comma 2 13 2 2" xfId="5730"/>
    <cellStyle name="Comma 2 13 2 2 2" xfId="5731"/>
    <cellStyle name="Comma 2 13 2 2 2 2" xfId="5732"/>
    <cellStyle name="Comma 2 13 2 2 2 3" xfId="5733"/>
    <cellStyle name="Comma 2 13 2 2 3" xfId="5734"/>
    <cellStyle name="Comma 2 13 2 2 4" xfId="5735"/>
    <cellStyle name="Comma 2 13 2 2 5" xfId="5736"/>
    <cellStyle name="Comma 2 13 2 2 6" xfId="5737"/>
    <cellStyle name="Comma 2 13 2 3" xfId="5738"/>
    <cellStyle name="Comma 2 13 2 3 2" xfId="5739"/>
    <cellStyle name="Comma 2 13 2 3 2 2" xfId="5740"/>
    <cellStyle name="Comma 2 13 2 3 3" xfId="5741"/>
    <cellStyle name="Comma 2 13 2 3 4" xfId="5742"/>
    <cellStyle name="Comma 2 13 2 3 5" xfId="5743"/>
    <cellStyle name="Comma 2 13 2 4" xfId="5744"/>
    <cellStyle name="Comma 2 13 2 4 2" xfId="5745"/>
    <cellStyle name="Comma 2 13 2 4 3" xfId="5746"/>
    <cellStyle name="Comma 2 13 2 4 4" xfId="5747"/>
    <cellStyle name="Comma 2 13 2 5" xfId="5748"/>
    <cellStyle name="Comma 2 13 2 5 2" xfId="5749"/>
    <cellStyle name="Comma 2 13 2 6" xfId="5750"/>
    <cellStyle name="Comma 2 13 2 7" xfId="5751"/>
    <cellStyle name="Comma 2 13 2 8" xfId="5752"/>
    <cellStyle name="Comma 2 13 2 9" xfId="5753"/>
    <cellStyle name="Comma 2 13 3" xfId="5754"/>
    <cellStyle name="Comma 2 13 3 2" xfId="5755"/>
    <cellStyle name="Comma 2 13 3 2 2" xfId="5756"/>
    <cellStyle name="Comma 2 13 3 2 2 2" xfId="5757"/>
    <cellStyle name="Comma 2 13 3 2 2 3" xfId="5758"/>
    <cellStyle name="Comma 2 13 3 2 3" xfId="5759"/>
    <cellStyle name="Comma 2 13 3 2 4" xfId="5760"/>
    <cellStyle name="Comma 2 13 3 2 5" xfId="5761"/>
    <cellStyle name="Comma 2 13 3 2 6" xfId="5762"/>
    <cellStyle name="Comma 2 13 3 3" xfId="5763"/>
    <cellStyle name="Comma 2 13 3 3 2" xfId="5764"/>
    <cellStyle name="Comma 2 13 3 3 2 2" xfId="5765"/>
    <cellStyle name="Comma 2 13 3 3 3" xfId="5766"/>
    <cellStyle name="Comma 2 13 3 3 4" xfId="5767"/>
    <cellStyle name="Comma 2 13 3 3 5" xfId="5768"/>
    <cellStyle name="Comma 2 13 3 4" xfId="5769"/>
    <cellStyle name="Comma 2 13 3 4 2" xfId="5770"/>
    <cellStyle name="Comma 2 13 3 4 3" xfId="5771"/>
    <cellStyle name="Comma 2 13 3 4 4" xfId="5772"/>
    <cellStyle name="Comma 2 13 3 5" xfId="5773"/>
    <cellStyle name="Comma 2 13 3 5 2" xfId="5774"/>
    <cellStyle name="Comma 2 13 3 6" xfId="5775"/>
    <cellStyle name="Comma 2 13 3 7" xfId="5776"/>
    <cellStyle name="Comma 2 13 3 8" xfId="5777"/>
    <cellStyle name="Comma 2 13 3 9" xfId="5778"/>
    <cellStyle name="Comma 2 13 4" xfId="5779"/>
    <cellStyle name="Comma 2 13 4 2" xfId="5780"/>
    <cellStyle name="Comma 2 13 4 2 2" xfId="5781"/>
    <cellStyle name="Comma 2 13 4 2 3" xfId="5782"/>
    <cellStyle name="Comma 2 13 4 3" xfId="5783"/>
    <cellStyle name="Comma 2 13 4 4" xfId="5784"/>
    <cellStyle name="Comma 2 13 4 5" xfId="5785"/>
    <cellStyle name="Comma 2 13 4 6" xfId="5786"/>
    <cellStyle name="Comma 2 13 5" xfId="5787"/>
    <cellStyle name="Comma 2 13 5 2" xfId="5788"/>
    <cellStyle name="Comma 2 13 5 2 2" xfId="5789"/>
    <cellStyle name="Comma 2 13 5 3" xfId="5790"/>
    <cellStyle name="Comma 2 13 5 4" xfId="5791"/>
    <cellStyle name="Comma 2 13 5 5" xfId="5792"/>
    <cellStyle name="Comma 2 13 5 6" xfId="5793"/>
    <cellStyle name="Comma 2 13 6" xfId="5794"/>
    <cellStyle name="Comma 2 13 6 2" xfId="5795"/>
    <cellStyle name="Comma 2 13 6 3" xfId="5796"/>
    <cellStyle name="Comma 2 13 6 4" xfId="5797"/>
    <cellStyle name="Comma 2 13 6 5" xfId="5798"/>
    <cellStyle name="Comma 2 13 7" xfId="5799"/>
    <cellStyle name="Comma 2 13 7 2" xfId="5800"/>
    <cellStyle name="Comma 2 13 7 3" xfId="5801"/>
    <cellStyle name="Comma 2 13 8" xfId="5802"/>
    <cellStyle name="Comma 2 13 9" xfId="5803"/>
    <cellStyle name="Comma 2 14" xfId="5804"/>
    <cellStyle name="Comma 2 14 10" xfId="5805"/>
    <cellStyle name="Comma 2 14 11" xfId="5806"/>
    <cellStyle name="Comma 2 14 2" xfId="5807"/>
    <cellStyle name="Comma 2 14 2 2" xfId="5808"/>
    <cellStyle name="Comma 2 14 2 2 2" xfId="5809"/>
    <cellStyle name="Comma 2 14 2 2 2 2" xfId="5810"/>
    <cellStyle name="Comma 2 14 2 2 2 3" xfId="5811"/>
    <cellStyle name="Comma 2 14 2 2 3" xfId="5812"/>
    <cellStyle name="Comma 2 14 2 2 4" xfId="5813"/>
    <cellStyle name="Comma 2 14 2 2 5" xfId="5814"/>
    <cellStyle name="Comma 2 14 2 2 6" xfId="5815"/>
    <cellStyle name="Comma 2 14 2 3" xfId="5816"/>
    <cellStyle name="Comma 2 14 2 3 2" xfId="5817"/>
    <cellStyle name="Comma 2 14 2 3 2 2" xfId="5818"/>
    <cellStyle name="Comma 2 14 2 3 3" xfId="5819"/>
    <cellStyle name="Comma 2 14 2 3 4" xfId="5820"/>
    <cellStyle name="Comma 2 14 2 3 5" xfId="5821"/>
    <cellStyle name="Comma 2 14 2 4" xfId="5822"/>
    <cellStyle name="Comma 2 14 2 4 2" xfId="5823"/>
    <cellStyle name="Comma 2 14 2 4 3" xfId="5824"/>
    <cellStyle name="Comma 2 14 2 4 4" xfId="5825"/>
    <cellStyle name="Comma 2 14 2 5" xfId="5826"/>
    <cellStyle name="Comma 2 14 2 5 2" xfId="5827"/>
    <cellStyle name="Comma 2 14 2 6" xfId="5828"/>
    <cellStyle name="Comma 2 14 2 7" xfId="5829"/>
    <cellStyle name="Comma 2 14 2 8" xfId="5830"/>
    <cellStyle name="Comma 2 14 2 9" xfId="5831"/>
    <cellStyle name="Comma 2 14 3" xfId="5832"/>
    <cellStyle name="Comma 2 14 3 2" xfId="5833"/>
    <cellStyle name="Comma 2 14 3 2 2" xfId="5834"/>
    <cellStyle name="Comma 2 14 3 2 2 2" xfId="5835"/>
    <cellStyle name="Comma 2 14 3 2 2 3" xfId="5836"/>
    <cellStyle name="Comma 2 14 3 2 3" xfId="5837"/>
    <cellStyle name="Comma 2 14 3 2 4" xfId="5838"/>
    <cellStyle name="Comma 2 14 3 2 5" xfId="5839"/>
    <cellStyle name="Comma 2 14 3 2 6" xfId="5840"/>
    <cellStyle name="Comma 2 14 3 3" xfId="5841"/>
    <cellStyle name="Comma 2 14 3 3 2" xfId="5842"/>
    <cellStyle name="Comma 2 14 3 3 2 2" xfId="5843"/>
    <cellStyle name="Comma 2 14 3 3 3" xfId="5844"/>
    <cellStyle name="Comma 2 14 3 3 4" xfId="5845"/>
    <cellStyle name="Comma 2 14 3 3 5" xfId="5846"/>
    <cellStyle name="Comma 2 14 3 4" xfId="5847"/>
    <cellStyle name="Comma 2 14 3 4 2" xfId="5848"/>
    <cellStyle name="Comma 2 14 3 4 3" xfId="5849"/>
    <cellStyle name="Comma 2 14 3 4 4" xfId="5850"/>
    <cellStyle name="Comma 2 14 3 5" xfId="5851"/>
    <cellStyle name="Comma 2 14 3 5 2" xfId="5852"/>
    <cellStyle name="Comma 2 14 3 6" xfId="5853"/>
    <cellStyle name="Comma 2 14 3 7" xfId="5854"/>
    <cellStyle name="Comma 2 14 3 8" xfId="5855"/>
    <cellStyle name="Comma 2 14 3 9" xfId="5856"/>
    <cellStyle name="Comma 2 14 4" xfId="5857"/>
    <cellStyle name="Comma 2 14 4 2" xfId="5858"/>
    <cellStyle name="Comma 2 14 4 2 2" xfId="5859"/>
    <cellStyle name="Comma 2 14 4 2 3" xfId="5860"/>
    <cellStyle name="Comma 2 14 4 3" xfId="5861"/>
    <cellStyle name="Comma 2 14 4 4" xfId="5862"/>
    <cellStyle name="Comma 2 14 4 5" xfId="5863"/>
    <cellStyle name="Comma 2 14 4 6" xfId="5864"/>
    <cellStyle name="Comma 2 14 5" xfId="5865"/>
    <cellStyle name="Comma 2 14 5 2" xfId="5866"/>
    <cellStyle name="Comma 2 14 5 2 2" xfId="5867"/>
    <cellStyle name="Comma 2 14 5 3" xfId="5868"/>
    <cellStyle name="Comma 2 14 5 4" xfId="5869"/>
    <cellStyle name="Comma 2 14 5 5" xfId="5870"/>
    <cellStyle name="Comma 2 14 5 6" xfId="5871"/>
    <cellStyle name="Comma 2 14 6" xfId="5872"/>
    <cellStyle name="Comma 2 14 6 2" xfId="5873"/>
    <cellStyle name="Comma 2 14 6 3" xfId="5874"/>
    <cellStyle name="Comma 2 14 6 4" xfId="5875"/>
    <cellStyle name="Comma 2 14 6 5" xfId="5876"/>
    <cellStyle name="Comma 2 14 7" xfId="5877"/>
    <cellStyle name="Comma 2 14 7 2" xfId="5878"/>
    <cellStyle name="Comma 2 14 7 3" xfId="5879"/>
    <cellStyle name="Comma 2 14 8" xfId="5880"/>
    <cellStyle name="Comma 2 14 9" xfId="5881"/>
    <cellStyle name="Comma 2 15" xfId="5882"/>
    <cellStyle name="Comma 2 15 10" xfId="5883"/>
    <cellStyle name="Comma 2 15 11" xfId="5884"/>
    <cellStyle name="Comma 2 15 2" xfId="5885"/>
    <cellStyle name="Comma 2 15 2 2" xfId="5886"/>
    <cellStyle name="Comma 2 15 2 2 2" xfId="5887"/>
    <cellStyle name="Comma 2 15 2 2 2 2" xfId="5888"/>
    <cellStyle name="Comma 2 15 2 2 2 3" xfId="5889"/>
    <cellStyle name="Comma 2 15 2 2 3" xfId="5890"/>
    <cellStyle name="Comma 2 15 2 2 4" xfId="5891"/>
    <cellStyle name="Comma 2 15 2 2 5" xfId="5892"/>
    <cellStyle name="Comma 2 15 2 2 6" xfId="5893"/>
    <cellStyle name="Comma 2 15 2 3" xfId="5894"/>
    <cellStyle name="Comma 2 15 2 3 2" xfId="5895"/>
    <cellStyle name="Comma 2 15 2 3 2 2" xfId="5896"/>
    <cellStyle name="Comma 2 15 2 3 3" xfId="5897"/>
    <cellStyle name="Comma 2 15 2 3 4" xfId="5898"/>
    <cellStyle name="Comma 2 15 2 3 5" xfId="5899"/>
    <cellStyle name="Comma 2 15 2 4" xfId="5900"/>
    <cellStyle name="Comma 2 15 2 4 2" xfId="5901"/>
    <cellStyle name="Comma 2 15 2 4 3" xfId="5902"/>
    <cellStyle name="Comma 2 15 2 4 4" xfId="5903"/>
    <cellStyle name="Comma 2 15 2 5" xfId="5904"/>
    <cellStyle name="Comma 2 15 2 5 2" xfId="5905"/>
    <cellStyle name="Comma 2 15 2 6" xfId="5906"/>
    <cellStyle name="Comma 2 15 2 7" xfId="5907"/>
    <cellStyle name="Comma 2 15 2 8" xfId="5908"/>
    <cellStyle name="Comma 2 15 2 9" xfId="5909"/>
    <cellStyle name="Comma 2 15 3" xfId="5910"/>
    <cellStyle name="Comma 2 15 3 2" xfId="5911"/>
    <cellStyle name="Comma 2 15 3 2 2" xfId="5912"/>
    <cellStyle name="Comma 2 15 3 2 2 2" xfId="5913"/>
    <cellStyle name="Comma 2 15 3 2 2 3" xfId="5914"/>
    <cellStyle name="Comma 2 15 3 2 3" xfId="5915"/>
    <cellStyle name="Comma 2 15 3 2 4" xfId="5916"/>
    <cellStyle name="Comma 2 15 3 2 5" xfId="5917"/>
    <cellStyle name="Comma 2 15 3 2 6" xfId="5918"/>
    <cellStyle name="Comma 2 15 3 3" xfId="5919"/>
    <cellStyle name="Comma 2 15 3 3 2" xfId="5920"/>
    <cellStyle name="Comma 2 15 3 3 2 2" xfId="5921"/>
    <cellStyle name="Comma 2 15 3 3 3" xfId="5922"/>
    <cellStyle name="Comma 2 15 3 3 4" xfId="5923"/>
    <cellStyle name="Comma 2 15 3 3 5" xfId="5924"/>
    <cellStyle name="Comma 2 15 3 4" xfId="5925"/>
    <cellStyle name="Comma 2 15 3 4 2" xfId="5926"/>
    <cellStyle name="Comma 2 15 3 4 3" xfId="5927"/>
    <cellStyle name="Comma 2 15 3 4 4" xfId="5928"/>
    <cellStyle name="Comma 2 15 3 5" xfId="5929"/>
    <cellStyle name="Comma 2 15 3 5 2" xfId="5930"/>
    <cellStyle name="Comma 2 15 3 6" xfId="5931"/>
    <cellStyle name="Comma 2 15 3 7" xfId="5932"/>
    <cellStyle name="Comma 2 15 3 8" xfId="5933"/>
    <cellStyle name="Comma 2 15 3 9" xfId="5934"/>
    <cellStyle name="Comma 2 15 4" xfId="5935"/>
    <cellStyle name="Comma 2 15 4 2" xfId="5936"/>
    <cellStyle name="Comma 2 15 4 2 2" xfId="5937"/>
    <cellStyle name="Comma 2 15 4 2 3" xfId="5938"/>
    <cellStyle name="Comma 2 15 4 3" xfId="5939"/>
    <cellStyle name="Comma 2 15 4 4" xfId="5940"/>
    <cellStyle name="Comma 2 15 4 5" xfId="5941"/>
    <cellStyle name="Comma 2 15 4 6" xfId="5942"/>
    <cellStyle name="Comma 2 15 5" xfId="5943"/>
    <cellStyle name="Comma 2 15 5 2" xfId="5944"/>
    <cellStyle name="Comma 2 15 5 2 2" xfId="5945"/>
    <cellStyle name="Comma 2 15 5 3" xfId="5946"/>
    <cellStyle name="Comma 2 15 5 4" xfId="5947"/>
    <cellStyle name="Comma 2 15 5 5" xfId="5948"/>
    <cellStyle name="Comma 2 15 5 6" xfId="5949"/>
    <cellStyle name="Comma 2 15 6" xfId="5950"/>
    <cellStyle name="Comma 2 15 6 2" xfId="5951"/>
    <cellStyle name="Comma 2 15 6 3" xfId="5952"/>
    <cellStyle name="Comma 2 15 6 4" xfId="5953"/>
    <cellStyle name="Comma 2 15 6 5" xfId="5954"/>
    <cellStyle name="Comma 2 15 7" xfId="5955"/>
    <cellStyle name="Comma 2 15 7 2" xfId="5956"/>
    <cellStyle name="Comma 2 15 7 3" xfId="5957"/>
    <cellStyle name="Comma 2 15 8" xfId="5958"/>
    <cellStyle name="Comma 2 15 9" xfId="5959"/>
    <cellStyle name="Comma 2 16" xfId="5960"/>
    <cellStyle name="Comma 2 16 10" xfId="5961"/>
    <cellStyle name="Comma 2 16 2" xfId="5962"/>
    <cellStyle name="Comma 2 16 2 2" xfId="5963"/>
    <cellStyle name="Comma 2 16 2 2 2" xfId="5964"/>
    <cellStyle name="Comma 2 16 2 2 3" xfId="5965"/>
    <cellStyle name="Comma 2 16 2 3" xfId="5966"/>
    <cellStyle name="Comma 2 16 2 4" xfId="5967"/>
    <cellStyle name="Comma 2 16 2 5" xfId="5968"/>
    <cellStyle name="Comma 2 16 2 6" xfId="5969"/>
    <cellStyle name="Comma 2 16 3" xfId="5970"/>
    <cellStyle name="Comma 2 16 3 2" xfId="5971"/>
    <cellStyle name="Comma 2 16 3 2 2" xfId="5972"/>
    <cellStyle name="Comma 2 16 3 2 3" xfId="5973"/>
    <cellStyle name="Comma 2 16 3 3" xfId="5974"/>
    <cellStyle name="Comma 2 16 3 4" xfId="5975"/>
    <cellStyle name="Comma 2 16 3 5" xfId="5976"/>
    <cellStyle name="Comma 2 16 3 6" xfId="5977"/>
    <cellStyle name="Comma 2 16 4" xfId="5978"/>
    <cellStyle name="Comma 2 16 4 2" xfId="5979"/>
    <cellStyle name="Comma 2 16 4 2 2" xfId="5980"/>
    <cellStyle name="Comma 2 16 4 3" xfId="5981"/>
    <cellStyle name="Comma 2 16 4 4" xfId="5982"/>
    <cellStyle name="Comma 2 16 4 5" xfId="5983"/>
    <cellStyle name="Comma 2 16 4 6" xfId="5984"/>
    <cellStyle name="Comma 2 16 5" xfId="5985"/>
    <cellStyle name="Comma 2 16 5 2" xfId="5986"/>
    <cellStyle name="Comma 2 16 5 3" xfId="5987"/>
    <cellStyle name="Comma 2 16 5 4" xfId="5988"/>
    <cellStyle name="Comma 2 16 5 5" xfId="5989"/>
    <cellStyle name="Comma 2 16 6" xfId="5990"/>
    <cellStyle name="Comma 2 16 6 2" xfId="5991"/>
    <cellStyle name="Comma 2 16 6 3" xfId="5992"/>
    <cellStyle name="Comma 2 16 7" xfId="5993"/>
    <cellStyle name="Comma 2 16 7 2" xfId="5994"/>
    <cellStyle name="Comma 2 16 8" xfId="5995"/>
    <cellStyle name="Comma 2 16 9" xfId="5996"/>
    <cellStyle name="Comma 2 17" xfId="5997"/>
    <cellStyle name="Comma 2 17 10" xfId="5998"/>
    <cellStyle name="Comma 2 17 2" xfId="5999"/>
    <cellStyle name="Comma 2 17 2 2" xfId="6000"/>
    <cellStyle name="Comma 2 17 2 2 2" xfId="6001"/>
    <cellStyle name="Comma 2 17 2 2 3" xfId="6002"/>
    <cellStyle name="Comma 2 17 2 3" xfId="6003"/>
    <cellStyle name="Comma 2 17 2 4" xfId="6004"/>
    <cellStyle name="Comma 2 17 2 5" xfId="6005"/>
    <cellStyle name="Comma 2 17 2 6" xfId="6006"/>
    <cellStyle name="Comma 2 17 3" xfId="6007"/>
    <cellStyle name="Comma 2 17 3 2" xfId="6008"/>
    <cellStyle name="Comma 2 17 3 2 2" xfId="6009"/>
    <cellStyle name="Comma 2 17 3 2 3" xfId="6010"/>
    <cellStyle name="Comma 2 17 3 3" xfId="6011"/>
    <cellStyle name="Comma 2 17 3 4" xfId="6012"/>
    <cellStyle name="Comma 2 17 3 5" xfId="6013"/>
    <cellStyle name="Comma 2 17 3 6" xfId="6014"/>
    <cellStyle name="Comma 2 17 4" xfId="6015"/>
    <cellStyle name="Comma 2 17 4 2" xfId="6016"/>
    <cellStyle name="Comma 2 17 4 2 2" xfId="6017"/>
    <cellStyle name="Comma 2 17 4 3" xfId="6018"/>
    <cellStyle name="Comma 2 17 4 4" xfId="6019"/>
    <cellStyle name="Comma 2 17 4 5" xfId="6020"/>
    <cellStyle name="Comma 2 17 4 6" xfId="6021"/>
    <cellStyle name="Comma 2 17 5" xfId="6022"/>
    <cellStyle name="Comma 2 17 5 2" xfId="6023"/>
    <cellStyle name="Comma 2 17 5 3" xfId="6024"/>
    <cellStyle name="Comma 2 17 5 4" xfId="6025"/>
    <cellStyle name="Comma 2 17 5 5" xfId="6026"/>
    <cellStyle name="Comma 2 17 6" xfId="6027"/>
    <cellStyle name="Comma 2 17 6 2" xfId="6028"/>
    <cellStyle name="Comma 2 17 6 3" xfId="6029"/>
    <cellStyle name="Comma 2 17 7" xfId="6030"/>
    <cellStyle name="Comma 2 17 7 2" xfId="6031"/>
    <cellStyle name="Comma 2 17 8" xfId="6032"/>
    <cellStyle name="Comma 2 17 9" xfId="6033"/>
    <cellStyle name="Comma 2 18" xfId="6034"/>
    <cellStyle name="Comma 2 18 10" xfId="6035"/>
    <cellStyle name="Comma 2 18 2" xfId="6036"/>
    <cellStyle name="Comma 2 18 2 2" xfId="6037"/>
    <cellStyle name="Comma 2 18 2 2 2" xfId="6038"/>
    <cellStyle name="Comma 2 18 2 2 3" xfId="6039"/>
    <cellStyle name="Comma 2 18 2 3" xfId="6040"/>
    <cellStyle name="Comma 2 18 2 4" xfId="6041"/>
    <cellStyle name="Comma 2 18 2 5" xfId="6042"/>
    <cellStyle name="Comma 2 18 2 6" xfId="6043"/>
    <cellStyle name="Comma 2 18 3" xfId="6044"/>
    <cellStyle name="Comma 2 18 3 2" xfId="6045"/>
    <cellStyle name="Comma 2 18 3 2 2" xfId="6046"/>
    <cellStyle name="Comma 2 18 3 2 3" xfId="6047"/>
    <cellStyle name="Comma 2 18 3 3" xfId="6048"/>
    <cellStyle name="Comma 2 18 3 4" xfId="6049"/>
    <cellStyle name="Comma 2 18 3 5" xfId="6050"/>
    <cellStyle name="Comma 2 18 3 6" xfId="6051"/>
    <cellStyle name="Comma 2 18 4" xfId="6052"/>
    <cellStyle name="Comma 2 18 4 2" xfId="6053"/>
    <cellStyle name="Comma 2 18 4 2 2" xfId="6054"/>
    <cellStyle name="Comma 2 18 4 3" xfId="6055"/>
    <cellStyle name="Comma 2 18 4 4" xfId="6056"/>
    <cellStyle name="Comma 2 18 4 5" xfId="6057"/>
    <cellStyle name="Comma 2 18 4 6" xfId="6058"/>
    <cellStyle name="Comma 2 18 5" xfId="6059"/>
    <cellStyle name="Comma 2 18 5 2" xfId="6060"/>
    <cellStyle name="Comma 2 18 5 3" xfId="6061"/>
    <cellStyle name="Comma 2 18 5 4" xfId="6062"/>
    <cellStyle name="Comma 2 18 5 5" xfId="6063"/>
    <cellStyle name="Comma 2 18 6" xfId="6064"/>
    <cellStyle name="Comma 2 18 6 2" xfId="6065"/>
    <cellStyle name="Comma 2 18 6 3" xfId="6066"/>
    <cellStyle name="Comma 2 18 7" xfId="6067"/>
    <cellStyle name="Comma 2 18 7 2" xfId="6068"/>
    <cellStyle name="Comma 2 18 8" xfId="6069"/>
    <cellStyle name="Comma 2 18 9" xfId="6070"/>
    <cellStyle name="Comma 2 19" xfId="6071"/>
    <cellStyle name="Comma 2 19 10" xfId="6072"/>
    <cellStyle name="Comma 2 19 2" xfId="6073"/>
    <cellStyle name="Comma 2 19 2 2" xfId="6074"/>
    <cellStyle name="Comma 2 19 2 2 2" xfId="6075"/>
    <cellStyle name="Comma 2 19 2 2 3" xfId="6076"/>
    <cellStyle name="Comma 2 19 2 3" xfId="6077"/>
    <cellStyle name="Comma 2 19 2 4" xfId="6078"/>
    <cellStyle name="Comma 2 19 2 5" xfId="6079"/>
    <cellStyle name="Comma 2 19 2 6" xfId="6080"/>
    <cellStyle name="Comma 2 19 3" xfId="6081"/>
    <cellStyle name="Comma 2 19 3 2" xfId="6082"/>
    <cellStyle name="Comma 2 19 3 2 2" xfId="6083"/>
    <cellStyle name="Comma 2 19 3 2 3" xfId="6084"/>
    <cellStyle name="Comma 2 19 3 3" xfId="6085"/>
    <cellStyle name="Comma 2 19 3 4" xfId="6086"/>
    <cellStyle name="Comma 2 19 3 5" xfId="6087"/>
    <cellStyle name="Comma 2 19 3 6" xfId="6088"/>
    <cellStyle name="Comma 2 19 4" xfId="6089"/>
    <cellStyle name="Comma 2 19 4 2" xfId="6090"/>
    <cellStyle name="Comma 2 19 4 2 2" xfId="6091"/>
    <cellStyle name="Comma 2 19 4 3" xfId="6092"/>
    <cellStyle name="Comma 2 19 4 4" xfId="6093"/>
    <cellStyle name="Comma 2 19 4 5" xfId="6094"/>
    <cellStyle name="Comma 2 19 4 6" xfId="6095"/>
    <cellStyle name="Comma 2 19 5" xfId="6096"/>
    <cellStyle name="Comma 2 19 5 2" xfId="6097"/>
    <cellStyle name="Comma 2 19 5 3" xfId="6098"/>
    <cellStyle name="Comma 2 19 5 4" xfId="6099"/>
    <cellStyle name="Comma 2 19 5 5" xfId="6100"/>
    <cellStyle name="Comma 2 19 6" xfId="6101"/>
    <cellStyle name="Comma 2 19 6 2" xfId="6102"/>
    <cellStyle name="Comma 2 19 6 3" xfId="6103"/>
    <cellStyle name="Comma 2 19 7" xfId="6104"/>
    <cellStyle name="Comma 2 19 7 2" xfId="6105"/>
    <cellStyle name="Comma 2 19 8" xfId="6106"/>
    <cellStyle name="Comma 2 19 9" xfId="6107"/>
    <cellStyle name="Comma 2 2" xfId="6108"/>
    <cellStyle name="Comma 2 2 10" xfId="6109"/>
    <cellStyle name="Comma 2 2 10 10" xfId="6110"/>
    <cellStyle name="Comma 2 2 10 2" xfId="6111"/>
    <cellStyle name="Comma 2 2 10 2 2" xfId="6112"/>
    <cellStyle name="Comma 2 2 10 2 2 2" xfId="6113"/>
    <cellStyle name="Comma 2 2 10 2 2 3" xfId="6114"/>
    <cellStyle name="Comma 2 2 10 2 3" xfId="6115"/>
    <cellStyle name="Comma 2 2 10 2 4" xfId="6116"/>
    <cellStyle name="Comma 2 2 10 2 5" xfId="6117"/>
    <cellStyle name="Comma 2 2 10 2 6" xfId="6118"/>
    <cellStyle name="Comma 2 2 10 3" xfId="6119"/>
    <cellStyle name="Comma 2 2 10 3 2" xfId="6120"/>
    <cellStyle name="Comma 2 2 10 3 2 2" xfId="6121"/>
    <cellStyle name="Comma 2 2 10 3 2 3" xfId="6122"/>
    <cellStyle name="Comma 2 2 10 3 3" xfId="6123"/>
    <cellStyle name="Comma 2 2 10 3 4" xfId="6124"/>
    <cellStyle name="Comma 2 2 10 3 5" xfId="6125"/>
    <cellStyle name="Comma 2 2 10 3 6" xfId="6126"/>
    <cellStyle name="Comma 2 2 10 4" xfId="6127"/>
    <cellStyle name="Comma 2 2 10 4 2" xfId="6128"/>
    <cellStyle name="Comma 2 2 10 4 2 2" xfId="6129"/>
    <cellStyle name="Comma 2 2 10 4 3" xfId="6130"/>
    <cellStyle name="Comma 2 2 10 4 4" xfId="6131"/>
    <cellStyle name="Comma 2 2 10 4 5" xfId="6132"/>
    <cellStyle name="Comma 2 2 10 5" xfId="6133"/>
    <cellStyle name="Comma 2 2 10 5 2" xfId="6134"/>
    <cellStyle name="Comma 2 2 10 5 3" xfId="6135"/>
    <cellStyle name="Comma 2 2 10 5 4" xfId="6136"/>
    <cellStyle name="Comma 2 2 10 6" xfId="6137"/>
    <cellStyle name="Comma 2 2 10 6 2" xfId="6138"/>
    <cellStyle name="Comma 2 2 10 7" xfId="6139"/>
    <cellStyle name="Comma 2 2 10 8" xfId="6140"/>
    <cellStyle name="Comma 2 2 10 9" xfId="6141"/>
    <cellStyle name="Comma 2 2 11" xfId="6142"/>
    <cellStyle name="Comma 2 2 11 10" xfId="6143"/>
    <cellStyle name="Comma 2 2 11 2" xfId="6144"/>
    <cellStyle name="Comma 2 2 11 2 2" xfId="6145"/>
    <cellStyle name="Comma 2 2 11 2 2 2" xfId="6146"/>
    <cellStyle name="Comma 2 2 11 2 2 3" xfId="6147"/>
    <cellStyle name="Comma 2 2 11 2 3" xfId="6148"/>
    <cellStyle name="Comma 2 2 11 2 4" xfId="6149"/>
    <cellStyle name="Comma 2 2 11 2 5" xfId="6150"/>
    <cellStyle name="Comma 2 2 11 2 6" xfId="6151"/>
    <cellStyle name="Comma 2 2 11 3" xfId="6152"/>
    <cellStyle name="Comma 2 2 11 3 2" xfId="6153"/>
    <cellStyle name="Comma 2 2 11 3 2 2" xfId="6154"/>
    <cellStyle name="Comma 2 2 11 3 2 3" xfId="6155"/>
    <cellStyle name="Comma 2 2 11 3 3" xfId="6156"/>
    <cellStyle name="Comma 2 2 11 3 4" xfId="6157"/>
    <cellStyle name="Comma 2 2 11 3 5" xfId="6158"/>
    <cellStyle name="Comma 2 2 11 3 6" xfId="6159"/>
    <cellStyle name="Comma 2 2 11 4" xfId="6160"/>
    <cellStyle name="Comma 2 2 11 4 2" xfId="6161"/>
    <cellStyle name="Comma 2 2 11 4 2 2" xfId="6162"/>
    <cellStyle name="Comma 2 2 11 4 3" xfId="6163"/>
    <cellStyle name="Comma 2 2 11 4 4" xfId="6164"/>
    <cellStyle name="Comma 2 2 11 4 5" xfId="6165"/>
    <cellStyle name="Comma 2 2 11 5" xfId="6166"/>
    <cellStyle name="Comma 2 2 11 5 2" xfId="6167"/>
    <cellStyle name="Comma 2 2 11 5 3" xfId="6168"/>
    <cellStyle name="Comma 2 2 11 5 4" xfId="6169"/>
    <cellStyle name="Comma 2 2 11 6" xfId="6170"/>
    <cellStyle name="Comma 2 2 11 6 2" xfId="6171"/>
    <cellStyle name="Comma 2 2 11 7" xfId="6172"/>
    <cellStyle name="Comma 2 2 11 8" xfId="6173"/>
    <cellStyle name="Comma 2 2 11 9" xfId="6174"/>
    <cellStyle name="Comma 2 2 12" xfId="6175"/>
    <cellStyle name="Comma 2 2 12 10" xfId="6176"/>
    <cellStyle name="Comma 2 2 12 2" xfId="6177"/>
    <cellStyle name="Comma 2 2 12 2 2" xfId="6178"/>
    <cellStyle name="Comma 2 2 12 2 2 2" xfId="6179"/>
    <cellStyle name="Comma 2 2 12 2 2 3" xfId="6180"/>
    <cellStyle name="Comma 2 2 12 2 3" xfId="6181"/>
    <cellStyle name="Comma 2 2 12 2 4" xfId="6182"/>
    <cellStyle name="Comma 2 2 12 2 5" xfId="6183"/>
    <cellStyle name="Comma 2 2 12 2 6" xfId="6184"/>
    <cellStyle name="Comma 2 2 12 3" xfId="6185"/>
    <cellStyle name="Comma 2 2 12 3 2" xfId="6186"/>
    <cellStyle name="Comma 2 2 12 3 2 2" xfId="6187"/>
    <cellStyle name="Comma 2 2 12 3 2 3" xfId="6188"/>
    <cellStyle name="Comma 2 2 12 3 3" xfId="6189"/>
    <cellStyle name="Comma 2 2 12 3 4" xfId="6190"/>
    <cellStyle name="Comma 2 2 12 3 5" xfId="6191"/>
    <cellStyle name="Comma 2 2 12 3 6" xfId="6192"/>
    <cellStyle name="Comma 2 2 12 4" xfId="6193"/>
    <cellStyle name="Comma 2 2 12 4 2" xfId="6194"/>
    <cellStyle name="Comma 2 2 12 4 2 2" xfId="6195"/>
    <cellStyle name="Comma 2 2 12 4 3" xfId="6196"/>
    <cellStyle name="Comma 2 2 12 4 4" xfId="6197"/>
    <cellStyle name="Comma 2 2 12 4 5" xfId="6198"/>
    <cellStyle name="Comma 2 2 12 5" xfId="6199"/>
    <cellStyle name="Comma 2 2 12 5 2" xfId="6200"/>
    <cellStyle name="Comma 2 2 12 5 3" xfId="6201"/>
    <cellStyle name="Comma 2 2 12 5 4" xfId="6202"/>
    <cellStyle name="Comma 2 2 12 6" xfId="6203"/>
    <cellStyle name="Comma 2 2 12 6 2" xfId="6204"/>
    <cellStyle name="Comma 2 2 12 7" xfId="6205"/>
    <cellStyle name="Comma 2 2 12 8" xfId="6206"/>
    <cellStyle name="Comma 2 2 12 9" xfId="6207"/>
    <cellStyle name="Comma 2 2 13" xfId="6208"/>
    <cellStyle name="Comma 2 2 13 10" xfId="6209"/>
    <cellStyle name="Comma 2 2 13 2" xfId="6210"/>
    <cellStyle name="Comma 2 2 13 2 2" xfId="6211"/>
    <cellStyle name="Comma 2 2 13 2 2 2" xfId="6212"/>
    <cellStyle name="Comma 2 2 13 2 2 3" xfId="6213"/>
    <cellStyle name="Comma 2 2 13 2 3" xfId="6214"/>
    <cellStyle name="Comma 2 2 13 2 4" xfId="6215"/>
    <cellStyle name="Comma 2 2 13 2 5" xfId="6216"/>
    <cellStyle name="Comma 2 2 13 2 6" xfId="6217"/>
    <cellStyle name="Comma 2 2 13 3" xfId="6218"/>
    <cellStyle name="Comma 2 2 13 3 2" xfId="6219"/>
    <cellStyle name="Comma 2 2 13 3 2 2" xfId="6220"/>
    <cellStyle name="Comma 2 2 13 3 2 3" xfId="6221"/>
    <cellStyle name="Comma 2 2 13 3 3" xfId="6222"/>
    <cellStyle name="Comma 2 2 13 3 4" xfId="6223"/>
    <cellStyle name="Comma 2 2 13 3 5" xfId="6224"/>
    <cellStyle name="Comma 2 2 13 3 6" xfId="6225"/>
    <cellStyle name="Comma 2 2 13 4" xfId="6226"/>
    <cellStyle name="Comma 2 2 13 4 2" xfId="6227"/>
    <cellStyle name="Comma 2 2 13 4 2 2" xfId="6228"/>
    <cellStyle name="Comma 2 2 13 4 3" xfId="6229"/>
    <cellStyle name="Comma 2 2 13 4 4" xfId="6230"/>
    <cellStyle name="Comma 2 2 13 4 5" xfId="6231"/>
    <cellStyle name="Comma 2 2 13 5" xfId="6232"/>
    <cellStyle name="Comma 2 2 13 5 2" xfId="6233"/>
    <cellStyle name="Comma 2 2 13 5 3" xfId="6234"/>
    <cellStyle name="Comma 2 2 13 5 4" xfId="6235"/>
    <cellStyle name="Comma 2 2 13 6" xfId="6236"/>
    <cellStyle name="Comma 2 2 13 6 2" xfId="6237"/>
    <cellStyle name="Comma 2 2 13 7" xfId="6238"/>
    <cellStyle name="Comma 2 2 13 8" xfId="6239"/>
    <cellStyle name="Comma 2 2 13 9" xfId="6240"/>
    <cellStyle name="Comma 2 2 14" xfId="6241"/>
    <cellStyle name="Comma 2 2 14 10" xfId="6242"/>
    <cellStyle name="Comma 2 2 14 2" xfId="6243"/>
    <cellStyle name="Comma 2 2 14 2 2" xfId="6244"/>
    <cellStyle name="Comma 2 2 14 2 2 2" xfId="6245"/>
    <cellStyle name="Comma 2 2 14 2 2 3" xfId="6246"/>
    <cellStyle name="Comma 2 2 14 2 3" xfId="6247"/>
    <cellStyle name="Comma 2 2 14 2 4" xfId="6248"/>
    <cellStyle name="Comma 2 2 14 2 5" xfId="6249"/>
    <cellStyle name="Comma 2 2 14 2 6" xfId="6250"/>
    <cellStyle name="Comma 2 2 14 3" xfId="6251"/>
    <cellStyle name="Comma 2 2 14 3 2" xfId="6252"/>
    <cellStyle name="Comma 2 2 14 3 2 2" xfId="6253"/>
    <cellStyle name="Comma 2 2 14 3 2 3" xfId="6254"/>
    <cellStyle name="Comma 2 2 14 3 3" xfId="6255"/>
    <cellStyle name="Comma 2 2 14 3 4" xfId="6256"/>
    <cellStyle name="Comma 2 2 14 3 5" xfId="6257"/>
    <cellStyle name="Comma 2 2 14 3 6" xfId="6258"/>
    <cellStyle name="Comma 2 2 14 4" xfId="6259"/>
    <cellStyle name="Comma 2 2 14 4 2" xfId="6260"/>
    <cellStyle name="Comma 2 2 14 4 2 2" xfId="6261"/>
    <cellStyle name="Comma 2 2 14 4 3" xfId="6262"/>
    <cellStyle name="Comma 2 2 14 4 4" xfId="6263"/>
    <cellStyle name="Comma 2 2 14 4 5" xfId="6264"/>
    <cellStyle name="Comma 2 2 14 5" xfId="6265"/>
    <cellStyle name="Comma 2 2 14 5 2" xfId="6266"/>
    <cellStyle name="Comma 2 2 14 5 3" xfId="6267"/>
    <cellStyle name="Comma 2 2 14 5 4" xfId="6268"/>
    <cellStyle name="Comma 2 2 14 6" xfId="6269"/>
    <cellStyle name="Comma 2 2 14 6 2" xfId="6270"/>
    <cellStyle name="Comma 2 2 14 7" xfId="6271"/>
    <cellStyle name="Comma 2 2 14 8" xfId="6272"/>
    <cellStyle name="Comma 2 2 14 9" xfId="6273"/>
    <cellStyle name="Comma 2 2 15" xfId="6274"/>
    <cellStyle name="Comma 2 2 15 10" xfId="6275"/>
    <cellStyle name="Comma 2 2 15 2" xfId="6276"/>
    <cellStyle name="Comma 2 2 15 2 2" xfId="6277"/>
    <cellStyle name="Comma 2 2 15 2 2 2" xfId="6278"/>
    <cellStyle name="Comma 2 2 15 2 2 3" xfId="6279"/>
    <cellStyle name="Comma 2 2 15 2 3" xfId="6280"/>
    <cellStyle name="Comma 2 2 15 2 4" xfId="6281"/>
    <cellStyle name="Comma 2 2 15 2 5" xfId="6282"/>
    <cellStyle name="Comma 2 2 15 2 6" xfId="6283"/>
    <cellStyle name="Comma 2 2 15 3" xfId="6284"/>
    <cellStyle name="Comma 2 2 15 3 2" xfId="6285"/>
    <cellStyle name="Comma 2 2 15 3 2 2" xfId="6286"/>
    <cellStyle name="Comma 2 2 15 3 2 3" xfId="6287"/>
    <cellStyle name="Comma 2 2 15 3 3" xfId="6288"/>
    <cellStyle name="Comma 2 2 15 3 4" xfId="6289"/>
    <cellStyle name="Comma 2 2 15 3 5" xfId="6290"/>
    <cellStyle name="Comma 2 2 15 3 6" xfId="6291"/>
    <cellStyle name="Comma 2 2 15 4" xfId="6292"/>
    <cellStyle name="Comma 2 2 15 4 2" xfId="6293"/>
    <cellStyle name="Comma 2 2 15 4 2 2" xfId="6294"/>
    <cellStyle name="Comma 2 2 15 4 3" xfId="6295"/>
    <cellStyle name="Comma 2 2 15 4 4" xfId="6296"/>
    <cellStyle name="Comma 2 2 15 4 5" xfId="6297"/>
    <cellStyle name="Comma 2 2 15 5" xfId="6298"/>
    <cellStyle name="Comma 2 2 15 5 2" xfId="6299"/>
    <cellStyle name="Comma 2 2 15 5 3" xfId="6300"/>
    <cellStyle name="Comma 2 2 15 5 4" xfId="6301"/>
    <cellStyle name="Comma 2 2 15 6" xfId="6302"/>
    <cellStyle name="Comma 2 2 15 6 2" xfId="6303"/>
    <cellStyle name="Comma 2 2 15 7" xfId="6304"/>
    <cellStyle name="Comma 2 2 15 8" xfId="6305"/>
    <cellStyle name="Comma 2 2 15 9" xfId="6306"/>
    <cellStyle name="Comma 2 2 16" xfId="6307"/>
    <cellStyle name="Comma 2 2 16 10" xfId="6308"/>
    <cellStyle name="Comma 2 2 16 2" xfId="6309"/>
    <cellStyle name="Comma 2 2 16 2 2" xfId="6310"/>
    <cellStyle name="Comma 2 2 16 2 2 2" xfId="6311"/>
    <cellStyle name="Comma 2 2 16 2 2 3" xfId="6312"/>
    <cellStyle name="Comma 2 2 16 2 3" xfId="6313"/>
    <cellStyle name="Comma 2 2 16 2 4" xfId="6314"/>
    <cellStyle name="Comma 2 2 16 2 5" xfId="6315"/>
    <cellStyle name="Comma 2 2 16 2 6" xfId="6316"/>
    <cellStyle name="Comma 2 2 16 3" xfId="6317"/>
    <cellStyle name="Comma 2 2 16 3 2" xfId="6318"/>
    <cellStyle name="Comma 2 2 16 3 2 2" xfId="6319"/>
    <cellStyle name="Comma 2 2 16 3 2 3" xfId="6320"/>
    <cellStyle name="Comma 2 2 16 3 3" xfId="6321"/>
    <cellStyle name="Comma 2 2 16 3 4" xfId="6322"/>
    <cellStyle name="Comma 2 2 16 3 5" xfId="6323"/>
    <cellStyle name="Comma 2 2 16 3 6" xfId="6324"/>
    <cellStyle name="Comma 2 2 16 4" xfId="6325"/>
    <cellStyle name="Comma 2 2 16 4 2" xfId="6326"/>
    <cellStyle name="Comma 2 2 16 4 2 2" xfId="6327"/>
    <cellStyle name="Comma 2 2 16 4 3" xfId="6328"/>
    <cellStyle name="Comma 2 2 16 4 4" xfId="6329"/>
    <cellStyle name="Comma 2 2 16 4 5" xfId="6330"/>
    <cellStyle name="Comma 2 2 16 5" xfId="6331"/>
    <cellStyle name="Comma 2 2 16 5 2" xfId="6332"/>
    <cellStyle name="Comma 2 2 16 5 3" xfId="6333"/>
    <cellStyle name="Comma 2 2 16 5 4" xfId="6334"/>
    <cellStyle name="Comma 2 2 16 6" xfId="6335"/>
    <cellStyle name="Comma 2 2 16 6 2" xfId="6336"/>
    <cellStyle name="Comma 2 2 16 7" xfId="6337"/>
    <cellStyle name="Comma 2 2 16 8" xfId="6338"/>
    <cellStyle name="Comma 2 2 16 9" xfId="6339"/>
    <cellStyle name="Comma 2 2 17" xfId="6340"/>
    <cellStyle name="Comma 2 2 17 10" xfId="6341"/>
    <cellStyle name="Comma 2 2 17 2" xfId="6342"/>
    <cellStyle name="Comma 2 2 17 2 2" xfId="6343"/>
    <cellStyle name="Comma 2 2 17 2 2 2" xfId="6344"/>
    <cellStyle name="Comma 2 2 17 2 2 3" xfId="6345"/>
    <cellStyle name="Comma 2 2 17 2 3" xfId="6346"/>
    <cellStyle name="Comma 2 2 17 2 4" xfId="6347"/>
    <cellStyle name="Comma 2 2 17 2 5" xfId="6348"/>
    <cellStyle name="Comma 2 2 17 2 6" xfId="6349"/>
    <cellStyle name="Comma 2 2 17 3" xfId="6350"/>
    <cellStyle name="Comma 2 2 17 3 2" xfId="6351"/>
    <cellStyle name="Comma 2 2 17 3 2 2" xfId="6352"/>
    <cellStyle name="Comma 2 2 17 3 2 3" xfId="6353"/>
    <cellStyle name="Comma 2 2 17 3 3" xfId="6354"/>
    <cellStyle name="Comma 2 2 17 3 4" xfId="6355"/>
    <cellStyle name="Comma 2 2 17 3 5" xfId="6356"/>
    <cellStyle name="Comma 2 2 17 3 6" xfId="6357"/>
    <cellStyle name="Comma 2 2 17 4" xfId="6358"/>
    <cellStyle name="Comma 2 2 17 4 2" xfId="6359"/>
    <cellStyle name="Comma 2 2 17 4 2 2" xfId="6360"/>
    <cellStyle name="Comma 2 2 17 4 3" xfId="6361"/>
    <cellStyle name="Comma 2 2 17 4 4" xfId="6362"/>
    <cellStyle name="Comma 2 2 17 4 5" xfId="6363"/>
    <cellStyle name="Comma 2 2 17 5" xfId="6364"/>
    <cellStyle name="Comma 2 2 17 5 2" xfId="6365"/>
    <cellStyle name="Comma 2 2 17 5 3" xfId="6366"/>
    <cellStyle name="Comma 2 2 17 5 4" xfId="6367"/>
    <cellStyle name="Comma 2 2 17 6" xfId="6368"/>
    <cellStyle name="Comma 2 2 17 6 2" xfId="6369"/>
    <cellStyle name="Comma 2 2 17 7" xfId="6370"/>
    <cellStyle name="Comma 2 2 17 8" xfId="6371"/>
    <cellStyle name="Comma 2 2 17 9" xfId="6372"/>
    <cellStyle name="Comma 2 2 18" xfId="6373"/>
    <cellStyle name="Comma 2 2 18 10" xfId="6374"/>
    <cellStyle name="Comma 2 2 18 2" xfId="6375"/>
    <cellStyle name="Comma 2 2 18 2 2" xfId="6376"/>
    <cellStyle name="Comma 2 2 18 2 2 2" xfId="6377"/>
    <cellStyle name="Comma 2 2 18 2 2 3" xfId="6378"/>
    <cellStyle name="Comma 2 2 18 2 3" xfId="6379"/>
    <cellStyle name="Comma 2 2 18 2 4" xfId="6380"/>
    <cellStyle name="Comma 2 2 18 2 5" xfId="6381"/>
    <cellStyle name="Comma 2 2 18 2 6" xfId="6382"/>
    <cellStyle name="Comma 2 2 18 3" xfId="6383"/>
    <cellStyle name="Comma 2 2 18 3 2" xfId="6384"/>
    <cellStyle name="Comma 2 2 18 3 2 2" xfId="6385"/>
    <cellStyle name="Comma 2 2 18 3 2 3" xfId="6386"/>
    <cellStyle name="Comma 2 2 18 3 3" xfId="6387"/>
    <cellStyle name="Comma 2 2 18 3 4" xfId="6388"/>
    <cellStyle name="Comma 2 2 18 3 5" xfId="6389"/>
    <cellStyle name="Comma 2 2 18 3 6" xfId="6390"/>
    <cellStyle name="Comma 2 2 18 4" xfId="6391"/>
    <cellStyle name="Comma 2 2 18 4 2" xfId="6392"/>
    <cellStyle name="Comma 2 2 18 4 2 2" xfId="6393"/>
    <cellStyle name="Comma 2 2 18 4 3" xfId="6394"/>
    <cellStyle name="Comma 2 2 18 4 4" xfId="6395"/>
    <cellStyle name="Comma 2 2 18 4 5" xfId="6396"/>
    <cellStyle name="Comma 2 2 18 5" xfId="6397"/>
    <cellStyle name="Comma 2 2 18 5 2" xfId="6398"/>
    <cellStyle name="Comma 2 2 18 5 3" xfId="6399"/>
    <cellStyle name="Comma 2 2 18 5 4" xfId="6400"/>
    <cellStyle name="Comma 2 2 18 6" xfId="6401"/>
    <cellStyle name="Comma 2 2 18 6 2" xfId="6402"/>
    <cellStyle name="Comma 2 2 18 7" xfId="6403"/>
    <cellStyle name="Comma 2 2 18 8" xfId="6404"/>
    <cellStyle name="Comma 2 2 18 9" xfId="6405"/>
    <cellStyle name="Comma 2 2 19" xfId="6406"/>
    <cellStyle name="Comma 2 2 19 10" xfId="6407"/>
    <cellStyle name="Comma 2 2 19 2" xfId="6408"/>
    <cellStyle name="Comma 2 2 19 2 2" xfId="6409"/>
    <cellStyle name="Comma 2 2 19 2 2 2" xfId="6410"/>
    <cellStyle name="Comma 2 2 19 2 2 3" xfId="6411"/>
    <cellStyle name="Comma 2 2 19 2 3" xfId="6412"/>
    <cellStyle name="Comma 2 2 19 2 4" xfId="6413"/>
    <cellStyle name="Comma 2 2 19 2 5" xfId="6414"/>
    <cellStyle name="Comma 2 2 19 2 6" xfId="6415"/>
    <cellStyle name="Comma 2 2 19 3" xfId="6416"/>
    <cellStyle name="Comma 2 2 19 3 2" xfId="6417"/>
    <cellStyle name="Comma 2 2 19 3 2 2" xfId="6418"/>
    <cellStyle name="Comma 2 2 19 3 2 3" xfId="6419"/>
    <cellStyle name="Comma 2 2 19 3 3" xfId="6420"/>
    <cellStyle name="Comma 2 2 19 3 4" xfId="6421"/>
    <cellStyle name="Comma 2 2 19 3 5" xfId="6422"/>
    <cellStyle name="Comma 2 2 19 3 6" xfId="6423"/>
    <cellStyle name="Comma 2 2 19 4" xfId="6424"/>
    <cellStyle name="Comma 2 2 19 4 2" xfId="6425"/>
    <cellStyle name="Comma 2 2 19 4 2 2" xfId="6426"/>
    <cellStyle name="Comma 2 2 19 4 3" xfId="6427"/>
    <cellStyle name="Comma 2 2 19 4 4" xfId="6428"/>
    <cellStyle name="Comma 2 2 19 4 5" xfId="6429"/>
    <cellStyle name="Comma 2 2 19 5" xfId="6430"/>
    <cellStyle name="Comma 2 2 19 5 2" xfId="6431"/>
    <cellStyle name="Comma 2 2 19 5 3" xfId="6432"/>
    <cellStyle name="Comma 2 2 19 5 4" xfId="6433"/>
    <cellStyle name="Comma 2 2 19 6" xfId="6434"/>
    <cellStyle name="Comma 2 2 19 6 2" xfId="6435"/>
    <cellStyle name="Comma 2 2 19 7" xfId="6436"/>
    <cellStyle name="Comma 2 2 19 8" xfId="6437"/>
    <cellStyle name="Comma 2 2 19 9" xfId="6438"/>
    <cellStyle name="Comma 2 2 2" xfId="6439"/>
    <cellStyle name="Comma 2 2 2 10" xfId="6440"/>
    <cellStyle name="Comma 2 2 2 10 10" xfId="6441"/>
    <cellStyle name="Comma 2 2 2 10 2" xfId="6442"/>
    <cellStyle name="Comma 2 2 2 10 2 2" xfId="6443"/>
    <cellStyle name="Comma 2 2 2 10 2 2 2" xfId="6444"/>
    <cellStyle name="Comma 2 2 2 10 2 2 3" xfId="6445"/>
    <cellStyle name="Comma 2 2 2 10 2 3" xfId="6446"/>
    <cellStyle name="Comma 2 2 2 10 2 4" xfId="6447"/>
    <cellStyle name="Comma 2 2 2 10 2 5" xfId="6448"/>
    <cellStyle name="Comma 2 2 2 10 2 6" xfId="6449"/>
    <cellStyle name="Comma 2 2 2 10 3" xfId="6450"/>
    <cellStyle name="Comma 2 2 2 10 3 2" xfId="6451"/>
    <cellStyle name="Comma 2 2 2 10 3 2 2" xfId="6452"/>
    <cellStyle name="Comma 2 2 2 10 3 2 3" xfId="6453"/>
    <cellStyle name="Comma 2 2 2 10 3 3" xfId="6454"/>
    <cellStyle name="Comma 2 2 2 10 3 4" xfId="6455"/>
    <cellStyle name="Comma 2 2 2 10 3 5" xfId="6456"/>
    <cellStyle name="Comma 2 2 2 10 3 6" xfId="6457"/>
    <cellStyle name="Comma 2 2 2 10 4" xfId="6458"/>
    <cellStyle name="Comma 2 2 2 10 4 2" xfId="6459"/>
    <cellStyle name="Comma 2 2 2 10 4 2 2" xfId="6460"/>
    <cellStyle name="Comma 2 2 2 10 4 3" xfId="6461"/>
    <cellStyle name="Comma 2 2 2 10 4 4" xfId="6462"/>
    <cellStyle name="Comma 2 2 2 10 4 5" xfId="6463"/>
    <cellStyle name="Comma 2 2 2 10 5" xfId="6464"/>
    <cellStyle name="Comma 2 2 2 10 5 2" xfId="6465"/>
    <cellStyle name="Comma 2 2 2 10 5 3" xfId="6466"/>
    <cellStyle name="Comma 2 2 2 10 5 4" xfId="6467"/>
    <cellStyle name="Comma 2 2 2 10 6" xfId="6468"/>
    <cellStyle name="Comma 2 2 2 10 6 2" xfId="6469"/>
    <cellStyle name="Comma 2 2 2 10 7" xfId="6470"/>
    <cellStyle name="Comma 2 2 2 10 8" xfId="6471"/>
    <cellStyle name="Comma 2 2 2 10 9" xfId="6472"/>
    <cellStyle name="Comma 2 2 2 11" xfId="6473"/>
    <cellStyle name="Comma 2 2 2 11 10" xfId="6474"/>
    <cellStyle name="Comma 2 2 2 11 2" xfId="6475"/>
    <cellStyle name="Comma 2 2 2 11 2 2" xfId="6476"/>
    <cellStyle name="Comma 2 2 2 11 2 2 2" xfId="6477"/>
    <cellStyle name="Comma 2 2 2 11 2 2 3" xfId="6478"/>
    <cellStyle name="Comma 2 2 2 11 2 3" xfId="6479"/>
    <cellStyle name="Comma 2 2 2 11 2 4" xfId="6480"/>
    <cellStyle name="Comma 2 2 2 11 2 5" xfId="6481"/>
    <cellStyle name="Comma 2 2 2 11 2 6" xfId="6482"/>
    <cellStyle name="Comma 2 2 2 11 3" xfId="6483"/>
    <cellStyle name="Comma 2 2 2 11 3 2" xfId="6484"/>
    <cellStyle name="Comma 2 2 2 11 3 2 2" xfId="6485"/>
    <cellStyle name="Comma 2 2 2 11 3 2 3" xfId="6486"/>
    <cellStyle name="Comma 2 2 2 11 3 3" xfId="6487"/>
    <cellStyle name="Comma 2 2 2 11 3 4" xfId="6488"/>
    <cellStyle name="Comma 2 2 2 11 3 5" xfId="6489"/>
    <cellStyle name="Comma 2 2 2 11 3 6" xfId="6490"/>
    <cellStyle name="Comma 2 2 2 11 4" xfId="6491"/>
    <cellStyle name="Comma 2 2 2 11 4 2" xfId="6492"/>
    <cellStyle name="Comma 2 2 2 11 4 2 2" xfId="6493"/>
    <cellStyle name="Comma 2 2 2 11 4 3" xfId="6494"/>
    <cellStyle name="Comma 2 2 2 11 4 4" xfId="6495"/>
    <cellStyle name="Comma 2 2 2 11 4 5" xfId="6496"/>
    <cellStyle name="Comma 2 2 2 11 5" xfId="6497"/>
    <cellStyle name="Comma 2 2 2 11 5 2" xfId="6498"/>
    <cellStyle name="Comma 2 2 2 11 5 3" xfId="6499"/>
    <cellStyle name="Comma 2 2 2 11 5 4" xfId="6500"/>
    <cellStyle name="Comma 2 2 2 11 6" xfId="6501"/>
    <cellStyle name="Comma 2 2 2 11 6 2" xfId="6502"/>
    <cellStyle name="Comma 2 2 2 11 7" xfId="6503"/>
    <cellStyle name="Comma 2 2 2 11 8" xfId="6504"/>
    <cellStyle name="Comma 2 2 2 11 9" xfId="6505"/>
    <cellStyle name="Comma 2 2 2 12" xfId="6506"/>
    <cellStyle name="Comma 2 2 2 12 10" xfId="6507"/>
    <cellStyle name="Comma 2 2 2 12 2" xfId="6508"/>
    <cellStyle name="Comma 2 2 2 12 2 2" xfId="6509"/>
    <cellStyle name="Comma 2 2 2 12 2 2 2" xfId="6510"/>
    <cellStyle name="Comma 2 2 2 12 2 2 3" xfId="6511"/>
    <cellStyle name="Comma 2 2 2 12 2 3" xfId="6512"/>
    <cellStyle name="Comma 2 2 2 12 2 4" xfId="6513"/>
    <cellStyle name="Comma 2 2 2 12 2 5" xfId="6514"/>
    <cellStyle name="Comma 2 2 2 12 2 6" xfId="6515"/>
    <cellStyle name="Comma 2 2 2 12 3" xfId="6516"/>
    <cellStyle name="Comma 2 2 2 12 3 2" xfId="6517"/>
    <cellStyle name="Comma 2 2 2 12 3 2 2" xfId="6518"/>
    <cellStyle name="Comma 2 2 2 12 3 2 3" xfId="6519"/>
    <cellStyle name="Comma 2 2 2 12 3 3" xfId="6520"/>
    <cellStyle name="Comma 2 2 2 12 3 4" xfId="6521"/>
    <cellStyle name="Comma 2 2 2 12 3 5" xfId="6522"/>
    <cellStyle name="Comma 2 2 2 12 3 6" xfId="6523"/>
    <cellStyle name="Comma 2 2 2 12 4" xfId="6524"/>
    <cellStyle name="Comma 2 2 2 12 4 2" xfId="6525"/>
    <cellStyle name="Comma 2 2 2 12 4 2 2" xfId="6526"/>
    <cellStyle name="Comma 2 2 2 12 4 3" xfId="6527"/>
    <cellStyle name="Comma 2 2 2 12 4 4" xfId="6528"/>
    <cellStyle name="Comma 2 2 2 12 4 5" xfId="6529"/>
    <cellStyle name="Comma 2 2 2 12 5" xfId="6530"/>
    <cellStyle name="Comma 2 2 2 12 5 2" xfId="6531"/>
    <cellStyle name="Comma 2 2 2 12 5 3" xfId="6532"/>
    <cellStyle name="Comma 2 2 2 12 5 4" xfId="6533"/>
    <cellStyle name="Comma 2 2 2 12 6" xfId="6534"/>
    <cellStyle name="Comma 2 2 2 12 6 2" xfId="6535"/>
    <cellStyle name="Comma 2 2 2 12 7" xfId="6536"/>
    <cellStyle name="Comma 2 2 2 12 8" xfId="6537"/>
    <cellStyle name="Comma 2 2 2 12 9" xfId="6538"/>
    <cellStyle name="Comma 2 2 2 13" xfId="6539"/>
    <cellStyle name="Comma 2 2 2 13 2" xfId="6540"/>
    <cellStyle name="Comma 2 2 2 13 2 2" xfId="6541"/>
    <cellStyle name="Comma 2 2 2 13 2 2 2" xfId="6542"/>
    <cellStyle name="Comma 2 2 2 13 2 2 3" xfId="6543"/>
    <cellStyle name="Comma 2 2 2 13 2 3" xfId="6544"/>
    <cellStyle name="Comma 2 2 2 13 2 4" xfId="6545"/>
    <cellStyle name="Comma 2 2 2 13 2 5" xfId="6546"/>
    <cellStyle name="Comma 2 2 2 13 2 6" xfId="6547"/>
    <cellStyle name="Comma 2 2 2 13 3" xfId="6548"/>
    <cellStyle name="Comma 2 2 2 13 3 2" xfId="6549"/>
    <cellStyle name="Comma 2 2 2 13 3 2 2" xfId="6550"/>
    <cellStyle name="Comma 2 2 2 13 3 3" xfId="6551"/>
    <cellStyle name="Comma 2 2 2 13 3 4" xfId="6552"/>
    <cellStyle name="Comma 2 2 2 13 3 5" xfId="6553"/>
    <cellStyle name="Comma 2 2 2 13 4" xfId="6554"/>
    <cellStyle name="Comma 2 2 2 13 4 2" xfId="6555"/>
    <cellStyle name="Comma 2 2 2 13 4 3" xfId="6556"/>
    <cellStyle name="Comma 2 2 2 13 4 4" xfId="6557"/>
    <cellStyle name="Comma 2 2 2 13 5" xfId="6558"/>
    <cellStyle name="Comma 2 2 2 13 5 2" xfId="6559"/>
    <cellStyle name="Comma 2 2 2 13 6" xfId="6560"/>
    <cellStyle name="Comma 2 2 2 13 7" xfId="6561"/>
    <cellStyle name="Comma 2 2 2 13 8" xfId="6562"/>
    <cellStyle name="Comma 2 2 2 13 9" xfId="6563"/>
    <cellStyle name="Comma 2 2 2 14" xfId="6564"/>
    <cellStyle name="Comma 2 2 2 14 2" xfId="6565"/>
    <cellStyle name="Comma 2 2 2 14 2 2" xfId="6566"/>
    <cellStyle name="Comma 2 2 2 14 2 2 2" xfId="6567"/>
    <cellStyle name="Comma 2 2 2 14 2 2 3" xfId="6568"/>
    <cellStyle name="Comma 2 2 2 14 2 3" xfId="6569"/>
    <cellStyle name="Comma 2 2 2 14 2 4" xfId="6570"/>
    <cellStyle name="Comma 2 2 2 14 2 5" xfId="6571"/>
    <cellStyle name="Comma 2 2 2 14 2 6" xfId="6572"/>
    <cellStyle name="Comma 2 2 2 14 3" xfId="6573"/>
    <cellStyle name="Comma 2 2 2 14 3 2" xfId="6574"/>
    <cellStyle name="Comma 2 2 2 14 3 2 2" xfId="6575"/>
    <cellStyle name="Comma 2 2 2 14 3 3" xfId="6576"/>
    <cellStyle name="Comma 2 2 2 14 3 4" xfId="6577"/>
    <cellStyle name="Comma 2 2 2 14 3 5" xfId="6578"/>
    <cellStyle name="Comma 2 2 2 14 4" xfId="6579"/>
    <cellStyle name="Comma 2 2 2 14 4 2" xfId="6580"/>
    <cellStyle name="Comma 2 2 2 14 4 3" xfId="6581"/>
    <cellStyle name="Comma 2 2 2 14 4 4" xfId="6582"/>
    <cellStyle name="Comma 2 2 2 14 5" xfId="6583"/>
    <cellStyle name="Comma 2 2 2 14 5 2" xfId="6584"/>
    <cellStyle name="Comma 2 2 2 14 6" xfId="6585"/>
    <cellStyle name="Comma 2 2 2 14 7" xfId="6586"/>
    <cellStyle name="Comma 2 2 2 14 8" xfId="6587"/>
    <cellStyle name="Comma 2 2 2 14 9" xfId="6588"/>
    <cellStyle name="Comma 2 2 2 15" xfId="6589"/>
    <cellStyle name="Comma 2 2 2 15 2" xfId="6590"/>
    <cellStyle name="Comma 2 2 2 15 2 2" xfId="6591"/>
    <cellStyle name="Comma 2 2 2 15 2 3" xfId="6592"/>
    <cellStyle name="Comma 2 2 2 15 3" xfId="6593"/>
    <cellStyle name="Comma 2 2 2 15 4" xfId="6594"/>
    <cellStyle name="Comma 2 2 2 15 5" xfId="6595"/>
    <cellStyle name="Comma 2 2 2 15 6" xfId="6596"/>
    <cellStyle name="Comma 2 2 2 16" xfId="6597"/>
    <cellStyle name="Comma 2 2 2 16 2" xfId="6598"/>
    <cellStyle name="Comma 2 2 2 16 2 2" xfId="6599"/>
    <cellStyle name="Comma 2 2 2 16 2 3" xfId="6600"/>
    <cellStyle name="Comma 2 2 2 16 3" xfId="6601"/>
    <cellStyle name="Comma 2 2 2 16 4" xfId="6602"/>
    <cellStyle name="Comma 2 2 2 16 5" xfId="6603"/>
    <cellStyle name="Comma 2 2 2 16 6" xfId="6604"/>
    <cellStyle name="Comma 2 2 2 17" xfId="6605"/>
    <cellStyle name="Comma 2 2 2 17 2" xfId="6606"/>
    <cellStyle name="Comma 2 2 2 17 2 2" xfId="6607"/>
    <cellStyle name="Comma 2 2 2 17 2 3" xfId="6608"/>
    <cellStyle name="Comma 2 2 2 17 3" xfId="6609"/>
    <cellStyle name="Comma 2 2 2 17 4" xfId="6610"/>
    <cellStyle name="Comma 2 2 2 17 5" xfId="6611"/>
    <cellStyle name="Comma 2 2 2 17 6" xfId="6612"/>
    <cellStyle name="Comma 2 2 2 18" xfId="6613"/>
    <cellStyle name="Comma 2 2 2 18 2" xfId="6614"/>
    <cellStyle name="Comma 2 2 2 18 3" xfId="6615"/>
    <cellStyle name="Comma 2 2 2 18 4" xfId="6616"/>
    <cellStyle name="Comma 2 2 2 19" xfId="6617"/>
    <cellStyle name="Comma 2 2 2 19 2" xfId="6618"/>
    <cellStyle name="Comma 2 2 2 19 3" xfId="6619"/>
    <cellStyle name="Comma 2 2 2 2" xfId="6620"/>
    <cellStyle name="Comma 2 2 2 2 10" xfId="6621"/>
    <cellStyle name="Comma 2 2 2 2 11" xfId="6622"/>
    <cellStyle name="Comma 2 2 2 2 2" xfId="6623"/>
    <cellStyle name="Comma 2 2 2 2 2 2" xfId="6624"/>
    <cellStyle name="Comma 2 2 2 2 2 2 2" xfId="6625"/>
    <cellStyle name="Comma 2 2 2 2 2 2 2 2" xfId="6626"/>
    <cellStyle name="Comma 2 2 2 2 2 2 2 3" xfId="6627"/>
    <cellStyle name="Comma 2 2 2 2 2 2 3" xfId="6628"/>
    <cellStyle name="Comma 2 2 2 2 2 2 4" xfId="6629"/>
    <cellStyle name="Comma 2 2 2 2 2 2 5" xfId="6630"/>
    <cellStyle name="Comma 2 2 2 2 2 2 6" xfId="6631"/>
    <cellStyle name="Comma 2 2 2 2 2 3" xfId="6632"/>
    <cellStyle name="Comma 2 2 2 2 2 3 2" xfId="6633"/>
    <cellStyle name="Comma 2 2 2 2 2 3 2 2" xfId="6634"/>
    <cellStyle name="Comma 2 2 2 2 2 3 3" xfId="6635"/>
    <cellStyle name="Comma 2 2 2 2 2 3 4" xfId="6636"/>
    <cellStyle name="Comma 2 2 2 2 2 3 5" xfId="6637"/>
    <cellStyle name="Comma 2 2 2 2 2 3 6" xfId="6638"/>
    <cellStyle name="Comma 2 2 2 2 2 4" xfId="6639"/>
    <cellStyle name="Comma 2 2 2 2 2 4 2" xfId="6640"/>
    <cellStyle name="Comma 2 2 2 2 2 4 3" xfId="6641"/>
    <cellStyle name="Comma 2 2 2 2 2 4 4" xfId="6642"/>
    <cellStyle name="Comma 2 2 2 2 2 4 5" xfId="6643"/>
    <cellStyle name="Comma 2 2 2 2 2 5" xfId="6644"/>
    <cellStyle name="Comma 2 2 2 2 2 5 2" xfId="6645"/>
    <cellStyle name="Comma 2 2 2 2 2 6" xfId="6646"/>
    <cellStyle name="Comma 2 2 2 2 2 7" xfId="6647"/>
    <cellStyle name="Comma 2 2 2 2 2 8" xfId="6648"/>
    <cellStyle name="Comma 2 2 2 2 2 9" xfId="6649"/>
    <cellStyle name="Comma 2 2 2 2 3" xfId="6650"/>
    <cellStyle name="Comma 2 2 2 2 3 2" xfId="6651"/>
    <cellStyle name="Comma 2 2 2 2 3 2 2" xfId="6652"/>
    <cellStyle name="Comma 2 2 2 2 3 2 2 2" xfId="6653"/>
    <cellStyle name="Comma 2 2 2 2 3 2 2 3" xfId="6654"/>
    <cellStyle name="Comma 2 2 2 2 3 2 3" xfId="6655"/>
    <cellStyle name="Comma 2 2 2 2 3 2 4" xfId="6656"/>
    <cellStyle name="Comma 2 2 2 2 3 2 5" xfId="6657"/>
    <cellStyle name="Comma 2 2 2 2 3 2 6" xfId="6658"/>
    <cellStyle name="Comma 2 2 2 2 3 3" xfId="6659"/>
    <cellStyle name="Comma 2 2 2 2 3 3 2" xfId="6660"/>
    <cellStyle name="Comma 2 2 2 2 3 3 2 2" xfId="6661"/>
    <cellStyle name="Comma 2 2 2 2 3 3 3" xfId="6662"/>
    <cellStyle name="Comma 2 2 2 2 3 3 4" xfId="6663"/>
    <cellStyle name="Comma 2 2 2 2 3 3 5" xfId="6664"/>
    <cellStyle name="Comma 2 2 2 2 3 4" xfId="6665"/>
    <cellStyle name="Comma 2 2 2 2 3 4 2" xfId="6666"/>
    <cellStyle name="Comma 2 2 2 2 3 4 3" xfId="6667"/>
    <cellStyle name="Comma 2 2 2 2 3 4 4" xfId="6668"/>
    <cellStyle name="Comma 2 2 2 2 3 5" xfId="6669"/>
    <cellStyle name="Comma 2 2 2 2 3 5 2" xfId="6670"/>
    <cellStyle name="Comma 2 2 2 2 3 6" xfId="6671"/>
    <cellStyle name="Comma 2 2 2 2 3 7" xfId="6672"/>
    <cellStyle name="Comma 2 2 2 2 3 8" xfId="6673"/>
    <cellStyle name="Comma 2 2 2 2 3 9" xfId="6674"/>
    <cellStyle name="Comma 2 2 2 2 4" xfId="6675"/>
    <cellStyle name="Comma 2 2 2 2 4 2" xfId="6676"/>
    <cellStyle name="Comma 2 2 2 2 4 2 2" xfId="6677"/>
    <cellStyle name="Comma 2 2 2 2 4 2 3" xfId="6678"/>
    <cellStyle name="Comma 2 2 2 2 4 3" xfId="6679"/>
    <cellStyle name="Comma 2 2 2 2 4 4" xfId="6680"/>
    <cellStyle name="Comma 2 2 2 2 4 5" xfId="6681"/>
    <cellStyle name="Comma 2 2 2 2 4 6" xfId="6682"/>
    <cellStyle name="Comma 2 2 2 2 5" xfId="6683"/>
    <cellStyle name="Comma 2 2 2 2 5 2" xfId="6684"/>
    <cellStyle name="Comma 2 2 2 2 5 2 2" xfId="6685"/>
    <cellStyle name="Comma 2 2 2 2 5 3" xfId="6686"/>
    <cellStyle name="Comma 2 2 2 2 5 4" xfId="6687"/>
    <cellStyle name="Comma 2 2 2 2 5 5" xfId="6688"/>
    <cellStyle name="Comma 2 2 2 2 6" xfId="6689"/>
    <cellStyle name="Comma 2 2 2 2 6 2" xfId="6690"/>
    <cellStyle name="Comma 2 2 2 2 6 3" xfId="6691"/>
    <cellStyle name="Comma 2 2 2 2 6 4" xfId="6692"/>
    <cellStyle name="Comma 2 2 2 2 7" xfId="6693"/>
    <cellStyle name="Comma 2 2 2 2 7 2" xfId="6694"/>
    <cellStyle name="Comma 2 2 2 2 8" xfId="6695"/>
    <cellStyle name="Comma 2 2 2 2 9" xfId="6696"/>
    <cellStyle name="Comma 2 2 2 20" xfId="6697"/>
    <cellStyle name="Comma 2 2 2 20 2" xfId="6698"/>
    <cellStyle name="Comma 2 2 2 21" xfId="6699"/>
    <cellStyle name="Comma 2 2 2 21 2" xfId="6700"/>
    <cellStyle name="Comma 2 2 2 22" xfId="6701"/>
    <cellStyle name="Comma 2 2 2 22 2" xfId="6702"/>
    <cellStyle name="Comma 2 2 2 23" xfId="6703"/>
    <cellStyle name="Comma 2 2 2 23 2" xfId="6704"/>
    <cellStyle name="Comma 2 2 2 24" xfId="6705"/>
    <cellStyle name="Comma 2 2 2 24 2" xfId="6706"/>
    <cellStyle name="Comma 2 2 2 25" xfId="6707"/>
    <cellStyle name="Comma 2 2 2 25 2" xfId="6708"/>
    <cellStyle name="Comma 2 2 2 26" xfId="6709"/>
    <cellStyle name="Comma 2 2 2 26 2" xfId="6710"/>
    <cellStyle name="Comma 2 2 2 27" xfId="6711"/>
    <cellStyle name="Comma 2 2 2 27 2" xfId="6712"/>
    <cellStyle name="Comma 2 2 2 28" xfId="6713"/>
    <cellStyle name="Comma 2 2 2 28 2" xfId="6714"/>
    <cellStyle name="Comma 2 2 2 29" xfId="6715"/>
    <cellStyle name="Comma 2 2 2 29 2" xfId="6716"/>
    <cellStyle name="Comma 2 2 2 3" xfId="6717"/>
    <cellStyle name="Comma 2 2 2 3 10" xfId="6718"/>
    <cellStyle name="Comma 2 2 2 3 11" xfId="6719"/>
    <cellStyle name="Comma 2 2 2 3 2" xfId="6720"/>
    <cellStyle name="Comma 2 2 2 3 2 2" xfId="6721"/>
    <cellStyle name="Comma 2 2 2 3 2 2 2" xfId="6722"/>
    <cellStyle name="Comma 2 2 2 3 2 2 2 2" xfId="6723"/>
    <cellStyle name="Comma 2 2 2 3 2 2 2 3" xfId="6724"/>
    <cellStyle name="Comma 2 2 2 3 2 2 3" xfId="6725"/>
    <cellStyle name="Comma 2 2 2 3 2 2 4" xfId="6726"/>
    <cellStyle name="Comma 2 2 2 3 2 2 5" xfId="6727"/>
    <cellStyle name="Comma 2 2 2 3 2 2 6" xfId="6728"/>
    <cellStyle name="Comma 2 2 2 3 2 3" xfId="6729"/>
    <cellStyle name="Comma 2 2 2 3 2 3 2" xfId="6730"/>
    <cellStyle name="Comma 2 2 2 3 2 3 2 2" xfId="6731"/>
    <cellStyle name="Comma 2 2 2 3 2 3 3" xfId="6732"/>
    <cellStyle name="Comma 2 2 2 3 2 3 4" xfId="6733"/>
    <cellStyle name="Comma 2 2 2 3 2 3 5" xfId="6734"/>
    <cellStyle name="Comma 2 2 2 3 2 4" xfId="6735"/>
    <cellStyle name="Comma 2 2 2 3 2 4 2" xfId="6736"/>
    <cellStyle name="Comma 2 2 2 3 2 4 3" xfId="6737"/>
    <cellStyle name="Comma 2 2 2 3 2 4 4" xfId="6738"/>
    <cellStyle name="Comma 2 2 2 3 2 5" xfId="6739"/>
    <cellStyle name="Comma 2 2 2 3 2 5 2" xfId="6740"/>
    <cellStyle name="Comma 2 2 2 3 2 6" xfId="6741"/>
    <cellStyle name="Comma 2 2 2 3 2 7" xfId="6742"/>
    <cellStyle name="Comma 2 2 2 3 2 8" xfId="6743"/>
    <cellStyle name="Comma 2 2 2 3 2 9" xfId="6744"/>
    <cellStyle name="Comma 2 2 2 3 3" xfId="6745"/>
    <cellStyle name="Comma 2 2 2 3 3 2" xfId="6746"/>
    <cellStyle name="Comma 2 2 2 3 3 2 2" xfId="6747"/>
    <cellStyle name="Comma 2 2 2 3 3 2 2 2" xfId="6748"/>
    <cellStyle name="Comma 2 2 2 3 3 2 2 3" xfId="6749"/>
    <cellStyle name="Comma 2 2 2 3 3 2 3" xfId="6750"/>
    <cellStyle name="Comma 2 2 2 3 3 2 4" xfId="6751"/>
    <cellStyle name="Comma 2 2 2 3 3 2 5" xfId="6752"/>
    <cellStyle name="Comma 2 2 2 3 3 2 6" xfId="6753"/>
    <cellStyle name="Comma 2 2 2 3 3 3" xfId="6754"/>
    <cellStyle name="Comma 2 2 2 3 3 3 2" xfId="6755"/>
    <cellStyle name="Comma 2 2 2 3 3 3 2 2" xfId="6756"/>
    <cellStyle name="Comma 2 2 2 3 3 3 3" xfId="6757"/>
    <cellStyle name="Comma 2 2 2 3 3 3 4" xfId="6758"/>
    <cellStyle name="Comma 2 2 2 3 3 3 5" xfId="6759"/>
    <cellStyle name="Comma 2 2 2 3 3 4" xfId="6760"/>
    <cellStyle name="Comma 2 2 2 3 3 4 2" xfId="6761"/>
    <cellStyle name="Comma 2 2 2 3 3 4 3" xfId="6762"/>
    <cellStyle name="Comma 2 2 2 3 3 4 4" xfId="6763"/>
    <cellStyle name="Comma 2 2 2 3 3 5" xfId="6764"/>
    <cellStyle name="Comma 2 2 2 3 3 5 2" xfId="6765"/>
    <cellStyle name="Comma 2 2 2 3 3 6" xfId="6766"/>
    <cellStyle name="Comma 2 2 2 3 3 7" xfId="6767"/>
    <cellStyle name="Comma 2 2 2 3 3 8" xfId="6768"/>
    <cellStyle name="Comma 2 2 2 3 3 9" xfId="6769"/>
    <cellStyle name="Comma 2 2 2 3 4" xfId="6770"/>
    <cellStyle name="Comma 2 2 2 3 4 2" xfId="6771"/>
    <cellStyle name="Comma 2 2 2 3 4 2 2" xfId="6772"/>
    <cellStyle name="Comma 2 2 2 3 4 2 3" xfId="6773"/>
    <cellStyle name="Comma 2 2 2 3 4 3" xfId="6774"/>
    <cellStyle name="Comma 2 2 2 3 4 4" xfId="6775"/>
    <cellStyle name="Comma 2 2 2 3 4 5" xfId="6776"/>
    <cellStyle name="Comma 2 2 2 3 4 6" xfId="6777"/>
    <cellStyle name="Comma 2 2 2 3 5" xfId="6778"/>
    <cellStyle name="Comma 2 2 2 3 5 2" xfId="6779"/>
    <cellStyle name="Comma 2 2 2 3 5 2 2" xfId="6780"/>
    <cellStyle name="Comma 2 2 2 3 5 3" xfId="6781"/>
    <cellStyle name="Comma 2 2 2 3 5 4" xfId="6782"/>
    <cellStyle name="Comma 2 2 2 3 5 5" xfId="6783"/>
    <cellStyle name="Comma 2 2 2 3 6" xfId="6784"/>
    <cellStyle name="Comma 2 2 2 3 6 2" xfId="6785"/>
    <cellStyle name="Comma 2 2 2 3 6 3" xfId="6786"/>
    <cellStyle name="Comma 2 2 2 3 6 4" xfId="6787"/>
    <cellStyle name="Comma 2 2 2 3 7" xfId="6788"/>
    <cellStyle name="Comma 2 2 2 3 7 2" xfId="6789"/>
    <cellStyle name="Comma 2 2 2 3 8" xfId="6790"/>
    <cellStyle name="Comma 2 2 2 3 9" xfId="6791"/>
    <cellStyle name="Comma 2 2 2 30" xfId="6792"/>
    <cellStyle name="Comma 2 2 2 30 2" xfId="6793"/>
    <cellStyle name="Comma 2 2 2 31" xfId="6794"/>
    <cellStyle name="Comma 2 2 2 31 2" xfId="6795"/>
    <cellStyle name="Comma 2 2 2 32" xfId="6796"/>
    <cellStyle name="Comma 2 2 2 32 2" xfId="6797"/>
    <cellStyle name="Comma 2 2 2 33" xfId="6798"/>
    <cellStyle name="Comma 2 2 2 33 2" xfId="6799"/>
    <cellStyle name="Comma 2 2 2 34" xfId="6800"/>
    <cellStyle name="Comma 2 2 2 34 2" xfId="6801"/>
    <cellStyle name="Comma 2 2 2 35" xfId="6802"/>
    <cellStyle name="Comma 2 2 2 35 2" xfId="6803"/>
    <cellStyle name="Comma 2 2 2 36" xfId="6804"/>
    <cellStyle name="Comma 2 2 2 37" xfId="6805"/>
    <cellStyle name="Comma 2 2 2 38" xfId="6806"/>
    <cellStyle name="Comma 2 2 2 4" xfId="6807"/>
    <cellStyle name="Comma 2 2 2 4 10" xfId="6808"/>
    <cellStyle name="Comma 2 2 2 4 11" xfId="6809"/>
    <cellStyle name="Comma 2 2 2 4 2" xfId="6810"/>
    <cellStyle name="Comma 2 2 2 4 2 2" xfId="6811"/>
    <cellStyle name="Comma 2 2 2 4 2 2 2" xfId="6812"/>
    <cellStyle name="Comma 2 2 2 4 2 2 2 2" xfId="6813"/>
    <cellStyle name="Comma 2 2 2 4 2 2 2 3" xfId="6814"/>
    <cellStyle name="Comma 2 2 2 4 2 2 3" xfId="6815"/>
    <cellStyle name="Comma 2 2 2 4 2 2 4" xfId="6816"/>
    <cellStyle name="Comma 2 2 2 4 2 2 5" xfId="6817"/>
    <cellStyle name="Comma 2 2 2 4 2 2 6" xfId="6818"/>
    <cellStyle name="Comma 2 2 2 4 2 3" xfId="6819"/>
    <cellStyle name="Comma 2 2 2 4 2 3 2" xfId="6820"/>
    <cellStyle name="Comma 2 2 2 4 2 3 2 2" xfId="6821"/>
    <cellStyle name="Comma 2 2 2 4 2 3 3" xfId="6822"/>
    <cellStyle name="Comma 2 2 2 4 2 3 4" xfId="6823"/>
    <cellStyle name="Comma 2 2 2 4 2 3 5" xfId="6824"/>
    <cellStyle name="Comma 2 2 2 4 2 4" xfId="6825"/>
    <cellStyle name="Comma 2 2 2 4 2 4 2" xfId="6826"/>
    <cellStyle name="Comma 2 2 2 4 2 4 3" xfId="6827"/>
    <cellStyle name="Comma 2 2 2 4 2 4 4" xfId="6828"/>
    <cellStyle name="Comma 2 2 2 4 2 5" xfId="6829"/>
    <cellStyle name="Comma 2 2 2 4 2 5 2" xfId="6830"/>
    <cellStyle name="Comma 2 2 2 4 2 6" xfId="6831"/>
    <cellStyle name="Comma 2 2 2 4 2 7" xfId="6832"/>
    <cellStyle name="Comma 2 2 2 4 2 8" xfId="6833"/>
    <cellStyle name="Comma 2 2 2 4 2 9" xfId="6834"/>
    <cellStyle name="Comma 2 2 2 4 3" xfId="6835"/>
    <cellStyle name="Comma 2 2 2 4 3 2" xfId="6836"/>
    <cellStyle name="Comma 2 2 2 4 3 2 2" xfId="6837"/>
    <cellStyle name="Comma 2 2 2 4 3 2 2 2" xfId="6838"/>
    <cellStyle name="Comma 2 2 2 4 3 2 2 3" xfId="6839"/>
    <cellStyle name="Comma 2 2 2 4 3 2 3" xfId="6840"/>
    <cellStyle name="Comma 2 2 2 4 3 2 4" xfId="6841"/>
    <cellStyle name="Comma 2 2 2 4 3 2 5" xfId="6842"/>
    <cellStyle name="Comma 2 2 2 4 3 2 6" xfId="6843"/>
    <cellStyle name="Comma 2 2 2 4 3 3" xfId="6844"/>
    <cellStyle name="Comma 2 2 2 4 3 3 2" xfId="6845"/>
    <cellStyle name="Comma 2 2 2 4 3 3 2 2" xfId="6846"/>
    <cellStyle name="Comma 2 2 2 4 3 3 3" xfId="6847"/>
    <cellStyle name="Comma 2 2 2 4 3 3 4" xfId="6848"/>
    <cellStyle name="Comma 2 2 2 4 3 3 5" xfId="6849"/>
    <cellStyle name="Comma 2 2 2 4 3 4" xfId="6850"/>
    <cellStyle name="Comma 2 2 2 4 3 4 2" xfId="6851"/>
    <cellStyle name="Comma 2 2 2 4 3 4 3" xfId="6852"/>
    <cellStyle name="Comma 2 2 2 4 3 4 4" xfId="6853"/>
    <cellStyle name="Comma 2 2 2 4 3 5" xfId="6854"/>
    <cellStyle name="Comma 2 2 2 4 3 5 2" xfId="6855"/>
    <cellStyle name="Comma 2 2 2 4 3 6" xfId="6856"/>
    <cellStyle name="Comma 2 2 2 4 3 7" xfId="6857"/>
    <cellStyle name="Comma 2 2 2 4 3 8" xfId="6858"/>
    <cellStyle name="Comma 2 2 2 4 3 9" xfId="6859"/>
    <cellStyle name="Comma 2 2 2 4 4" xfId="6860"/>
    <cellStyle name="Comma 2 2 2 4 4 2" xfId="6861"/>
    <cellStyle name="Comma 2 2 2 4 4 2 2" xfId="6862"/>
    <cellStyle name="Comma 2 2 2 4 4 2 3" xfId="6863"/>
    <cellStyle name="Comma 2 2 2 4 4 3" xfId="6864"/>
    <cellStyle name="Comma 2 2 2 4 4 4" xfId="6865"/>
    <cellStyle name="Comma 2 2 2 4 4 5" xfId="6866"/>
    <cellStyle name="Comma 2 2 2 4 4 6" xfId="6867"/>
    <cellStyle name="Comma 2 2 2 4 5" xfId="6868"/>
    <cellStyle name="Comma 2 2 2 4 5 2" xfId="6869"/>
    <cellStyle name="Comma 2 2 2 4 5 2 2" xfId="6870"/>
    <cellStyle name="Comma 2 2 2 4 5 3" xfId="6871"/>
    <cellStyle name="Comma 2 2 2 4 5 4" xfId="6872"/>
    <cellStyle name="Comma 2 2 2 4 5 5" xfId="6873"/>
    <cellStyle name="Comma 2 2 2 4 6" xfId="6874"/>
    <cellStyle name="Comma 2 2 2 4 6 2" xfId="6875"/>
    <cellStyle name="Comma 2 2 2 4 6 3" xfId="6876"/>
    <cellStyle name="Comma 2 2 2 4 6 4" xfId="6877"/>
    <cellStyle name="Comma 2 2 2 4 7" xfId="6878"/>
    <cellStyle name="Comma 2 2 2 4 7 2" xfId="6879"/>
    <cellStyle name="Comma 2 2 2 4 8" xfId="6880"/>
    <cellStyle name="Comma 2 2 2 4 9" xfId="6881"/>
    <cellStyle name="Comma 2 2 2 5" xfId="6882"/>
    <cellStyle name="Comma 2 2 2 5 10" xfId="6883"/>
    <cellStyle name="Comma 2 2 2 5 11" xfId="6884"/>
    <cellStyle name="Comma 2 2 2 5 2" xfId="6885"/>
    <cellStyle name="Comma 2 2 2 5 2 2" xfId="6886"/>
    <cellStyle name="Comma 2 2 2 5 2 2 2" xfId="6887"/>
    <cellStyle name="Comma 2 2 2 5 2 2 2 2" xfId="6888"/>
    <cellStyle name="Comma 2 2 2 5 2 2 2 3" xfId="6889"/>
    <cellStyle name="Comma 2 2 2 5 2 2 3" xfId="6890"/>
    <cellStyle name="Comma 2 2 2 5 2 2 4" xfId="6891"/>
    <cellStyle name="Comma 2 2 2 5 2 2 5" xfId="6892"/>
    <cellStyle name="Comma 2 2 2 5 2 2 6" xfId="6893"/>
    <cellStyle name="Comma 2 2 2 5 2 3" xfId="6894"/>
    <cellStyle name="Comma 2 2 2 5 2 3 2" xfId="6895"/>
    <cellStyle name="Comma 2 2 2 5 2 3 2 2" xfId="6896"/>
    <cellStyle name="Comma 2 2 2 5 2 3 3" xfId="6897"/>
    <cellStyle name="Comma 2 2 2 5 2 3 4" xfId="6898"/>
    <cellStyle name="Comma 2 2 2 5 2 3 5" xfId="6899"/>
    <cellStyle name="Comma 2 2 2 5 2 4" xfId="6900"/>
    <cellStyle name="Comma 2 2 2 5 2 4 2" xfId="6901"/>
    <cellStyle name="Comma 2 2 2 5 2 4 3" xfId="6902"/>
    <cellStyle name="Comma 2 2 2 5 2 4 4" xfId="6903"/>
    <cellStyle name="Comma 2 2 2 5 2 5" xfId="6904"/>
    <cellStyle name="Comma 2 2 2 5 2 5 2" xfId="6905"/>
    <cellStyle name="Comma 2 2 2 5 2 6" xfId="6906"/>
    <cellStyle name="Comma 2 2 2 5 2 7" xfId="6907"/>
    <cellStyle name="Comma 2 2 2 5 2 8" xfId="6908"/>
    <cellStyle name="Comma 2 2 2 5 2 9" xfId="6909"/>
    <cellStyle name="Comma 2 2 2 5 3" xfId="6910"/>
    <cellStyle name="Comma 2 2 2 5 3 2" xfId="6911"/>
    <cellStyle name="Comma 2 2 2 5 3 2 2" xfId="6912"/>
    <cellStyle name="Comma 2 2 2 5 3 2 2 2" xfId="6913"/>
    <cellStyle name="Comma 2 2 2 5 3 2 2 3" xfId="6914"/>
    <cellStyle name="Comma 2 2 2 5 3 2 3" xfId="6915"/>
    <cellStyle name="Comma 2 2 2 5 3 2 4" xfId="6916"/>
    <cellStyle name="Comma 2 2 2 5 3 2 5" xfId="6917"/>
    <cellStyle name="Comma 2 2 2 5 3 2 6" xfId="6918"/>
    <cellStyle name="Comma 2 2 2 5 3 3" xfId="6919"/>
    <cellStyle name="Comma 2 2 2 5 3 3 2" xfId="6920"/>
    <cellStyle name="Comma 2 2 2 5 3 3 2 2" xfId="6921"/>
    <cellStyle name="Comma 2 2 2 5 3 3 3" xfId="6922"/>
    <cellStyle name="Comma 2 2 2 5 3 3 4" xfId="6923"/>
    <cellStyle name="Comma 2 2 2 5 3 3 5" xfId="6924"/>
    <cellStyle name="Comma 2 2 2 5 3 4" xfId="6925"/>
    <cellStyle name="Comma 2 2 2 5 3 4 2" xfId="6926"/>
    <cellStyle name="Comma 2 2 2 5 3 4 3" xfId="6927"/>
    <cellStyle name="Comma 2 2 2 5 3 4 4" xfId="6928"/>
    <cellStyle name="Comma 2 2 2 5 3 5" xfId="6929"/>
    <cellStyle name="Comma 2 2 2 5 3 5 2" xfId="6930"/>
    <cellStyle name="Comma 2 2 2 5 3 6" xfId="6931"/>
    <cellStyle name="Comma 2 2 2 5 3 7" xfId="6932"/>
    <cellStyle name="Comma 2 2 2 5 3 8" xfId="6933"/>
    <cellStyle name="Comma 2 2 2 5 3 9" xfId="6934"/>
    <cellStyle name="Comma 2 2 2 5 4" xfId="6935"/>
    <cellStyle name="Comma 2 2 2 5 4 2" xfId="6936"/>
    <cellStyle name="Comma 2 2 2 5 4 2 2" xfId="6937"/>
    <cellStyle name="Comma 2 2 2 5 4 2 3" xfId="6938"/>
    <cellStyle name="Comma 2 2 2 5 4 3" xfId="6939"/>
    <cellStyle name="Comma 2 2 2 5 4 4" xfId="6940"/>
    <cellStyle name="Comma 2 2 2 5 4 5" xfId="6941"/>
    <cellStyle name="Comma 2 2 2 5 4 6" xfId="6942"/>
    <cellStyle name="Comma 2 2 2 5 5" xfId="6943"/>
    <cellStyle name="Comma 2 2 2 5 5 2" xfId="6944"/>
    <cellStyle name="Comma 2 2 2 5 5 2 2" xfId="6945"/>
    <cellStyle name="Comma 2 2 2 5 5 3" xfId="6946"/>
    <cellStyle name="Comma 2 2 2 5 5 4" xfId="6947"/>
    <cellStyle name="Comma 2 2 2 5 5 5" xfId="6948"/>
    <cellStyle name="Comma 2 2 2 5 6" xfId="6949"/>
    <cellStyle name="Comma 2 2 2 5 6 2" xfId="6950"/>
    <cellStyle name="Comma 2 2 2 5 6 3" xfId="6951"/>
    <cellStyle name="Comma 2 2 2 5 6 4" xfId="6952"/>
    <cellStyle name="Comma 2 2 2 5 7" xfId="6953"/>
    <cellStyle name="Comma 2 2 2 5 7 2" xfId="6954"/>
    <cellStyle name="Comma 2 2 2 5 8" xfId="6955"/>
    <cellStyle name="Comma 2 2 2 5 9" xfId="6956"/>
    <cellStyle name="Comma 2 2 2 6" xfId="6957"/>
    <cellStyle name="Comma 2 2 2 6 10" xfId="6958"/>
    <cellStyle name="Comma 2 2 2 6 11" xfId="6959"/>
    <cellStyle name="Comma 2 2 2 6 2" xfId="6960"/>
    <cellStyle name="Comma 2 2 2 6 2 2" xfId="6961"/>
    <cellStyle name="Comma 2 2 2 6 2 2 2" xfId="6962"/>
    <cellStyle name="Comma 2 2 2 6 2 2 2 2" xfId="6963"/>
    <cellStyle name="Comma 2 2 2 6 2 2 2 3" xfId="6964"/>
    <cellStyle name="Comma 2 2 2 6 2 2 3" xfId="6965"/>
    <cellStyle name="Comma 2 2 2 6 2 2 4" xfId="6966"/>
    <cellStyle name="Comma 2 2 2 6 2 2 5" xfId="6967"/>
    <cellStyle name="Comma 2 2 2 6 2 2 6" xfId="6968"/>
    <cellStyle name="Comma 2 2 2 6 2 3" xfId="6969"/>
    <cellStyle name="Comma 2 2 2 6 2 3 2" xfId="6970"/>
    <cellStyle name="Comma 2 2 2 6 2 3 2 2" xfId="6971"/>
    <cellStyle name="Comma 2 2 2 6 2 3 3" xfId="6972"/>
    <cellStyle name="Comma 2 2 2 6 2 3 4" xfId="6973"/>
    <cellStyle name="Comma 2 2 2 6 2 3 5" xfId="6974"/>
    <cellStyle name="Comma 2 2 2 6 2 4" xfId="6975"/>
    <cellStyle name="Comma 2 2 2 6 2 4 2" xfId="6976"/>
    <cellStyle name="Comma 2 2 2 6 2 4 3" xfId="6977"/>
    <cellStyle name="Comma 2 2 2 6 2 4 4" xfId="6978"/>
    <cellStyle name="Comma 2 2 2 6 2 5" xfId="6979"/>
    <cellStyle name="Comma 2 2 2 6 2 5 2" xfId="6980"/>
    <cellStyle name="Comma 2 2 2 6 2 6" xfId="6981"/>
    <cellStyle name="Comma 2 2 2 6 2 7" xfId="6982"/>
    <cellStyle name="Comma 2 2 2 6 2 8" xfId="6983"/>
    <cellStyle name="Comma 2 2 2 6 2 9" xfId="6984"/>
    <cellStyle name="Comma 2 2 2 6 3" xfId="6985"/>
    <cellStyle name="Comma 2 2 2 6 3 2" xfId="6986"/>
    <cellStyle name="Comma 2 2 2 6 3 2 2" xfId="6987"/>
    <cellStyle name="Comma 2 2 2 6 3 2 2 2" xfId="6988"/>
    <cellStyle name="Comma 2 2 2 6 3 2 2 3" xfId="6989"/>
    <cellStyle name="Comma 2 2 2 6 3 2 3" xfId="6990"/>
    <cellStyle name="Comma 2 2 2 6 3 2 4" xfId="6991"/>
    <cellStyle name="Comma 2 2 2 6 3 2 5" xfId="6992"/>
    <cellStyle name="Comma 2 2 2 6 3 2 6" xfId="6993"/>
    <cellStyle name="Comma 2 2 2 6 3 3" xfId="6994"/>
    <cellStyle name="Comma 2 2 2 6 3 3 2" xfId="6995"/>
    <cellStyle name="Comma 2 2 2 6 3 3 2 2" xfId="6996"/>
    <cellStyle name="Comma 2 2 2 6 3 3 3" xfId="6997"/>
    <cellStyle name="Comma 2 2 2 6 3 3 4" xfId="6998"/>
    <cellStyle name="Comma 2 2 2 6 3 3 5" xfId="6999"/>
    <cellStyle name="Comma 2 2 2 6 3 4" xfId="7000"/>
    <cellStyle name="Comma 2 2 2 6 3 4 2" xfId="7001"/>
    <cellStyle name="Comma 2 2 2 6 3 4 3" xfId="7002"/>
    <cellStyle name="Comma 2 2 2 6 3 4 4" xfId="7003"/>
    <cellStyle name="Comma 2 2 2 6 3 5" xfId="7004"/>
    <cellStyle name="Comma 2 2 2 6 3 5 2" xfId="7005"/>
    <cellStyle name="Comma 2 2 2 6 3 6" xfId="7006"/>
    <cellStyle name="Comma 2 2 2 6 3 7" xfId="7007"/>
    <cellStyle name="Comma 2 2 2 6 3 8" xfId="7008"/>
    <cellStyle name="Comma 2 2 2 6 3 9" xfId="7009"/>
    <cellStyle name="Comma 2 2 2 6 4" xfId="7010"/>
    <cellStyle name="Comma 2 2 2 6 4 2" xfId="7011"/>
    <cellStyle name="Comma 2 2 2 6 4 2 2" xfId="7012"/>
    <cellStyle name="Comma 2 2 2 6 4 2 3" xfId="7013"/>
    <cellStyle name="Comma 2 2 2 6 4 3" xfId="7014"/>
    <cellStyle name="Comma 2 2 2 6 4 4" xfId="7015"/>
    <cellStyle name="Comma 2 2 2 6 4 5" xfId="7016"/>
    <cellStyle name="Comma 2 2 2 6 4 6" xfId="7017"/>
    <cellStyle name="Comma 2 2 2 6 5" xfId="7018"/>
    <cellStyle name="Comma 2 2 2 6 5 2" xfId="7019"/>
    <cellStyle name="Comma 2 2 2 6 5 2 2" xfId="7020"/>
    <cellStyle name="Comma 2 2 2 6 5 3" xfId="7021"/>
    <cellStyle name="Comma 2 2 2 6 5 4" xfId="7022"/>
    <cellStyle name="Comma 2 2 2 6 5 5" xfId="7023"/>
    <cellStyle name="Comma 2 2 2 6 6" xfId="7024"/>
    <cellStyle name="Comma 2 2 2 6 6 2" xfId="7025"/>
    <cellStyle name="Comma 2 2 2 6 6 3" xfId="7026"/>
    <cellStyle name="Comma 2 2 2 6 6 4" xfId="7027"/>
    <cellStyle name="Comma 2 2 2 6 7" xfId="7028"/>
    <cellStyle name="Comma 2 2 2 6 7 2" xfId="7029"/>
    <cellStyle name="Comma 2 2 2 6 8" xfId="7030"/>
    <cellStyle name="Comma 2 2 2 6 9" xfId="7031"/>
    <cellStyle name="Comma 2 2 2 7" xfId="7032"/>
    <cellStyle name="Comma 2 2 2 7 10" xfId="7033"/>
    <cellStyle name="Comma 2 2 2 7 11" xfId="7034"/>
    <cellStyle name="Comma 2 2 2 7 2" xfId="7035"/>
    <cellStyle name="Comma 2 2 2 7 2 2" xfId="7036"/>
    <cellStyle name="Comma 2 2 2 7 2 2 2" xfId="7037"/>
    <cellStyle name="Comma 2 2 2 7 2 2 2 2" xfId="7038"/>
    <cellStyle name="Comma 2 2 2 7 2 2 2 3" xfId="7039"/>
    <cellStyle name="Comma 2 2 2 7 2 2 3" xfId="7040"/>
    <cellStyle name="Comma 2 2 2 7 2 2 4" xfId="7041"/>
    <cellStyle name="Comma 2 2 2 7 2 2 5" xfId="7042"/>
    <cellStyle name="Comma 2 2 2 7 2 2 6" xfId="7043"/>
    <cellStyle name="Comma 2 2 2 7 2 3" xfId="7044"/>
    <cellStyle name="Comma 2 2 2 7 2 3 2" xfId="7045"/>
    <cellStyle name="Comma 2 2 2 7 2 3 2 2" xfId="7046"/>
    <cellStyle name="Comma 2 2 2 7 2 3 3" xfId="7047"/>
    <cellStyle name="Comma 2 2 2 7 2 3 4" xfId="7048"/>
    <cellStyle name="Comma 2 2 2 7 2 3 5" xfId="7049"/>
    <cellStyle name="Comma 2 2 2 7 2 4" xfId="7050"/>
    <cellStyle name="Comma 2 2 2 7 2 4 2" xfId="7051"/>
    <cellStyle name="Comma 2 2 2 7 2 4 3" xfId="7052"/>
    <cellStyle name="Comma 2 2 2 7 2 4 4" xfId="7053"/>
    <cellStyle name="Comma 2 2 2 7 2 5" xfId="7054"/>
    <cellStyle name="Comma 2 2 2 7 2 5 2" xfId="7055"/>
    <cellStyle name="Comma 2 2 2 7 2 6" xfId="7056"/>
    <cellStyle name="Comma 2 2 2 7 2 7" xfId="7057"/>
    <cellStyle name="Comma 2 2 2 7 2 8" xfId="7058"/>
    <cellStyle name="Comma 2 2 2 7 2 9" xfId="7059"/>
    <cellStyle name="Comma 2 2 2 7 3" xfId="7060"/>
    <cellStyle name="Comma 2 2 2 7 3 2" xfId="7061"/>
    <cellStyle name="Comma 2 2 2 7 3 2 2" xfId="7062"/>
    <cellStyle name="Comma 2 2 2 7 3 2 2 2" xfId="7063"/>
    <cellStyle name="Comma 2 2 2 7 3 2 2 3" xfId="7064"/>
    <cellStyle name="Comma 2 2 2 7 3 2 3" xfId="7065"/>
    <cellStyle name="Comma 2 2 2 7 3 2 4" xfId="7066"/>
    <cellStyle name="Comma 2 2 2 7 3 2 5" xfId="7067"/>
    <cellStyle name="Comma 2 2 2 7 3 2 6" xfId="7068"/>
    <cellStyle name="Comma 2 2 2 7 3 3" xfId="7069"/>
    <cellStyle name="Comma 2 2 2 7 3 3 2" xfId="7070"/>
    <cellStyle name="Comma 2 2 2 7 3 3 2 2" xfId="7071"/>
    <cellStyle name="Comma 2 2 2 7 3 3 3" xfId="7072"/>
    <cellStyle name="Comma 2 2 2 7 3 3 4" xfId="7073"/>
    <cellStyle name="Comma 2 2 2 7 3 3 5" xfId="7074"/>
    <cellStyle name="Comma 2 2 2 7 3 4" xfId="7075"/>
    <cellStyle name="Comma 2 2 2 7 3 4 2" xfId="7076"/>
    <cellStyle name="Comma 2 2 2 7 3 4 3" xfId="7077"/>
    <cellStyle name="Comma 2 2 2 7 3 4 4" xfId="7078"/>
    <cellStyle name="Comma 2 2 2 7 3 5" xfId="7079"/>
    <cellStyle name="Comma 2 2 2 7 3 5 2" xfId="7080"/>
    <cellStyle name="Comma 2 2 2 7 3 6" xfId="7081"/>
    <cellStyle name="Comma 2 2 2 7 3 7" xfId="7082"/>
    <cellStyle name="Comma 2 2 2 7 3 8" xfId="7083"/>
    <cellStyle name="Comma 2 2 2 7 3 9" xfId="7084"/>
    <cellStyle name="Comma 2 2 2 7 4" xfId="7085"/>
    <cellStyle name="Comma 2 2 2 7 4 2" xfId="7086"/>
    <cellStyle name="Comma 2 2 2 7 4 2 2" xfId="7087"/>
    <cellStyle name="Comma 2 2 2 7 4 2 3" xfId="7088"/>
    <cellStyle name="Comma 2 2 2 7 4 3" xfId="7089"/>
    <cellStyle name="Comma 2 2 2 7 4 4" xfId="7090"/>
    <cellStyle name="Comma 2 2 2 7 4 5" xfId="7091"/>
    <cellStyle name="Comma 2 2 2 7 4 6" xfId="7092"/>
    <cellStyle name="Comma 2 2 2 7 5" xfId="7093"/>
    <cellStyle name="Comma 2 2 2 7 5 2" xfId="7094"/>
    <cellStyle name="Comma 2 2 2 7 5 2 2" xfId="7095"/>
    <cellStyle name="Comma 2 2 2 7 5 3" xfId="7096"/>
    <cellStyle name="Comma 2 2 2 7 5 4" xfId="7097"/>
    <cellStyle name="Comma 2 2 2 7 5 5" xfId="7098"/>
    <cellStyle name="Comma 2 2 2 7 6" xfId="7099"/>
    <cellStyle name="Comma 2 2 2 7 6 2" xfId="7100"/>
    <cellStyle name="Comma 2 2 2 7 6 3" xfId="7101"/>
    <cellStyle name="Comma 2 2 2 7 6 4" xfId="7102"/>
    <cellStyle name="Comma 2 2 2 7 7" xfId="7103"/>
    <cellStyle name="Comma 2 2 2 7 7 2" xfId="7104"/>
    <cellStyle name="Comma 2 2 2 7 8" xfId="7105"/>
    <cellStyle name="Comma 2 2 2 7 9" xfId="7106"/>
    <cellStyle name="Comma 2 2 2 8" xfId="7107"/>
    <cellStyle name="Comma 2 2 2 8 10" xfId="7108"/>
    <cellStyle name="Comma 2 2 2 8 2" xfId="7109"/>
    <cellStyle name="Comma 2 2 2 8 2 2" xfId="7110"/>
    <cellStyle name="Comma 2 2 2 8 2 2 2" xfId="7111"/>
    <cellStyle name="Comma 2 2 2 8 2 2 3" xfId="7112"/>
    <cellStyle name="Comma 2 2 2 8 2 3" xfId="7113"/>
    <cellStyle name="Comma 2 2 2 8 2 4" xfId="7114"/>
    <cellStyle name="Comma 2 2 2 8 2 5" xfId="7115"/>
    <cellStyle name="Comma 2 2 2 8 2 6" xfId="7116"/>
    <cellStyle name="Comma 2 2 2 8 3" xfId="7117"/>
    <cellStyle name="Comma 2 2 2 8 3 2" xfId="7118"/>
    <cellStyle name="Comma 2 2 2 8 3 2 2" xfId="7119"/>
    <cellStyle name="Comma 2 2 2 8 3 2 3" xfId="7120"/>
    <cellStyle name="Comma 2 2 2 8 3 3" xfId="7121"/>
    <cellStyle name="Comma 2 2 2 8 3 4" xfId="7122"/>
    <cellStyle name="Comma 2 2 2 8 3 5" xfId="7123"/>
    <cellStyle name="Comma 2 2 2 8 3 6" xfId="7124"/>
    <cellStyle name="Comma 2 2 2 8 4" xfId="7125"/>
    <cellStyle name="Comma 2 2 2 8 4 2" xfId="7126"/>
    <cellStyle name="Comma 2 2 2 8 4 2 2" xfId="7127"/>
    <cellStyle name="Comma 2 2 2 8 4 3" xfId="7128"/>
    <cellStyle name="Comma 2 2 2 8 4 4" xfId="7129"/>
    <cellStyle name="Comma 2 2 2 8 4 5" xfId="7130"/>
    <cellStyle name="Comma 2 2 2 8 5" xfId="7131"/>
    <cellStyle name="Comma 2 2 2 8 5 2" xfId="7132"/>
    <cellStyle name="Comma 2 2 2 8 5 3" xfId="7133"/>
    <cellStyle name="Comma 2 2 2 8 5 4" xfId="7134"/>
    <cellStyle name="Comma 2 2 2 8 6" xfId="7135"/>
    <cellStyle name="Comma 2 2 2 8 6 2" xfId="7136"/>
    <cellStyle name="Comma 2 2 2 8 7" xfId="7137"/>
    <cellStyle name="Comma 2 2 2 8 8" xfId="7138"/>
    <cellStyle name="Comma 2 2 2 8 9" xfId="7139"/>
    <cellStyle name="Comma 2 2 2 9" xfId="7140"/>
    <cellStyle name="Comma 2 2 2 9 10" xfId="7141"/>
    <cellStyle name="Comma 2 2 2 9 2" xfId="7142"/>
    <cellStyle name="Comma 2 2 2 9 2 2" xfId="7143"/>
    <cellStyle name="Comma 2 2 2 9 2 2 2" xfId="7144"/>
    <cellStyle name="Comma 2 2 2 9 2 2 3" xfId="7145"/>
    <cellStyle name="Comma 2 2 2 9 2 3" xfId="7146"/>
    <cellStyle name="Comma 2 2 2 9 2 4" xfId="7147"/>
    <cellStyle name="Comma 2 2 2 9 2 5" xfId="7148"/>
    <cellStyle name="Comma 2 2 2 9 2 6" xfId="7149"/>
    <cellStyle name="Comma 2 2 2 9 3" xfId="7150"/>
    <cellStyle name="Comma 2 2 2 9 3 2" xfId="7151"/>
    <cellStyle name="Comma 2 2 2 9 3 2 2" xfId="7152"/>
    <cellStyle name="Comma 2 2 2 9 3 2 3" xfId="7153"/>
    <cellStyle name="Comma 2 2 2 9 3 3" xfId="7154"/>
    <cellStyle name="Comma 2 2 2 9 3 4" xfId="7155"/>
    <cellStyle name="Comma 2 2 2 9 3 5" xfId="7156"/>
    <cellStyle name="Comma 2 2 2 9 3 6" xfId="7157"/>
    <cellStyle name="Comma 2 2 2 9 4" xfId="7158"/>
    <cellStyle name="Comma 2 2 2 9 4 2" xfId="7159"/>
    <cellStyle name="Comma 2 2 2 9 4 2 2" xfId="7160"/>
    <cellStyle name="Comma 2 2 2 9 4 3" xfId="7161"/>
    <cellStyle name="Comma 2 2 2 9 4 4" xfId="7162"/>
    <cellStyle name="Comma 2 2 2 9 4 5" xfId="7163"/>
    <cellStyle name="Comma 2 2 2 9 5" xfId="7164"/>
    <cellStyle name="Comma 2 2 2 9 5 2" xfId="7165"/>
    <cellStyle name="Comma 2 2 2 9 5 3" xfId="7166"/>
    <cellStyle name="Comma 2 2 2 9 5 4" xfId="7167"/>
    <cellStyle name="Comma 2 2 2 9 6" xfId="7168"/>
    <cellStyle name="Comma 2 2 2 9 6 2" xfId="7169"/>
    <cellStyle name="Comma 2 2 2 9 7" xfId="7170"/>
    <cellStyle name="Comma 2 2 2 9 8" xfId="7171"/>
    <cellStyle name="Comma 2 2 2 9 9" xfId="7172"/>
    <cellStyle name="Comma 2 2 20" xfId="7173"/>
    <cellStyle name="Comma 2 2 20 10" xfId="7174"/>
    <cellStyle name="Comma 2 2 20 2" xfId="7175"/>
    <cellStyle name="Comma 2 2 20 2 2" xfId="7176"/>
    <cellStyle name="Comma 2 2 20 2 2 2" xfId="7177"/>
    <cellStyle name="Comma 2 2 20 2 2 3" xfId="7178"/>
    <cellStyle name="Comma 2 2 20 2 3" xfId="7179"/>
    <cellStyle name="Comma 2 2 20 2 4" xfId="7180"/>
    <cellStyle name="Comma 2 2 20 2 5" xfId="7181"/>
    <cellStyle name="Comma 2 2 20 2 6" xfId="7182"/>
    <cellStyle name="Comma 2 2 20 3" xfId="7183"/>
    <cellStyle name="Comma 2 2 20 3 2" xfId="7184"/>
    <cellStyle name="Comma 2 2 20 3 2 2" xfId="7185"/>
    <cellStyle name="Comma 2 2 20 3 2 3" xfId="7186"/>
    <cellStyle name="Comma 2 2 20 3 3" xfId="7187"/>
    <cellStyle name="Comma 2 2 20 3 4" xfId="7188"/>
    <cellStyle name="Comma 2 2 20 3 5" xfId="7189"/>
    <cellStyle name="Comma 2 2 20 3 6" xfId="7190"/>
    <cellStyle name="Comma 2 2 20 4" xfId="7191"/>
    <cellStyle name="Comma 2 2 20 4 2" xfId="7192"/>
    <cellStyle name="Comma 2 2 20 4 2 2" xfId="7193"/>
    <cellStyle name="Comma 2 2 20 4 3" xfId="7194"/>
    <cellStyle name="Comma 2 2 20 4 4" xfId="7195"/>
    <cellStyle name="Comma 2 2 20 4 5" xfId="7196"/>
    <cellStyle name="Comma 2 2 20 5" xfId="7197"/>
    <cellStyle name="Comma 2 2 20 5 2" xfId="7198"/>
    <cellStyle name="Comma 2 2 20 5 3" xfId="7199"/>
    <cellStyle name="Comma 2 2 20 5 4" xfId="7200"/>
    <cellStyle name="Comma 2 2 20 6" xfId="7201"/>
    <cellStyle name="Comma 2 2 20 6 2" xfId="7202"/>
    <cellStyle name="Comma 2 2 20 7" xfId="7203"/>
    <cellStyle name="Comma 2 2 20 8" xfId="7204"/>
    <cellStyle name="Comma 2 2 20 9" xfId="7205"/>
    <cellStyle name="Comma 2 2 21" xfId="7206"/>
    <cellStyle name="Comma 2 2 21 10" xfId="7207"/>
    <cellStyle name="Comma 2 2 21 2" xfId="7208"/>
    <cellStyle name="Comma 2 2 21 2 2" xfId="7209"/>
    <cellStyle name="Comma 2 2 21 2 2 2" xfId="7210"/>
    <cellStyle name="Comma 2 2 21 2 2 3" xfId="7211"/>
    <cellStyle name="Comma 2 2 21 2 3" xfId="7212"/>
    <cellStyle name="Comma 2 2 21 2 4" xfId="7213"/>
    <cellStyle name="Comma 2 2 21 2 5" xfId="7214"/>
    <cellStyle name="Comma 2 2 21 2 6" xfId="7215"/>
    <cellStyle name="Comma 2 2 21 3" xfId="7216"/>
    <cellStyle name="Comma 2 2 21 3 2" xfId="7217"/>
    <cellStyle name="Comma 2 2 21 3 2 2" xfId="7218"/>
    <cellStyle name="Comma 2 2 21 3 2 3" xfId="7219"/>
    <cellStyle name="Comma 2 2 21 3 3" xfId="7220"/>
    <cellStyle name="Comma 2 2 21 3 4" xfId="7221"/>
    <cellStyle name="Comma 2 2 21 3 5" xfId="7222"/>
    <cellStyle name="Comma 2 2 21 3 6" xfId="7223"/>
    <cellStyle name="Comma 2 2 21 4" xfId="7224"/>
    <cellStyle name="Comma 2 2 21 4 2" xfId="7225"/>
    <cellStyle name="Comma 2 2 21 4 2 2" xfId="7226"/>
    <cellStyle name="Comma 2 2 21 4 3" xfId="7227"/>
    <cellStyle name="Comma 2 2 21 4 4" xfId="7228"/>
    <cellStyle name="Comma 2 2 21 4 5" xfId="7229"/>
    <cellStyle name="Comma 2 2 21 5" xfId="7230"/>
    <cellStyle name="Comma 2 2 21 5 2" xfId="7231"/>
    <cellStyle name="Comma 2 2 21 5 3" xfId="7232"/>
    <cellStyle name="Comma 2 2 21 5 4" xfId="7233"/>
    <cellStyle name="Comma 2 2 21 6" xfId="7234"/>
    <cellStyle name="Comma 2 2 21 6 2" xfId="7235"/>
    <cellStyle name="Comma 2 2 21 7" xfId="7236"/>
    <cellStyle name="Comma 2 2 21 8" xfId="7237"/>
    <cellStyle name="Comma 2 2 21 9" xfId="7238"/>
    <cellStyle name="Comma 2 2 22" xfId="7239"/>
    <cellStyle name="Comma 2 2 22 10" xfId="7240"/>
    <cellStyle name="Comma 2 2 22 2" xfId="7241"/>
    <cellStyle name="Comma 2 2 22 2 2" xfId="7242"/>
    <cellStyle name="Comma 2 2 22 2 2 2" xfId="7243"/>
    <cellStyle name="Comma 2 2 22 2 2 3" xfId="7244"/>
    <cellStyle name="Comma 2 2 22 2 3" xfId="7245"/>
    <cellStyle name="Comma 2 2 22 2 4" xfId="7246"/>
    <cellStyle name="Comma 2 2 22 2 5" xfId="7247"/>
    <cellStyle name="Comma 2 2 22 2 6" xfId="7248"/>
    <cellStyle name="Comma 2 2 22 3" xfId="7249"/>
    <cellStyle name="Comma 2 2 22 3 2" xfId="7250"/>
    <cellStyle name="Comma 2 2 22 3 2 2" xfId="7251"/>
    <cellStyle name="Comma 2 2 22 3 2 3" xfId="7252"/>
    <cellStyle name="Comma 2 2 22 3 3" xfId="7253"/>
    <cellStyle name="Comma 2 2 22 3 4" xfId="7254"/>
    <cellStyle name="Comma 2 2 22 3 5" xfId="7255"/>
    <cellStyle name="Comma 2 2 22 3 6" xfId="7256"/>
    <cellStyle name="Comma 2 2 22 4" xfId="7257"/>
    <cellStyle name="Comma 2 2 22 4 2" xfId="7258"/>
    <cellStyle name="Comma 2 2 22 4 2 2" xfId="7259"/>
    <cellStyle name="Comma 2 2 22 4 3" xfId="7260"/>
    <cellStyle name="Comma 2 2 22 4 4" xfId="7261"/>
    <cellStyle name="Comma 2 2 22 4 5" xfId="7262"/>
    <cellStyle name="Comma 2 2 22 5" xfId="7263"/>
    <cellStyle name="Comma 2 2 22 5 2" xfId="7264"/>
    <cellStyle name="Comma 2 2 22 5 3" xfId="7265"/>
    <cellStyle name="Comma 2 2 22 5 4" xfId="7266"/>
    <cellStyle name="Comma 2 2 22 6" xfId="7267"/>
    <cellStyle name="Comma 2 2 22 6 2" xfId="7268"/>
    <cellStyle name="Comma 2 2 22 7" xfId="7269"/>
    <cellStyle name="Comma 2 2 22 8" xfId="7270"/>
    <cellStyle name="Comma 2 2 22 9" xfId="7271"/>
    <cellStyle name="Comma 2 2 23" xfId="7272"/>
    <cellStyle name="Comma 2 2 23 10" xfId="7273"/>
    <cellStyle name="Comma 2 2 23 2" xfId="7274"/>
    <cellStyle name="Comma 2 2 23 2 2" xfId="7275"/>
    <cellStyle name="Comma 2 2 23 2 2 2" xfId="7276"/>
    <cellStyle name="Comma 2 2 23 2 2 3" xfId="7277"/>
    <cellStyle name="Comma 2 2 23 2 3" xfId="7278"/>
    <cellStyle name="Comma 2 2 23 2 4" xfId="7279"/>
    <cellStyle name="Comma 2 2 23 2 5" xfId="7280"/>
    <cellStyle name="Comma 2 2 23 2 6" xfId="7281"/>
    <cellStyle name="Comma 2 2 23 3" xfId="7282"/>
    <cellStyle name="Comma 2 2 23 3 2" xfId="7283"/>
    <cellStyle name="Comma 2 2 23 3 2 2" xfId="7284"/>
    <cellStyle name="Comma 2 2 23 3 2 3" xfId="7285"/>
    <cellStyle name="Comma 2 2 23 3 3" xfId="7286"/>
    <cellStyle name="Comma 2 2 23 3 4" xfId="7287"/>
    <cellStyle name="Comma 2 2 23 3 5" xfId="7288"/>
    <cellStyle name="Comma 2 2 23 3 6" xfId="7289"/>
    <cellStyle name="Comma 2 2 23 4" xfId="7290"/>
    <cellStyle name="Comma 2 2 23 4 2" xfId="7291"/>
    <cellStyle name="Comma 2 2 23 4 2 2" xfId="7292"/>
    <cellStyle name="Comma 2 2 23 4 3" xfId="7293"/>
    <cellStyle name="Comma 2 2 23 4 4" xfId="7294"/>
    <cellStyle name="Comma 2 2 23 4 5" xfId="7295"/>
    <cellStyle name="Comma 2 2 23 5" xfId="7296"/>
    <cellStyle name="Comma 2 2 23 5 2" xfId="7297"/>
    <cellStyle name="Comma 2 2 23 5 3" xfId="7298"/>
    <cellStyle name="Comma 2 2 23 5 4" xfId="7299"/>
    <cellStyle name="Comma 2 2 23 6" xfId="7300"/>
    <cellStyle name="Comma 2 2 23 6 2" xfId="7301"/>
    <cellStyle name="Comma 2 2 23 7" xfId="7302"/>
    <cellStyle name="Comma 2 2 23 8" xfId="7303"/>
    <cellStyle name="Comma 2 2 23 9" xfId="7304"/>
    <cellStyle name="Comma 2 2 24" xfId="7305"/>
    <cellStyle name="Comma 2 2 24 10" xfId="7306"/>
    <cellStyle name="Comma 2 2 24 2" xfId="7307"/>
    <cellStyle name="Comma 2 2 24 2 2" xfId="7308"/>
    <cellStyle name="Comma 2 2 24 2 2 2" xfId="7309"/>
    <cellStyle name="Comma 2 2 24 2 2 3" xfId="7310"/>
    <cellStyle name="Comma 2 2 24 2 3" xfId="7311"/>
    <cellStyle name="Comma 2 2 24 2 4" xfId="7312"/>
    <cellStyle name="Comma 2 2 24 2 5" xfId="7313"/>
    <cellStyle name="Comma 2 2 24 2 6" xfId="7314"/>
    <cellStyle name="Comma 2 2 24 3" xfId="7315"/>
    <cellStyle name="Comma 2 2 24 3 2" xfId="7316"/>
    <cellStyle name="Comma 2 2 24 3 2 2" xfId="7317"/>
    <cellStyle name="Comma 2 2 24 3 2 3" xfId="7318"/>
    <cellStyle name="Comma 2 2 24 3 3" xfId="7319"/>
    <cellStyle name="Comma 2 2 24 3 4" xfId="7320"/>
    <cellStyle name="Comma 2 2 24 3 5" xfId="7321"/>
    <cellStyle name="Comma 2 2 24 3 6" xfId="7322"/>
    <cellStyle name="Comma 2 2 24 4" xfId="7323"/>
    <cellStyle name="Comma 2 2 24 4 2" xfId="7324"/>
    <cellStyle name="Comma 2 2 24 4 2 2" xfId="7325"/>
    <cellStyle name="Comma 2 2 24 4 3" xfId="7326"/>
    <cellStyle name="Comma 2 2 24 4 4" xfId="7327"/>
    <cellStyle name="Comma 2 2 24 4 5" xfId="7328"/>
    <cellStyle name="Comma 2 2 24 5" xfId="7329"/>
    <cellStyle name="Comma 2 2 24 5 2" xfId="7330"/>
    <cellStyle name="Comma 2 2 24 5 3" xfId="7331"/>
    <cellStyle name="Comma 2 2 24 5 4" xfId="7332"/>
    <cellStyle name="Comma 2 2 24 6" xfId="7333"/>
    <cellStyle name="Comma 2 2 24 6 2" xfId="7334"/>
    <cellStyle name="Comma 2 2 24 7" xfId="7335"/>
    <cellStyle name="Comma 2 2 24 8" xfId="7336"/>
    <cellStyle name="Comma 2 2 24 9" xfId="7337"/>
    <cellStyle name="Comma 2 2 25" xfId="7338"/>
    <cellStyle name="Comma 2 2 25 10" xfId="7339"/>
    <cellStyle name="Comma 2 2 25 2" xfId="7340"/>
    <cellStyle name="Comma 2 2 25 2 2" xfId="7341"/>
    <cellStyle name="Comma 2 2 25 2 2 2" xfId="7342"/>
    <cellStyle name="Comma 2 2 25 2 2 3" xfId="7343"/>
    <cellStyle name="Comma 2 2 25 2 3" xfId="7344"/>
    <cellStyle name="Comma 2 2 25 2 4" xfId="7345"/>
    <cellStyle name="Comma 2 2 25 2 5" xfId="7346"/>
    <cellStyle name="Comma 2 2 25 2 6" xfId="7347"/>
    <cellStyle name="Comma 2 2 25 3" xfId="7348"/>
    <cellStyle name="Comma 2 2 25 3 2" xfId="7349"/>
    <cellStyle name="Comma 2 2 25 3 2 2" xfId="7350"/>
    <cellStyle name="Comma 2 2 25 3 2 3" xfId="7351"/>
    <cellStyle name="Comma 2 2 25 3 3" xfId="7352"/>
    <cellStyle name="Comma 2 2 25 3 4" xfId="7353"/>
    <cellStyle name="Comma 2 2 25 3 5" xfId="7354"/>
    <cellStyle name="Comma 2 2 25 3 6" xfId="7355"/>
    <cellStyle name="Comma 2 2 25 4" xfId="7356"/>
    <cellStyle name="Comma 2 2 25 4 2" xfId="7357"/>
    <cellStyle name="Comma 2 2 25 4 2 2" xfId="7358"/>
    <cellStyle name="Comma 2 2 25 4 3" xfId="7359"/>
    <cellStyle name="Comma 2 2 25 4 4" xfId="7360"/>
    <cellStyle name="Comma 2 2 25 4 5" xfId="7361"/>
    <cellStyle name="Comma 2 2 25 5" xfId="7362"/>
    <cellStyle name="Comma 2 2 25 5 2" xfId="7363"/>
    <cellStyle name="Comma 2 2 25 5 3" xfId="7364"/>
    <cellStyle name="Comma 2 2 25 5 4" xfId="7365"/>
    <cellStyle name="Comma 2 2 25 6" xfId="7366"/>
    <cellStyle name="Comma 2 2 25 6 2" xfId="7367"/>
    <cellStyle name="Comma 2 2 25 7" xfId="7368"/>
    <cellStyle name="Comma 2 2 25 8" xfId="7369"/>
    <cellStyle name="Comma 2 2 25 9" xfId="7370"/>
    <cellStyle name="Comma 2 2 26" xfId="7371"/>
    <cellStyle name="Comma 2 2 26 10" xfId="7372"/>
    <cellStyle name="Comma 2 2 26 2" xfId="7373"/>
    <cellStyle name="Comma 2 2 26 2 2" xfId="7374"/>
    <cellStyle name="Comma 2 2 26 2 2 2" xfId="7375"/>
    <cellStyle name="Comma 2 2 26 2 2 3" xfId="7376"/>
    <cellStyle name="Comma 2 2 26 2 3" xfId="7377"/>
    <cellStyle name="Comma 2 2 26 2 4" xfId="7378"/>
    <cellStyle name="Comma 2 2 26 2 5" xfId="7379"/>
    <cellStyle name="Comma 2 2 26 2 6" xfId="7380"/>
    <cellStyle name="Comma 2 2 26 3" xfId="7381"/>
    <cellStyle name="Comma 2 2 26 3 2" xfId="7382"/>
    <cellStyle name="Comma 2 2 26 3 2 2" xfId="7383"/>
    <cellStyle name="Comma 2 2 26 3 2 3" xfId="7384"/>
    <cellStyle name="Comma 2 2 26 3 3" xfId="7385"/>
    <cellStyle name="Comma 2 2 26 3 4" xfId="7386"/>
    <cellStyle name="Comma 2 2 26 3 5" xfId="7387"/>
    <cellStyle name="Comma 2 2 26 3 6" xfId="7388"/>
    <cellStyle name="Comma 2 2 26 4" xfId="7389"/>
    <cellStyle name="Comma 2 2 26 4 2" xfId="7390"/>
    <cellStyle name="Comma 2 2 26 4 2 2" xfId="7391"/>
    <cellStyle name="Comma 2 2 26 4 3" xfId="7392"/>
    <cellStyle name="Comma 2 2 26 4 4" xfId="7393"/>
    <cellStyle name="Comma 2 2 26 4 5" xfId="7394"/>
    <cellStyle name="Comma 2 2 26 5" xfId="7395"/>
    <cellStyle name="Comma 2 2 26 5 2" xfId="7396"/>
    <cellStyle name="Comma 2 2 26 5 3" xfId="7397"/>
    <cellStyle name="Comma 2 2 26 5 4" xfId="7398"/>
    <cellStyle name="Comma 2 2 26 6" xfId="7399"/>
    <cellStyle name="Comma 2 2 26 6 2" xfId="7400"/>
    <cellStyle name="Comma 2 2 26 7" xfId="7401"/>
    <cellStyle name="Comma 2 2 26 8" xfId="7402"/>
    <cellStyle name="Comma 2 2 26 9" xfId="7403"/>
    <cellStyle name="Comma 2 2 27" xfId="7404"/>
    <cellStyle name="Comma 2 2 27 10" xfId="7405"/>
    <cellStyle name="Comma 2 2 27 2" xfId="7406"/>
    <cellStyle name="Comma 2 2 27 2 2" xfId="7407"/>
    <cellStyle name="Comma 2 2 27 2 2 2" xfId="7408"/>
    <cellStyle name="Comma 2 2 27 2 2 3" xfId="7409"/>
    <cellStyle name="Comma 2 2 27 2 3" xfId="7410"/>
    <cellStyle name="Comma 2 2 27 2 4" xfId="7411"/>
    <cellStyle name="Comma 2 2 27 2 5" xfId="7412"/>
    <cellStyle name="Comma 2 2 27 2 6" xfId="7413"/>
    <cellStyle name="Comma 2 2 27 3" xfId="7414"/>
    <cellStyle name="Comma 2 2 27 3 2" xfId="7415"/>
    <cellStyle name="Comma 2 2 27 3 2 2" xfId="7416"/>
    <cellStyle name="Comma 2 2 27 3 2 3" xfId="7417"/>
    <cellStyle name="Comma 2 2 27 3 3" xfId="7418"/>
    <cellStyle name="Comma 2 2 27 3 4" xfId="7419"/>
    <cellStyle name="Comma 2 2 27 3 5" xfId="7420"/>
    <cellStyle name="Comma 2 2 27 3 6" xfId="7421"/>
    <cellStyle name="Comma 2 2 27 4" xfId="7422"/>
    <cellStyle name="Comma 2 2 27 4 2" xfId="7423"/>
    <cellStyle name="Comma 2 2 27 4 2 2" xfId="7424"/>
    <cellStyle name="Comma 2 2 27 4 3" xfId="7425"/>
    <cellStyle name="Comma 2 2 27 4 4" xfId="7426"/>
    <cellStyle name="Comma 2 2 27 4 5" xfId="7427"/>
    <cellStyle name="Comma 2 2 27 5" xfId="7428"/>
    <cellStyle name="Comma 2 2 27 5 2" xfId="7429"/>
    <cellStyle name="Comma 2 2 27 5 3" xfId="7430"/>
    <cellStyle name="Comma 2 2 27 5 4" xfId="7431"/>
    <cellStyle name="Comma 2 2 27 6" xfId="7432"/>
    <cellStyle name="Comma 2 2 27 6 2" xfId="7433"/>
    <cellStyle name="Comma 2 2 27 7" xfId="7434"/>
    <cellStyle name="Comma 2 2 27 8" xfId="7435"/>
    <cellStyle name="Comma 2 2 27 9" xfId="7436"/>
    <cellStyle name="Comma 2 2 28" xfId="7437"/>
    <cellStyle name="Comma 2 2 28 10" xfId="7438"/>
    <cellStyle name="Comma 2 2 28 2" xfId="7439"/>
    <cellStyle name="Comma 2 2 28 2 2" xfId="7440"/>
    <cellStyle name="Comma 2 2 28 2 2 2" xfId="7441"/>
    <cellStyle name="Comma 2 2 28 2 2 3" xfId="7442"/>
    <cellStyle name="Comma 2 2 28 2 3" xfId="7443"/>
    <cellStyle name="Comma 2 2 28 2 4" xfId="7444"/>
    <cellStyle name="Comma 2 2 28 2 5" xfId="7445"/>
    <cellStyle name="Comma 2 2 28 2 6" xfId="7446"/>
    <cellStyle name="Comma 2 2 28 3" xfId="7447"/>
    <cellStyle name="Comma 2 2 28 3 2" xfId="7448"/>
    <cellStyle name="Comma 2 2 28 3 2 2" xfId="7449"/>
    <cellStyle name="Comma 2 2 28 3 2 3" xfId="7450"/>
    <cellStyle name="Comma 2 2 28 3 3" xfId="7451"/>
    <cellStyle name="Comma 2 2 28 3 4" xfId="7452"/>
    <cellStyle name="Comma 2 2 28 3 5" xfId="7453"/>
    <cellStyle name="Comma 2 2 28 3 6" xfId="7454"/>
    <cellStyle name="Comma 2 2 28 4" xfId="7455"/>
    <cellStyle name="Comma 2 2 28 4 2" xfId="7456"/>
    <cellStyle name="Comma 2 2 28 4 2 2" xfId="7457"/>
    <cellStyle name="Comma 2 2 28 4 3" xfId="7458"/>
    <cellStyle name="Comma 2 2 28 4 4" xfId="7459"/>
    <cellStyle name="Comma 2 2 28 4 5" xfId="7460"/>
    <cellStyle name="Comma 2 2 28 5" xfId="7461"/>
    <cellStyle name="Comma 2 2 28 5 2" xfId="7462"/>
    <cellStyle name="Comma 2 2 28 5 3" xfId="7463"/>
    <cellStyle name="Comma 2 2 28 5 4" xfId="7464"/>
    <cellStyle name="Comma 2 2 28 6" xfId="7465"/>
    <cellStyle name="Comma 2 2 28 6 2" xfId="7466"/>
    <cellStyle name="Comma 2 2 28 7" xfId="7467"/>
    <cellStyle name="Comma 2 2 28 8" xfId="7468"/>
    <cellStyle name="Comma 2 2 28 9" xfId="7469"/>
    <cellStyle name="Comma 2 2 29" xfId="7470"/>
    <cellStyle name="Comma 2 2 29 2" xfId="7471"/>
    <cellStyle name="Comma 2 2 29 2 2" xfId="7472"/>
    <cellStyle name="Comma 2 2 29 2 2 2" xfId="7473"/>
    <cellStyle name="Comma 2 2 29 2 2 3" xfId="7474"/>
    <cellStyle name="Comma 2 2 29 2 3" xfId="7475"/>
    <cellStyle name="Comma 2 2 29 2 4" xfId="7476"/>
    <cellStyle name="Comma 2 2 29 2 5" xfId="7477"/>
    <cellStyle name="Comma 2 2 29 2 6" xfId="7478"/>
    <cellStyle name="Comma 2 2 29 3" xfId="7479"/>
    <cellStyle name="Comma 2 2 29 3 2" xfId="7480"/>
    <cellStyle name="Comma 2 2 29 3 2 2" xfId="7481"/>
    <cellStyle name="Comma 2 2 29 3 3" xfId="7482"/>
    <cellStyle name="Comma 2 2 29 3 4" xfId="7483"/>
    <cellStyle name="Comma 2 2 29 3 5" xfId="7484"/>
    <cellStyle name="Comma 2 2 29 4" xfId="7485"/>
    <cellStyle name="Comma 2 2 29 4 2" xfId="7486"/>
    <cellStyle name="Comma 2 2 29 4 3" xfId="7487"/>
    <cellStyle name="Comma 2 2 29 4 4" xfId="7488"/>
    <cellStyle name="Comma 2 2 29 5" xfId="7489"/>
    <cellStyle name="Comma 2 2 29 5 2" xfId="7490"/>
    <cellStyle name="Comma 2 2 29 6" xfId="7491"/>
    <cellStyle name="Comma 2 2 29 7" xfId="7492"/>
    <cellStyle name="Comma 2 2 29 8" xfId="7493"/>
    <cellStyle name="Comma 2 2 29 9" xfId="7494"/>
    <cellStyle name="Comma 2 2 3" xfId="7495"/>
    <cellStyle name="Comma 2 2 3 10" xfId="7496"/>
    <cellStyle name="Comma 2 2 3 10 10" xfId="7497"/>
    <cellStyle name="Comma 2 2 3 10 2" xfId="7498"/>
    <cellStyle name="Comma 2 2 3 10 2 2" xfId="7499"/>
    <cellStyle name="Comma 2 2 3 10 2 2 2" xfId="7500"/>
    <cellStyle name="Comma 2 2 3 10 2 2 3" xfId="7501"/>
    <cellStyle name="Comma 2 2 3 10 2 3" xfId="7502"/>
    <cellStyle name="Comma 2 2 3 10 2 4" xfId="7503"/>
    <cellStyle name="Comma 2 2 3 10 2 5" xfId="7504"/>
    <cellStyle name="Comma 2 2 3 10 2 6" xfId="7505"/>
    <cellStyle name="Comma 2 2 3 10 3" xfId="7506"/>
    <cellStyle name="Comma 2 2 3 10 3 2" xfId="7507"/>
    <cellStyle name="Comma 2 2 3 10 3 2 2" xfId="7508"/>
    <cellStyle name="Comma 2 2 3 10 3 2 3" xfId="7509"/>
    <cellStyle name="Comma 2 2 3 10 3 3" xfId="7510"/>
    <cellStyle name="Comma 2 2 3 10 3 4" xfId="7511"/>
    <cellStyle name="Comma 2 2 3 10 3 5" xfId="7512"/>
    <cellStyle name="Comma 2 2 3 10 3 6" xfId="7513"/>
    <cellStyle name="Comma 2 2 3 10 4" xfId="7514"/>
    <cellStyle name="Comma 2 2 3 10 4 2" xfId="7515"/>
    <cellStyle name="Comma 2 2 3 10 4 2 2" xfId="7516"/>
    <cellStyle name="Comma 2 2 3 10 4 3" xfId="7517"/>
    <cellStyle name="Comma 2 2 3 10 4 4" xfId="7518"/>
    <cellStyle name="Comma 2 2 3 10 4 5" xfId="7519"/>
    <cellStyle name="Comma 2 2 3 10 5" xfId="7520"/>
    <cellStyle name="Comma 2 2 3 10 5 2" xfId="7521"/>
    <cellStyle name="Comma 2 2 3 10 5 3" xfId="7522"/>
    <cellStyle name="Comma 2 2 3 10 5 4" xfId="7523"/>
    <cellStyle name="Comma 2 2 3 10 6" xfId="7524"/>
    <cellStyle name="Comma 2 2 3 10 6 2" xfId="7525"/>
    <cellStyle name="Comma 2 2 3 10 7" xfId="7526"/>
    <cellStyle name="Comma 2 2 3 10 8" xfId="7527"/>
    <cellStyle name="Comma 2 2 3 10 9" xfId="7528"/>
    <cellStyle name="Comma 2 2 3 11" xfId="7529"/>
    <cellStyle name="Comma 2 2 3 11 10" xfId="7530"/>
    <cellStyle name="Comma 2 2 3 11 2" xfId="7531"/>
    <cellStyle name="Comma 2 2 3 11 2 2" xfId="7532"/>
    <cellStyle name="Comma 2 2 3 11 2 2 2" xfId="7533"/>
    <cellStyle name="Comma 2 2 3 11 2 2 3" xfId="7534"/>
    <cellStyle name="Comma 2 2 3 11 2 3" xfId="7535"/>
    <cellStyle name="Comma 2 2 3 11 2 4" xfId="7536"/>
    <cellStyle name="Comma 2 2 3 11 2 5" xfId="7537"/>
    <cellStyle name="Comma 2 2 3 11 2 6" xfId="7538"/>
    <cellStyle name="Comma 2 2 3 11 3" xfId="7539"/>
    <cellStyle name="Comma 2 2 3 11 3 2" xfId="7540"/>
    <cellStyle name="Comma 2 2 3 11 3 2 2" xfId="7541"/>
    <cellStyle name="Comma 2 2 3 11 3 2 3" xfId="7542"/>
    <cellStyle name="Comma 2 2 3 11 3 3" xfId="7543"/>
    <cellStyle name="Comma 2 2 3 11 3 4" xfId="7544"/>
    <cellStyle name="Comma 2 2 3 11 3 5" xfId="7545"/>
    <cellStyle name="Comma 2 2 3 11 3 6" xfId="7546"/>
    <cellStyle name="Comma 2 2 3 11 4" xfId="7547"/>
    <cellStyle name="Comma 2 2 3 11 4 2" xfId="7548"/>
    <cellStyle name="Comma 2 2 3 11 4 2 2" xfId="7549"/>
    <cellStyle name="Comma 2 2 3 11 4 3" xfId="7550"/>
    <cellStyle name="Comma 2 2 3 11 4 4" xfId="7551"/>
    <cellStyle name="Comma 2 2 3 11 4 5" xfId="7552"/>
    <cellStyle name="Comma 2 2 3 11 5" xfId="7553"/>
    <cellStyle name="Comma 2 2 3 11 5 2" xfId="7554"/>
    <cellStyle name="Comma 2 2 3 11 5 3" xfId="7555"/>
    <cellStyle name="Comma 2 2 3 11 5 4" xfId="7556"/>
    <cellStyle name="Comma 2 2 3 11 6" xfId="7557"/>
    <cellStyle name="Comma 2 2 3 11 6 2" xfId="7558"/>
    <cellStyle name="Comma 2 2 3 11 7" xfId="7559"/>
    <cellStyle name="Comma 2 2 3 11 8" xfId="7560"/>
    <cellStyle name="Comma 2 2 3 11 9" xfId="7561"/>
    <cellStyle name="Comma 2 2 3 12" xfId="7562"/>
    <cellStyle name="Comma 2 2 3 12 10" xfId="7563"/>
    <cellStyle name="Comma 2 2 3 12 2" xfId="7564"/>
    <cellStyle name="Comma 2 2 3 12 2 2" xfId="7565"/>
    <cellStyle name="Comma 2 2 3 12 2 2 2" xfId="7566"/>
    <cellStyle name="Comma 2 2 3 12 2 2 3" xfId="7567"/>
    <cellStyle name="Comma 2 2 3 12 2 3" xfId="7568"/>
    <cellStyle name="Comma 2 2 3 12 2 4" xfId="7569"/>
    <cellStyle name="Comma 2 2 3 12 2 5" xfId="7570"/>
    <cellStyle name="Comma 2 2 3 12 2 6" xfId="7571"/>
    <cellStyle name="Comma 2 2 3 12 3" xfId="7572"/>
    <cellStyle name="Comma 2 2 3 12 3 2" xfId="7573"/>
    <cellStyle name="Comma 2 2 3 12 3 2 2" xfId="7574"/>
    <cellStyle name="Comma 2 2 3 12 3 2 3" xfId="7575"/>
    <cellStyle name="Comma 2 2 3 12 3 3" xfId="7576"/>
    <cellStyle name="Comma 2 2 3 12 3 4" xfId="7577"/>
    <cellStyle name="Comma 2 2 3 12 3 5" xfId="7578"/>
    <cellStyle name="Comma 2 2 3 12 3 6" xfId="7579"/>
    <cellStyle name="Comma 2 2 3 12 4" xfId="7580"/>
    <cellStyle name="Comma 2 2 3 12 4 2" xfId="7581"/>
    <cellStyle name="Comma 2 2 3 12 4 2 2" xfId="7582"/>
    <cellStyle name="Comma 2 2 3 12 4 3" xfId="7583"/>
    <cellStyle name="Comma 2 2 3 12 4 4" xfId="7584"/>
    <cellStyle name="Comma 2 2 3 12 4 5" xfId="7585"/>
    <cellStyle name="Comma 2 2 3 12 5" xfId="7586"/>
    <cellStyle name="Comma 2 2 3 12 5 2" xfId="7587"/>
    <cellStyle name="Comma 2 2 3 12 5 3" xfId="7588"/>
    <cellStyle name="Comma 2 2 3 12 5 4" xfId="7589"/>
    <cellStyle name="Comma 2 2 3 12 6" xfId="7590"/>
    <cellStyle name="Comma 2 2 3 12 6 2" xfId="7591"/>
    <cellStyle name="Comma 2 2 3 12 7" xfId="7592"/>
    <cellStyle name="Comma 2 2 3 12 8" xfId="7593"/>
    <cellStyle name="Comma 2 2 3 12 9" xfId="7594"/>
    <cellStyle name="Comma 2 2 3 13" xfId="7595"/>
    <cellStyle name="Comma 2 2 3 13 2" xfId="7596"/>
    <cellStyle name="Comma 2 2 3 13 2 2" xfId="7597"/>
    <cellStyle name="Comma 2 2 3 13 2 2 2" xfId="7598"/>
    <cellStyle name="Comma 2 2 3 13 2 2 3" xfId="7599"/>
    <cellStyle name="Comma 2 2 3 13 2 3" xfId="7600"/>
    <cellStyle name="Comma 2 2 3 13 2 4" xfId="7601"/>
    <cellStyle name="Comma 2 2 3 13 2 5" xfId="7602"/>
    <cellStyle name="Comma 2 2 3 13 2 6" xfId="7603"/>
    <cellStyle name="Comma 2 2 3 13 3" xfId="7604"/>
    <cellStyle name="Comma 2 2 3 13 3 2" xfId="7605"/>
    <cellStyle name="Comma 2 2 3 13 3 2 2" xfId="7606"/>
    <cellStyle name="Comma 2 2 3 13 3 3" xfId="7607"/>
    <cellStyle name="Comma 2 2 3 13 3 4" xfId="7608"/>
    <cellStyle name="Comma 2 2 3 13 3 5" xfId="7609"/>
    <cellStyle name="Comma 2 2 3 13 4" xfId="7610"/>
    <cellStyle name="Comma 2 2 3 13 4 2" xfId="7611"/>
    <cellStyle name="Comma 2 2 3 13 4 3" xfId="7612"/>
    <cellStyle name="Comma 2 2 3 13 4 4" xfId="7613"/>
    <cellStyle name="Comma 2 2 3 13 5" xfId="7614"/>
    <cellStyle name="Comma 2 2 3 13 5 2" xfId="7615"/>
    <cellStyle name="Comma 2 2 3 13 6" xfId="7616"/>
    <cellStyle name="Comma 2 2 3 13 7" xfId="7617"/>
    <cellStyle name="Comma 2 2 3 13 8" xfId="7618"/>
    <cellStyle name="Comma 2 2 3 13 9" xfId="7619"/>
    <cellStyle name="Comma 2 2 3 14" xfId="7620"/>
    <cellStyle name="Comma 2 2 3 14 2" xfId="7621"/>
    <cellStyle name="Comma 2 2 3 14 2 2" xfId="7622"/>
    <cellStyle name="Comma 2 2 3 14 2 2 2" xfId="7623"/>
    <cellStyle name="Comma 2 2 3 14 2 2 3" xfId="7624"/>
    <cellStyle name="Comma 2 2 3 14 2 3" xfId="7625"/>
    <cellStyle name="Comma 2 2 3 14 2 4" xfId="7626"/>
    <cellStyle name="Comma 2 2 3 14 2 5" xfId="7627"/>
    <cellStyle name="Comma 2 2 3 14 2 6" xfId="7628"/>
    <cellStyle name="Comma 2 2 3 14 3" xfId="7629"/>
    <cellStyle name="Comma 2 2 3 14 3 2" xfId="7630"/>
    <cellStyle name="Comma 2 2 3 14 3 2 2" xfId="7631"/>
    <cellStyle name="Comma 2 2 3 14 3 3" xfId="7632"/>
    <cellStyle name="Comma 2 2 3 14 3 4" xfId="7633"/>
    <cellStyle name="Comma 2 2 3 14 3 5" xfId="7634"/>
    <cellStyle name="Comma 2 2 3 14 4" xfId="7635"/>
    <cellStyle name="Comma 2 2 3 14 4 2" xfId="7636"/>
    <cellStyle name="Comma 2 2 3 14 4 3" xfId="7637"/>
    <cellStyle name="Comma 2 2 3 14 4 4" xfId="7638"/>
    <cellStyle name="Comma 2 2 3 14 5" xfId="7639"/>
    <cellStyle name="Comma 2 2 3 14 5 2" xfId="7640"/>
    <cellStyle name="Comma 2 2 3 14 6" xfId="7641"/>
    <cellStyle name="Comma 2 2 3 14 7" xfId="7642"/>
    <cellStyle name="Comma 2 2 3 14 8" xfId="7643"/>
    <cellStyle name="Comma 2 2 3 14 9" xfId="7644"/>
    <cellStyle name="Comma 2 2 3 15" xfId="7645"/>
    <cellStyle name="Comma 2 2 3 15 2" xfId="7646"/>
    <cellStyle name="Comma 2 2 3 15 2 2" xfId="7647"/>
    <cellStyle name="Comma 2 2 3 15 2 3" xfId="7648"/>
    <cellStyle name="Comma 2 2 3 15 3" xfId="7649"/>
    <cellStyle name="Comma 2 2 3 15 4" xfId="7650"/>
    <cellStyle name="Comma 2 2 3 15 5" xfId="7651"/>
    <cellStyle name="Comma 2 2 3 15 6" xfId="7652"/>
    <cellStyle name="Comma 2 2 3 16" xfId="7653"/>
    <cellStyle name="Comma 2 2 3 16 2" xfId="7654"/>
    <cellStyle name="Comma 2 2 3 16 2 2" xfId="7655"/>
    <cellStyle name="Comma 2 2 3 16 3" xfId="7656"/>
    <cellStyle name="Comma 2 2 3 16 4" xfId="7657"/>
    <cellStyle name="Comma 2 2 3 16 5" xfId="7658"/>
    <cellStyle name="Comma 2 2 3 17" xfId="7659"/>
    <cellStyle name="Comma 2 2 3 17 2" xfId="7660"/>
    <cellStyle name="Comma 2 2 3 17 2 2" xfId="7661"/>
    <cellStyle name="Comma 2 2 3 17 3" xfId="7662"/>
    <cellStyle name="Comma 2 2 3 17 4" xfId="7663"/>
    <cellStyle name="Comma 2 2 3 17 5" xfId="7664"/>
    <cellStyle name="Comma 2 2 3 18" xfId="7665"/>
    <cellStyle name="Comma 2 2 3 18 2" xfId="7666"/>
    <cellStyle name="Comma 2 2 3 19" xfId="7667"/>
    <cellStyle name="Comma 2 2 3 2" xfId="7668"/>
    <cellStyle name="Comma 2 2 3 2 10" xfId="7669"/>
    <cellStyle name="Comma 2 2 3 2 11" xfId="7670"/>
    <cellStyle name="Comma 2 2 3 2 2" xfId="7671"/>
    <cellStyle name="Comma 2 2 3 2 2 2" xfId="7672"/>
    <cellStyle name="Comma 2 2 3 2 2 2 2" xfId="7673"/>
    <cellStyle name="Comma 2 2 3 2 2 2 2 2" xfId="7674"/>
    <cellStyle name="Comma 2 2 3 2 2 2 2 3" xfId="7675"/>
    <cellStyle name="Comma 2 2 3 2 2 2 3" xfId="7676"/>
    <cellStyle name="Comma 2 2 3 2 2 2 4" xfId="7677"/>
    <cellStyle name="Comma 2 2 3 2 2 2 5" xfId="7678"/>
    <cellStyle name="Comma 2 2 3 2 2 2 6" xfId="7679"/>
    <cellStyle name="Comma 2 2 3 2 2 3" xfId="7680"/>
    <cellStyle name="Comma 2 2 3 2 2 3 2" xfId="7681"/>
    <cellStyle name="Comma 2 2 3 2 2 3 2 2" xfId="7682"/>
    <cellStyle name="Comma 2 2 3 2 2 3 3" xfId="7683"/>
    <cellStyle name="Comma 2 2 3 2 2 3 4" xfId="7684"/>
    <cellStyle name="Comma 2 2 3 2 2 3 5" xfId="7685"/>
    <cellStyle name="Comma 2 2 3 2 2 4" xfId="7686"/>
    <cellStyle name="Comma 2 2 3 2 2 4 2" xfId="7687"/>
    <cellStyle name="Comma 2 2 3 2 2 4 3" xfId="7688"/>
    <cellStyle name="Comma 2 2 3 2 2 4 4" xfId="7689"/>
    <cellStyle name="Comma 2 2 3 2 2 5" xfId="7690"/>
    <cellStyle name="Comma 2 2 3 2 2 5 2" xfId="7691"/>
    <cellStyle name="Comma 2 2 3 2 2 6" xfId="7692"/>
    <cellStyle name="Comma 2 2 3 2 2 7" xfId="7693"/>
    <cellStyle name="Comma 2 2 3 2 2 8" xfId="7694"/>
    <cellStyle name="Comma 2 2 3 2 2 9" xfId="7695"/>
    <cellStyle name="Comma 2 2 3 2 3" xfId="7696"/>
    <cellStyle name="Comma 2 2 3 2 3 2" xfId="7697"/>
    <cellStyle name="Comma 2 2 3 2 3 2 2" xfId="7698"/>
    <cellStyle name="Comma 2 2 3 2 3 2 2 2" xfId="7699"/>
    <cellStyle name="Comma 2 2 3 2 3 2 2 3" xfId="7700"/>
    <cellStyle name="Comma 2 2 3 2 3 2 3" xfId="7701"/>
    <cellStyle name="Comma 2 2 3 2 3 2 4" xfId="7702"/>
    <cellStyle name="Comma 2 2 3 2 3 2 5" xfId="7703"/>
    <cellStyle name="Comma 2 2 3 2 3 2 6" xfId="7704"/>
    <cellStyle name="Comma 2 2 3 2 3 3" xfId="7705"/>
    <cellStyle name="Comma 2 2 3 2 3 3 2" xfId="7706"/>
    <cellStyle name="Comma 2 2 3 2 3 3 2 2" xfId="7707"/>
    <cellStyle name="Comma 2 2 3 2 3 3 3" xfId="7708"/>
    <cellStyle name="Comma 2 2 3 2 3 3 4" xfId="7709"/>
    <cellStyle name="Comma 2 2 3 2 3 3 5" xfId="7710"/>
    <cellStyle name="Comma 2 2 3 2 3 4" xfId="7711"/>
    <cellStyle name="Comma 2 2 3 2 3 4 2" xfId="7712"/>
    <cellStyle name="Comma 2 2 3 2 3 4 3" xfId="7713"/>
    <cellStyle name="Comma 2 2 3 2 3 4 4" xfId="7714"/>
    <cellStyle name="Comma 2 2 3 2 3 5" xfId="7715"/>
    <cellStyle name="Comma 2 2 3 2 3 5 2" xfId="7716"/>
    <cellStyle name="Comma 2 2 3 2 3 6" xfId="7717"/>
    <cellStyle name="Comma 2 2 3 2 3 7" xfId="7718"/>
    <cellStyle name="Comma 2 2 3 2 3 8" xfId="7719"/>
    <cellStyle name="Comma 2 2 3 2 3 9" xfId="7720"/>
    <cellStyle name="Comma 2 2 3 2 4" xfId="7721"/>
    <cellStyle name="Comma 2 2 3 2 4 2" xfId="7722"/>
    <cellStyle name="Comma 2 2 3 2 4 2 2" xfId="7723"/>
    <cellStyle name="Comma 2 2 3 2 4 2 3" xfId="7724"/>
    <cellStyle name="Comma 2 2 3 2 4 3" xfId="7725"/>
    <cellStyle name="Comma 2 2 3 2 4 4" xfId="7726"/>
    <cellStyle name="Comma 2 2 3 2 4 5" xfId="7727"/>
    <cellStyle name="Comma 2 2 3 2 4 6" xfId="7728"/>
    <cellStyle name="Comma 2 2 3 2 5" xfId="7729"/>
    <cellStyle name="Comma 2 2 3 2 5 2" xfId="7730"/>
    <cellStyle name="Comma 2 2 3 2 5 2 2" xfId="7731"/>
    <cellStyle name="Comma 2 2 3 2 5 3" xfId="7732"/>
    <cellStyle name="Comma 2 2 3 2 5 4" xfId="7733"/>
    <cellStyle name="Comma 2 2 3 2 5 5" xfId="7734"/>
    <cellStyle name="Comma 2 2 3 2 6" xfId="7735"/>
    <cellStyle name="Comma 2 2 3 2 6 2" xfId="7736"/>
    <cellStyle name="Comma 2 2 3 2 6 3" xfId="7737"/>
    <cellStyle name="Comma 2 2 3 2 6 4" xfId="7738"/>
    <cellStyle name="Comma 2 2 3 2 7" xfId="7739"/>
    <cellStyle name="Comma 2 2 3 2 7 2" xfId="7740"/>
    <cellStyle name="Comma 2 2 3 2 8" xfId="7741"/>
    <cellStyle name="Comma 2 2 3 2 9" xfId="7742"/>
    <cellStyle name="Comma 2 2 3 20" xfId="7743"/>
    <cellStyle name="Comma 2 2 3 21" xfId="7744"/>
    <cellStyle name="Comma 2 2 3 22" xfId="7745"/>
    <cellStyle name="Comma 2 2 3 3" xfId="7746"/>
    <cellStyle name="Comma 2 2 3 3 10" xfId="7747"/>
    <cellStyle name="Comma 2 2 3 3 11" xfId="7748"/>
    <cellStyle name="Comma 2 2 3 3 2" xfId="7749"/>
    <cellStyle name="Comma 2 2 3 3 2 2" xfId="7750"/>
    <cellStyle name="Comma 2 2 3 3 2 2 2" xfId="7751"/>
    <cellStyle name="Comma 2 2 3 3 2 2 2 2" xfId="7752"/>
    <cellStyle name="Comma 2 2 3 3 2 2 2 3" xfId="7753"/>
    <cellStyle name="Comma 2 2 3 3 2 2 3" xfId="7754"/>
    <cellStyle name="Comma 2 2 3 3 2 2 4" xfId="7755"/>
    <cellStyle name="Comma 2 2 3 3 2 2 5" xfId="7756"/>
    <cellStyle name="Comma 2 2 3 3 2 2 6" xfId="7757"/>
    <cellStyle name="Comma 2 2 3 3 2 3" xfId="7758"/>
    <cellStyle name="Comma 2 2 3 3 2 3 2" xfId="7759"/>
    <cellStyle name="Comma 2 2 3 3 2 3 2 2" xfId="7760"/>
    <cellStyle name="Comma 2 2 3 3 2 3 3" xfId="7761"/>
    <cellStyle name="Comma 2 2 3 3 2 3 4" xfId="7762"/>
    <cellStyle name="Comma 2 2 3 3 2 3 5" xfId="7763"/>
    <cellStyle name="Comma 2 2 3 3 2 4" xfId="7764"/>
    <cellStyle name="Comma 2 2 3 3 2 4 2" xfId="7765"/>
    <cellStyle name="Comma 2 2 3 3 2 4 3" xfId="7766"/>
    <cellStyle name="Comma 2 2 3 3 2 4 4" xfId="7767"/>
    <cellStyle name="Comma 2 2 3 3 2 5" xfId="7768"/>
    <cellStyle name="Comma 2 2 3 3 2 5 2" xfId="7769"/>
    <cellStyle name="Comma 2 2 3 3 2 6" xfId="7770"/>
    <cellStyle name="Comma 2 2 3 3 2 7" xfId="7771"/>
    <cellStyle name="Comma 2 2 3 3 2 8" xfId="7772"/>
    <cellStyle name="Comma 2 2 3 3 2 9" xfId="7773"/>
    <cellStyle name="Comma 2 2 3 3 3" xfId="7774"/>
    <cellStyle name="Comma 2 2 3 3 3 2" xfId="7775"/>
    <cellStyle name="Comma 2 2 3 3 3 2 2" xfId="7776"/>
    <cellStyle name="Comma 2 2 3 3 3 2 2 2" xfId="7777"/>
    <cellStyle name="Comma 2 2 3 3 3 2 2 3" xfId="7778"/>
    <cellStyle name="Comma 2 2 3 3 3 2 3" xfId="7779"/>
    <cellStyle name="Comma 2 2 3 3 3 2 4" xfId="7780"/>
    <cellStyle name="Comma 2 2 3 3 3 2 5" xfId="7781"/>
    <cellStyle name="Comma 2 2 3 3 3 2 6" xfId="7782"/>
    <cellStyle name="Comma 2 2 3 3 3 3" xfId="7783"/>
    <cellStyle name="Comma 2 2 3 3 3 3 2" xfId="7784"/>
    <cellStyle name="Comma 2 2 3 3 3 3 2 2" xfId="7785"/>
    <cellStyle name="Comma 2 2 3 3 3 3 3" xfId="7786"/>
    <cellStyle name="Comma 2 2 3 3 3 3 4" xfId="7787"/>
    <cellStyle name="Comma 2 2 3 3 3 3 5" xfId="7788"/>
    <cellStyle name="Comma 2 2 3 3 3 4" xfId="7789"/>
    <cellStyle name="Comma 2 2 3 3 3 4 2" xfId="7790"/>
    <cellStyle name="Comma 2 2 3 3 3 4 3" xfId="7791"/>
    <cellStyle name="Comma 2 2 3 3 3 4 4" xfId="7792"/>
    <cellStyle name="Comma 2 2 3 3 3 5" xfId="7793"/>
    <cellStyle name="Comma 2 2 3 3 3 5 2" xfId="7794"/>
    <cellStyle name="Comma 2 2 3 3 3 6" xfId="7795"/>
    <cellStyle name="Comma 2 2 3 3 3 7" xfId="7796"/>
    <cellStyle name="Comma 2 2 3 3 3 8" xfId="7797"/>
    <cellStyle name="Comma 2 2 3 3 3 9" xfId="7798"/>
    <cellStyle name="Comma 2 2 3 3 4" xfId="7799"/>
    <cellStyle name="Comma 2 2 3 3 4 2" xfId="7800"/>
    <cellStyle name="Comma 2 2 3 3 4 2 2" xfId="7801"/>
    <cellStyle name="Comma 2 2 3 3 4 2 3" xfId="7802"/>
    <cellStyle name="Comma 2 2 3 3 4 3" xfId="7803"/>
    <cellStyle name="Comma 2 2 3 3 4 4" xfId="7804"/>
    <cellStyle name="Comma 2 2 3 3 4 5" xfId="7805"/>
    <cellStyle name="Comma 2 2 3 3 4 6" xfId="7806"/>
    <cellStyle name="Comma 2 2 3 3 5" xfId="7807"/>
    <cellStyle name="Comma 2 2 3 3 5 2" xfId="7808"/>
    <cellStyle name="Comma 2 2 3 3 5 2 2" xfId="7809"/>
    <cellStyle name="Comma 2 2 3 3 5 3" xfId="7810"/>
    <cellStyle name="Comma 2 2 3 3 5 4" xfId="7811"/>
    <cellStyle name="Comma 2 2 3 3 5 5" xfId="7812"/>
    <cellStyle name="Comma 2 2 3 3 6" xfId="7813"/>
    <cellStyle name="Comma 2 2 3 3 6 2" xfId="7814"/>
    <cellStyle name="Comma 2 2 3 3 6 3" xfId="7815"/>
    <cellStyle name="Comma 2 2 3 3 6 4" xfId="7816"/>
    <cellStyle name="Comma 2 2 3 3 7" xfId="7817"/>
    <cellStyle name="Comma 2 2 3 3 7 2" xfId="7818"/>
    <cellStyle name="Comma 2 2 3 3 8" xfId="7819"/>
    <cellStyle name="Comma 2 2 3 3 9" xfId="7820"/>
    <cellStyle name="Comma 2 2 3 4" xfId="7821"/>
    <cellStyle name="Comma 2 2 3 4 10" xfId="7822"/>
    <cellStyle name="Comma 2 2 3 4 11" xfId="7823"/>
    <cellStyle name="Comma 2 2 3 4 2" xfId="7824"/>
    <cellStyle name="Comma 2 2 3 4 2 2" xfId="7825"/>
    <cellStyle name="Comma 2 2 3 4 2 2 2" xfId="7826"/>
    <cellStyle name="Comma 2 2 3 4 2 2 2 2" xfId="7827"/>
    <cellStyle name="Comma 2 2 3 4 2 2 2 3" xfId="7828"/>
    <cellStyle name="Comma 2 2 3 4 2 2 3" xfId="7829"/>
    <cellStyle name="Comma 2 2 3 4 2 2 4" xfId="7830"/>
    <cellStyle name="Comma 2 2 3 4 2 2 5" xfId="7831"/>
    <cellStyle name="Comma 2 2 3 4 2 2 6" xfId="7832"/>
    <cellStyle name="Comma 2 2 3 4 2 3" xfId="7833"/>
    <cellStyle name="Comma 2 2 3 4 2 3 2" xfId="7834"/>
    <cellStyle name="Comma 2 2 3 4 2 3 2 2" xfId="7835"/>
    <cellStyle name="Comma 2 2 3 4 2 3 3" xfId="7836"/>
    <cellStyle name="Comma 2 2 3 4 2 3 4" xfId="7837"/>
    <cellStyle name="Comma 2 2 3 4 2 3 5" xfId="7838"/>
    <cellStyle name="Comma 2 2 3 4 2 4" xfId="7839"/>
    <cellStyle name="Comma 2 2 3 4 2 4 2" xfId="7840"/>
    <cellStyle name="Comma 2 2 3 4 2 4 3" xfId="7841"/>
    <cellStyle name="Comma 2 2 3 4 2 4 4" xfId="7842"/>
    <cellStyle name="Comma 2 2 3 4 2 5" xfId="7843"/>
    <cellStyle name="Comma 2 2 3 4 2 5 2" xfId="7844"/>
    <cellStyle name="Comma 2 2 3 4 2 6" xfId="7845"/>
    <cellStyle name="Comma 2 2 3 4 2 7" xfId="7846"/>
    <cellStyle name="Comma 2 2 3 4 2 8" xfId="7847"/>
    <cellStyle name="Comma 2 2 3 4 2 9" xfId="7848"/>
    <cellStyle name="Comma 2 2 3 4 3" xfId="7849"/>
    <cellStyle name="Comma 2 2 3 4 3 2" xfId="7850"/>
    <cellStyle name="Comma 2 2 3 4 3 2 2" xfId="7851"/>
    <cellStyle name="Comma 2 2 3 4 3 2 2 2" xfId="7852"/>
    <cellStyle name="Comma 2 2 3 4 3 2 2 3" xfId="7853"/>
    <cellStyle name="Comma 2 2 3 4 3 2 3" xfId="7854"/>
    <cellStyle name="Comma 2 2 3 4 3 2 4" xfId="7855"/>
    <cellStyle name="Comma 2 2 3 4 3 2 5" xfId="7856"/>
    <cellStyle name="Comma 2 2 3 4 3 2 6" xfId="7857"/>
    <cellStyle name="Comma 2 2 3 4 3 3" xfId="7858"/>
    <cellStyle name="Comma 2 2 3 4 3 3 2" xfId="7859"/>
    <cellStyle name="Comma 2 2 3 4 3 3 2 2" xfId="7860"/>
    <cellStyle name="Comma 2 2 3 4 3 3 3" xfId="7861"/>
    <cellStyle name="Comma 2 2 3 4 3 3 4" xfId="7862"/>
    <cellStyle name="Comma 2 2 3 4 3 3 5" xfId="7863"/>
    <cellStyle name="Comma 2 2 3 4 3 4" xfId="7864"/>
    <cellStyle name="Comma 2 2 3 4 3 4 2" xfId="7865"/>
    <cellStyle name="Comma 2 2 3 4 3 4 3" xfId="7866"/>
    <cellStyle name="Comma 2 2 3 4 3 4 4" xfId="7867"/>
    <cellStyle name="Comma 2 2 3 4 3 5" xfId="7868"/>
    <cellStyle name="Comma 2 2 3 4 3 5 2" xfId="7869"/>
    <cellStyle name="Comma 2 2 3 4 3 6" xfId="7870"/>
    <cellStyle name="Comma 2 2 3 4 3 7" xfId="7871"/>
    <cellStyle name="Comma 2 2 3 4 3 8" xfId="7872"/>
    <cellStyle name="Comma 2 2 3 4 3 9" xfId="7873"/>
    <cellStyle name="Comma 2 2 3 4 4" xfId="7874"/>
    <cellStyle name="Comma 2 2 3 4 4 2" xfId="7875"/>
    <cellStyle name="Comma 2 2 3 4 4 2 2" xfId="7876"/>
    <cellStyle name="Comma 2 2 3 4 4 2 3" xfId="7877"/>
    <cellStyle name="Comma 2 2 3 4 4 3" xfId="7878"/>
    <cellStyle name="Comma 2 2 3 4 4 4" xfId="7879"/>
    <cellStyle name="Comma 2 2 3 4 4 5" xfId="7880"/>
    <cellStyle name="Comma 2 2 3 4 4 6" xfId="7881"/>
    <cellStyle name="Comma 2 2 3 4 5" xfId="7882"/>
    <cellStyle name="Comma 2 2 3 4 5 2" xfId="7883"/>
    <cellStyle name="Comma 2 2 3 4 5 2 2" xfId="7884"/>
    <cellStyle name="Comma 2 2 3 4 5 3" xfId="7885"/>
    <cellStyle name="Comma 2 2 3 4 5 4" xfId="7886"/>
    <cellStyle name="Comma 2 2 3 4 5 5" xfId="7887"/>
    <cellStyle name="Comma 2 2 3 4 6" xfId="7888"/>
    <cellStyle name="Comma 2 2 3 4 6 2" xfId="7889"/>
    <cellStyle name="Comma 2 2 3 4 6 3" xfId="7890"/>
    <cellStyle name="Comma 2 2 3 4 6 4" xfId="7891"/>
    <cellStyle name="Comma 2 2 3 4 7" xfId="7892"/>
    <cellStyle name="Comma 2 2 3 4 7 2" xfId="7893"/>
    <cellStyle name="Comma 2 2 3 4 8" xfId="7894"/>
    <cellStyle name="Comma 2 2 3 4 9" xfId="7895"/>
    <cellStyle name="Comma 2 2 3 5" xfId="7896"/>
    <cellStyle name="Comma 2 2 3 5 10" xfId="7897"/>
    <cellStyle name="Comma 2 2 3 5 11" xfId="7898"/>
    <cellStyle name="Comma 2 2 3 5 2" xfId="7899"/>
    <cellStyle name="Comma 2 2 3 5 2 2" xfId="7900"/>
    <cellStyle name="Comma 2 2 3 5 2 2 2" xfId="7901"/>
    <cellStyle name="Comma 2 2 3 5 2 2 2 2" xfId="7902"/>
    <cellStyle name="Comma 2 2 3 5 2 2 2 3" xfId="7903"/>
    <cellStyle name="Comma 2 2 3 5 2 2 3" xfId="7904"/>
    <cellStyle name="Comma 2 2 3 5 2 2 4" xfId="7905"/>
    <cellStyle name="Comma 2 2 3 5 2 2 5" xfId="7906"/>
    <cellStyle name="Comma 2 2 3 5 2 2 6" xfId="7907"/>
    <cellStyle name="Comma 2 2 3 5 2 3" xfId="7908"/>
    <cellStyle name="Comma 2 2 3 5 2 3 2" xfId="7909"/>
    <cellStyle name="Comma 2 2 3 5 2 3 2 2" xfId="7910"/>
    <cellStyle name="Comma 2 2 3 5 2 3 3" xfId="7911"/>
    <cellStyle name="Comma 2 2 3 5 2 3 4" xfId="7912"/>
    <cellStyle name="Comma 2 2 3 5 2 3 5" xfId="7913"/>
    <cellStyle name="Comma 2 2 3 5 2 4" xfId="7914"/>
    <cellStyle name="Comma 2 2 3 5 2 4 2" xfId="7915"/>
    <cellStyle name="Comma 2 2 3 5 2 4 3" xfId="7916"/>
    <cellStyle name="Comma 2 2 3 5 2 4 4" xfId="7917"/>
    <cellStyle name="Comma 2 2 3 5 2 5" xfId="7918"/>
    <cellStyle name="Comma 2 2 3 5 2 5 2" xfId="7919"/>
    <cellStyle name="Comma 2 2 3 5 2 6" xfId="7920"/>
    <cellStyle name="Comma 2 2 3 5 2 7" xfId="7921"/>
    <cellStyle name="Comma 2 2 3 5 2 8" xfId="7922"/>
    <cellStyle name="Comma 2 2 3 5 2 9" xfId="7923"/>
    <cellStyle name="Comma 2 2 3 5 3" xfId="7924"/>
    <cellStyle name="Comma 2 2 3 5 3 2" xfId="7925"/>
    <cellStyle name="Comma 2 2 3 5 3 2 2" xfId="7926"/>
    <cellStyle name="Comma 2 2 3 5 3 2 2 2" xfId="7927"/>
    <cellStyle name="Comma 2 2 3 5 3 2 2 3" xfId="7928"/>
    <cellStyle name="Comma 2 2 3 5 3 2 3" xfId="7929"/>
    <cellStyle name="Comma 2 2 3 5 3 2 4" xfId="7930"/>
    <cellStyle name="Comma 2 2 3 5 3 2 5" xfId="7931"/>
    <cellStyle name="Comma 2 2 3 5 3 2 6" xfId="7932"/>
    <cellStyle name="Comma 2 2 3 5 3 3" xfId="7933"/>
    <cellStyle name="Comma 2 2 3 5 3 3 2" xfId="7934"/>
    <cellStyle name="Comma 2 2 3 5 3 3 2 2" xfId="7935"/>
    <cellStyle name="Comma 2 2 3 5 3 3 3" xfId="7936"/>
    <cellStyle name="Comma 2 2 3 5 3 3 4" xfId="7937"/>
    <cellStyle name="Comma 2 2 3 5 3 3 5" xfId="7938"/>
    <cellStyle name="Comma 2 2 3 5 3 4" xfId="7939"/>
    <cellStyle name="Comma 2 2 3 5 3 4 2" xfId="7940"/>
    <cellStyle name="Comma 2 2 3 5 3 4 3" xfId="7941"/>
    <cellStyle name="Comma 2 2 3 5 3 4 4" xfId="7942"/>
    <cellStyle name="Comma 2 2 3 5 3 5" xfId="7943"/>
    <cellStyle name="Comma 2 2 3 5 3 5 2" xfId="7944"/>
    <cellStyle name="Comma 2 2 3 5 3 6" xfId="7945"/>
    <cellStyle name="Comma 2 2 3 5 3 7" xfId="7946"/>
    <cellStyle name="Comma 2 2 3 5 3 8" xfId="7947"/>
    <cellStyle name="Comma 2 2 3 5 3 9" xfId="7948"/>
    <cellStyle name="Comma 2 2 3 5 4" xfId="7949"/>
    <cellStyle name="Comma 2 2 3 5 4 2" xfId="7950"/>
    <cellStyle name="Comma 2 2 3 5 4 2 2" xfId="7951"/>
    <cellStyle name="Comma 2 2 3 5 4 2 3" xfId="7952"/>
    <cellStyle name="Comma 2 2 3 5 4 3" xfId="7953"/>
    <cellStyle name="Comma 2 2 3 5 4 4" xfId="7954"/>
    <cellStyle name="Comma 2 2 3 5 4 5" xfId="7955"/>
    <cellStyle name="Comma 2 2 3 5 4 6" xfId="7956"/>
    <cellStyle name="Comma 2 2 3 5 5" xfId="7957"/>
    <cellStyle name="Comma 2 2 3 5 5 2" xfId="7958"/>
    <cellStyle name="Comma 2 2 3 5 5 2 2" xfId="7959"/>
    <cellStyle name="Comma 2 2 3 5 5 3" xfId="7960"/>
    <cellStyle name="Comma 2 2 3 5 5 4" xfId="7961"/>
    <cellStyle name="Comma 2 2 3 5 5 5" xfId="7962"/>
    <cellStyle name="Comma 2 2 3 5 6" xfId="7963"/>
    <cellStyle name="Comma 2 2 3 5 6 2" xfId="7964"/>
    <cellStyle name="Comma 2 2 3 5 6 3" xfId="7965"/>
    <cellStyle name="Comma 2 2 3 5 6 4" xfId="7966"/>
    <cellStyle name="Comma 2 2 3 5 7" xfId="7967"/>
    <cellStyle name="Comma 2 2 3 5 7 2" xfId="7968"/>
    <cellStyle name="Comma 2 2 3 5 8" xfId="7969"/>
    <cellStyle name="Comma 2 2 3 5 9" xfId="7970"/>
    <cellStyle name="Comma 2 2 3 6" xfId="7971"/>
    <cellStyle name="Comma 2 2 3 6 10" xfId="7972"/>
    <cellStyle name="Comma 2 2 3 6 11" xfId="7973"/>
    <cellStyle name="Comma 2 2 3 6 2" xfId="7974"/>
    <cellStyle name="Comma 2 2 3 6 2 2" xfId="7975"/>
    <cellStyle name="Comma 2 2 3 6 2 2 2" xfId="7976"/>
    <cellStyle name="Comma 2 2 3 6 2 2 2 2" xfId="7977"/>
    <cellStyle name="Comma 2 2 3 6 2 2 2 3" xfId="7978"/>
    <cellStyle name="Comma 2 2 3 6 2 2 3" xfId="7979"/>
    <cellStyle name="Comma 2 2 3 6 2 2 4" xfId="7980"/>
    <cellStyle name="Comma 2 2 3 6 2 2 5" xfId="7981"/>
    <cellStyle name="Comma 2 2 3 6 2 2 6" xfId="7982"/>
    <cellStyle name="Comma 2 2 3 6 2 3" xfId="7983"/>
    <cellStyle name="Comma 2 2 3 6 2 3 2" xfId="7984"/>
    <cellStyle name="Comma 2 2 3 6 2 3 2 2" xfId="7985"/>
    <cellStyle name="Comma 2 2 3 6 2 3 3" xfId="7986"/>
    <cellStyle name="Comma 2 2 3 6 2 3 4" xfId="7987"/>
    <cellStyle name="Comma 2 2 3 6 2 3 5" xfId="7988"/>
    <cellStyle name="Comma 2 2 3 6 2 4" xfId="7989"/>
    <cellStyle name="Comma 2 2 3 6 2 4 2" xfId="7990"/>
    <cellStyle name="Comma 2 2 3 6 2 4 3" xfId="7991"/>
    <cellStyle name="Comma 2 2 3 6 2 4 4" xfId="7992"/>
    <cellStyle name="Comma 2 2 3 6 2 5" xfId="7993"/>
    <cellStyle name="Comma 2 2 3 6 2 5 2" xfId="7994"/>
    <cellStyle name="Comma 2 2 3 6 2 6" xfId="7995"/>
    <cellStyle name="Comma 2 2 3 6 2 7" xfId="7996"/>
    <cellStyle name="Comma 2 2 3 6 2 8" xfId="7997"/>
    <cellStyle name="Comma 2 2 3 6 2 9" xfId="7998"/>
    <cellStyle name="Comma 2 2 3 6 3" xfId="7999"/>
    <cellStyle name="Comma 2 2 3 6 3 2" xfId="8000"/>
    <cellStyle name="Comma 2 2 3 6 3 2 2" xfId="8001"/>
    <cellStyle name="Comma 2 2 3 6 3 2 2 2" xfId="8002"/>
    <cellStyle name="Comma 2 2 3 6 3 2 2 3" xfId="8003"/>
    <cellStyle name="Comma 2 2 3 6 3 2 3" xfId="8004"/>
    <cellStyle name="Comma 2 2 3 6 3 2 4" xfId="8005"/>
    <cellStyle name="Comma 2 2 3 6 3 2 5" xfId="8006"/>
    <cellStyle name="Comma 2 2 3 6 3 2 6" xfId="8007"/>
    <cellStyle name="Comma 2 2 3 6 3 3" xfId="8008"/>
    <cellStyle name="Comma 2 2 3 6 3 3 2" xfId="8009"/>
    <cellStyle name="Comma 2 2 3 6 3 3 2 2" xfId="8010"/>
    <cellStyle name="Comma 2 2 3 6 3 3 3" xfId="8011"/>
    <cellStyle name="Comma 2 2 3 6 3 3 4" xfId="8012"/>
    <cellStyle name="Comma 2 2 3 6 3 3 5" xfId="8013"/>
    <cellStyle name="Comma 2 2 3 6 3 4" xfId="8014"/>
    <cellStyle name="Comma 2 2 3 6 3 4 2" xfId="8015"/>
    <cellStyle name="Comma 2 2 3 6 3 4 3" xfId="8016"/>
    <cellStyle name="Comma 2 2 3 6 3 4 4" xfId="8017"/>
    <cellStyle name="Comma 2 2 3 6 3 5" xfId="8018"/>
    <cellStyle name="Comma 2 2 3 6 3 5 2" xfId="8019"/>
    <cellStyle name="Comma 2 2 3 6 3 6" xfId="8020"/>
    <cellStyle name="Comma 2 2 3 6 3 7" xfId="8021"/>
    <cellStyle name="Comma 2 2 3 6 3 8" xfId="8022"/>
    <cellStyle name="Comma 2 2 3 6 3 9" xfId="8023"/>
    <cellStyle name="Comma 2 2 3 6 4" xfId="8024"/>
    <cellStyle name="Comma 2 2 3 6 4 2" xfId="8025"/>
    <cellStyle name="Comma 2 2 3 6 4 2 2" xfId="8026"/>
    <cellStyle name="Comma 2 2 3 6 4 2 3" xfId="8027"/>
    <cellStyle name="Comma 2 2 3 6 4 3" xfId="8028"/>
    <cellStyle name="Comma 2 2 3 6 4 4" xfId="8029"/>
    <cellStyle name="Comma 2 2 3 6 4 5" xfId="8030"/>
    <cellStyle name="Comma 2 2 3 6 4 6" xfId="8031"/>
    <cellStyle name="Comma 2 2 3 6 5" xfId="8032"/>
    <cellStyle name="Comma 2 2 3 6 5 2" xfId="8033"/>
    <cellStyle name="Comma 2 2 3 6 5 2 2" xfId="8034"/>
    <cellStyle name="Comma 2 2 3 6 5 3" xfId="8035"/>
    <cellStyle name="Comma 2 2 3 6 5 4" xfId="8036"/>
    <cellStyle name="Comma 2 2 3 6 5 5" xfId="8037"/>
    <cellStyle name="Comma 2 2 3 6 6" xfId="8038"/>
    <cellStyle name="Comma 2 2 3 6 6 2" xfId="8039"/>
    <cellStyle name="Comma 2 2 3 6 6 3" xfId="8040"/>
    <cellStyle name="Comma 2 2 3 6 6 4" xfId="8041"/>
    <cellStyle name="Comma 2 2 3 6 7" xfId="8042"/>
    <cellStyle name="Comma 2 2 3 6 7 2" xfId="8043"/>
    <cellStyle name="Comma 2 2 3 6 8" xfId="8044"/>
    <cellStyle name="Comma 2 2 3 6 9" xfId="8045"/>
    <cellStyle name="Comma 2 2 3 7" xfId="8046"/>
    <cellStyle name="Comma 2 2 3 7 10" xfId="8047"/>
    <cellStyle name="Comma 2 2 3 7 11" xfId="8048"/>
    <cellStyle name="Comma 2 2 3 7 2" xfId="8049"/>
    <cellStyle name="Comma 2 2 3 7 2 2" xfId="8050"/>
    <cellStyle name="Comma 2 2 3 7 2 2 2" xfId="8051"/>
    <cellStyle name="Comma 2 2 3 7 2 2 2 2" xfId="8052"/>
    <cellStyle name="Comma 2 2 3 7 2 2 2 3" xfId="8053"/>
    <cellStyle name="Comma 2 2 3 7 2 2 3" xfId="8054"/>
    <cellStyle name="Comma 2 2 3 7 2 2 4" xfId="8055"/>
    <cellStyle name="Comma 2 2 3 7 2 2 5" xfId="8056"/>
    <cellStyle name="Comma 2 2 3 7 2 2 6" xfId="8057"/>
    <cellStyle name="Comma 2 2 3 7 2 3" xfId="8058"/>
    <cellStyle name="Comma 2 2 3 7 2 3 2" xfId="8059"/>
    <cellStyle name="Comma 2 2 3 7 2 3 2 2" xfId="8060"/>
    <cellStyle name="Comma 2 2 3 7 2 3 3" xfId="8061"/>
    <cellStyle name="Comma 2 2 3 7 2 3 4" xfId="8062"/>
    <cellStyle name="Comma 2 2 3 7 2 3 5" xfId="8063"/>
    <cellStyle name="Comma 2 2 3 7 2 4" xfId="8064"/>
    <cellStyle name="Comma 2 2 3 7 2 4 2" xfId="8065"/>
    <cellStyle name="Comma 2 2 3 7 2 4 3" xfId="8066"/>
    <cellStyle name="Comma 2 2 3 7 2 4 4" xfId="8067"/>
    <cellStyle name="Comma 2 2 3 7 2 5" xfId="8068"/>
    <cellStyle name="Comma 2 2 3 7 2 5 2" xfId="8069"/>
    <cellStyle name="Comma 2 2 3 7 2 6" xfId="8070"/>
    <cellStyle name="Comma 2 2 3 7 2 7" xfId="8071"/>
    <cellStyle name="Comma 2 2 3 7 2 8" xfId="8072"/>
    <cellStyle name="Comma 2 2 3 7 2 9" xfId="8073"/>
    <cellStyle name="Comma 2 2 3 7 3" xfId="8074"/>
    <cellStyle name="Comma 2 2 3 7 3 2" xfId="8075"/>
    <cellStyle name="Comma 2 2 3 7 3 2 2" xfId="8076"/>
    <cellStyle name="Comma 2 2 3 7 3 2 2 2" xfId="8077"/>
    <cellStyle name="Comma 2 2 3 7 3 2 2 3" xfId="8078"/>
    <cellStyle name="Comma 2 2 3 7 3 2 3" xfId="8079"/>
    <cellStyle name="Comma 2 2 3 7 3 2 4" xfId="8080"/>
    <cellStyle name="Comma 2 2 3 7 3 2 5" xfId="8081"/>
    <cellStyle name="Comma 2 2 3 7 3 2 6" xfId="8082"/>
    <cellStyle name="Comma 2 2 3 7 3 3" xfId="8083"/>
    <cellStyle name="Comma 2 2 3 7 3 3 2" xfId="8084"/>
    <cellStyle name="Comma 2 2 3 7 3 3 2 2" xfId="8085"/>
    <cellStyle name="Comma 2 2 3 7 3 3 3" xfId="8086"/>
    <cellStyle name="Comma 2 2 3 7 3 3 4" xfId="8087"/>
    <cellStyle name="Comma 2 2 3 7 3 3 5" xfId="8088"/>
    <cellStyle name="Comma 2 2 3 7 3 4" xfId="8089"/>
    <cellStyle name="Comma 2 2 3 7 3 4 2" xfId="8090"/>
    <cellStyle name="Comma 2 2 3 7 3 4 3" xfId="8091"/>
    <cellStyle name="Comma 2 2 3 7 3 4 4" xfId="8092"/>
    <cellStyle name="Comma 2 2 3 7 3 5" xfId="8093"/>
    <cellStyle name="Comma 2 2 3 7 3 5 2" xfId="8094"/>
    <cellStyle name="Comma 2 2 3 7 3 6" xfId="8095"/>
    <cellStyle name="Comma 2 2 3 7 3 7" xfId="8096"/>
    <cellStyle name="Comma 2 2 3 7 3 8" xfId="8097"/>
    <cellStyle name="Comma 2 2 3 7 3 9" xfId="8098"/>
    <cellStyle name="Comma 2 2 3 7 4" xfId="8099"/>
    <cellStyle name="Comma 2 2 3 7 4 2" xfId="8100"/>
    <cellStyle name="Comma 2 2 3 7 4 2 2" xfId="8101"/>
    <cellStyle name="Comma 2 2 3 7 4 2 3" xfId="8102"/>
    <cellStyle name="Comma 2 2 3 7 4 3" xfId="8103"/>
    <cellStyle name="Comma 2 2 3 7 4 4" xfId="8104"/>
    <cellStyle name="Comma 2 2 3 7 4 5" xfId="8105"/>
    <cellStyle name="Comma 2 2 3 7 4 6" xfId="8106"/>
    <cellStyle name="Comma 2 2 3 7 5" xfId="8107"/>
    <cellStyle name="Comma 2 2 3 7 5 2" xfId="8108"/>
    <cellStyle name="Comma 2 2 3 7 5 2 2" xfId="8109"/>
    <cellStyle name="Comma 2 2 3 7 5 3" xfId="8110"/>
    <cellStyle name="Comma 2 2 3 7 5 4" xfId="8111"/>
    <cellStyle name="Comma 2 2 3 7 5 5" xfId="8112"/>
    <cellStyle name="Comma 2 2 3 7 6" xfId="8113"/>
    <cellStyle name="Comma 2 2 3 7 6 2" xfId="8114"/>
    <cellStyle name="Comma 2 2 3 7 6 3" xfId="8115"/>
    <cellStyle name="Comma 2 2 3 7 6 4" xfId="8116"/>
    <cellStyle name="Comma 2 2 3 7 7" xfId="8117"/>
    <cellStyle name="Comma 2 2 3 7 7 2" xfId="8118"/>
    <cellStyle name="Comma 2 2 3 7 8" xfId="8119"/>
    <cellStyle name="Comma 2 2 3 7 9" xfId="8120"/>
    <cellStyle name="Comma 2 2 3 8" xfId="8121"/>
    <cellStyle name="Comma 2 2 3 8 10" xfId="8122"/>
    <cellStyle name="Comma 2 2 3 8 2" xfId="8123"/>
    <cellStyle name="Comma 2 2 3 8 2 2" xfId="8124"/>
    <cellStyle name="Comma 2 2 3 8 2 2 2" xfId="8125"/>
    <cellStyle name="Comma 2 2 3 8 2 2 3" xfId="8126"/>
    <cellStyle name="Comma 2 2 3 8 2 3" xfId="8127"/>
    <cellStyle name="Comma 2 2 3 8 2 4" xfId="8128"/>
    <cellStyle name="Comma 2 2 3 8 2 5" xfId="8129"/>
    <cellStyle name="Comma 2 2 3 8 2 6" xfId="8130"/>
    <cellStyle name="Comma 2 2 3 8 3" xfId="8131"/>
    <cellStyle name="Comma 2 2 3 8 3 2" xfId="8132"/>
    <cellStyle name="Comma 2 2 3 8 3 2 2" xfId="8133"/>
    <cellStyle name="Comma 2 2 3 8 3 2 3" xfId="8134"/>
    <cellStyle name="Comma 2 2 3 8 3 3" xfId="8135"/>
    <cellStyle name="Comma 2 2 3 8 3 4" xfId="8136"/>
    <cellStyle name="Comma 2 2 3 8 3 5" xfId="8137"/>
    <cellStyle name="Comma 2 2 3 8 3 6" xfId="8138"/>
    <cellStyle name="Comma 2 2 3 8 4" xfId="8139"/>
    <cellStyle name="Comma 2 2 3 8 4 2" xfId="8140"/>
    <cellStyle name="Comma 2 2 3 8 4 2 2" xfId="8141"/>
    <cellStyle name="Comma 2 2 3 8 4 3" xfId="8142"/>
    <cellStyle name="Comma 2 2 3 8 4 4" xfId="8143"/>
    <cellStyle name="Comma 2 2 3 8 4 5" xfId="8144"/>
    <cellStyle name="Comma 2 2 3 8 5" xfId="8145"/>
    <cellStyle name="Comma 2 2 3 8 5 2" xfId="8146"/>
    <cellStyle name="Comma 2 2 3 8 5 3" xfId="8147"/>
    <cellStyle name="Comma 2 2 3 8 5 4" xfId="8148"/>
    <cellStyle name="Comma 2 2 3 8 6" xfId="8149"/>
    <cellStyle name="Comma 2 2 3 8 6 2" xfId="8150"/>
    <cellStyle name="Comma 2 2 3 8 7" xfId="8151"/>
    <cellStyle name="Comma 2 2 3 8 8" xfId="8152"/>
    <cellStyle name="Comma 2 2 3 8 9" xfId="8153"/>
    <cellStyle name="Comma 2 2 3 9" xfId="8154"/>
    <cellStyle name="Comma 2 2 3 9 10" xfId="8155"/>
    <cellStyle name="Comma 2 2 3 9 2" xfId="8156"/>
    <cellStyle name="Comma 2 2 3 9 2 2" xfId="8157"/>
    <cellStyle name="Comma 2 2 3 9 2 2 2" xfId="8158"/>
    <cellStyle name="Comma 2 2 3 9 2 2 3" xfId="8159"/>
    <cellStyle name="Comma 2 2 3 9 2 3" xfId="8160"/>
    <cellStyle name="Comma 2 2 3 9 2 4" xfId="8161"/>
    <cellStyle name="Comma 2 2 3 9 2 5" xfId="8162"/>
    <cellStyle name="Comma 2 2 3 9 2 6" xfId="8163"/>
    <cellStyle name="Comma 2 2 3 9 3" xfId="8164"/>
    <cellStyle name="Comma 2 2 3 9 3 2" xfId="8165"/>
    <cellStyle name="Comma 2 2 3 9 3 2 2" xfId="8166"/>
    <cellStyle name="Comma 2 2 3 9 3 2 3" xfId="8167"/>
    <cellStyle name="Comma 2 2 3 9 3 3" xfId="8168"/>
    <cellStyle name="Comma 2 2 3 9 3 4" xfId="8169"/>
    <cellStyle name="Comma 2 2 3 9 3 5" xfId="8170"/>
    <cellStyle name="Comma 2 2 3 9 3 6" xfId="8171"/>
    <cellStyle name="Comma 2 2 3 9 4" xfId="8172"/>
    <cellStyle name="Comma 2 2 3 9 4 2" xfId="8173"/>
    <cellStyle name="Comma 2 2 3 9 4 2 2" xfId="8174"/>
    <cellStyle name="Comma 2 2 3 9 4 3" xfId="8175"/>
    <cellStyle name="Comma 2 2 3 9 4 4" xfId="8176"/>
    <cellStyle name="Comma 2 2 3 9 4 5" xfId="8177"/>
    <cellStyle name="Comma 2 2 3 9 5" xfId="8178"/>
    <cellStyle name="Comma 2 2 3 9 5 2" xfId="8179"/>
    <cellStyle name="Comma 2 2 3 9 5 3" xfId="8180"/>
    <cellStyle name="Comma 2 2 3 9 5 4" xfId="8181"/>
    <cellStyle name="Comma 2 2 3 9 6" xfId="8182"/>
    <cellStyle name="Comma 2 2 3 9 6 2" xfId="8183"/>
    <cellStyle name="Comma 2 2 3 9 7" xfId="8184"/>
    <cellStyle name="Comma 2 2 3 9 8" xfId="8185"/>
    <cellStyle name="Comma 2 2 3 9 9" xfId="8186"/>
    <cellStyle name="Comma 2 2 30" xfId="8187"/>
    <cellStyle name="Comma 2 2 30 2" xfId="8188"/>
    <cellStyle name="Comma 2 2 30 2 2" xfId="8189"/>
    <cellStyle name="Comma 2 2 30 2 2 2" xfId="8190"/>
    <cellStyle name="Comma 2 2 30 2 2 3" xfId="8191"/>
    <cellStyle name="Comma 2 2 30 2 3" xfId="8192"/>
    <cellStyle name="Comma 2 2 30 2 4" xfId="8193"/>
    <cellStyle name="Comma 2 2 30 2 5" xfId="8194"/>
    <cellStyle name="Comma 2 2 30 2 6" xfId="8195"/>
    <cellStyle name="Comma 2 2 30 3" xfId="8196"/>
    <cellStyle name="Comma 2 2 30 3 2" xfId="8197"/>
    <cellStyle name="Comma 2 2 30 3 2 2" xfId="8198"/>
    <cellStyle name="Comma 2 2 30 3 3" xfId="8199"/>
    <cellStyle name="Comma 2 2 30 3 4" xfId="8200"/>
    <cellStyle name="Comma 2 2 30 3 5" xfId="8201"/>
    <cellStyle name="Comma 2 2 30 4" xfId="8202"/>
    <cellStyle name="Comma 2 2 30 4 2" xfId="8203"/>
    <cellStyle name="Comma 2 2 30 4 3" xfId="8204"/>
    <cellStyle name="Comma 2 2 30 4 4" xfId="8205"/>
    <cellStyle name="Comma 2 2 30 5" xfId="8206"/>
    <cellStyle name="Comma 2 2 30 5 2" xfId="8207"/>
    <cellStyle name="Comma 2 2 30 6" xfId="8208"/>
    <cellStyle name="Comma 2 2 30 7" xfId="8209"/>
    <cellStyle name="Comma 2 2 30 8" xfId="8210"/>
    <cellStyle name="Comma 2 2 30 9" xfId="8211"/>
    <cellStyle name="Comma 2 2 31" xfId="8212"/>
    <cellStyle name="Comma 2 2 31 2" xfId="8213"/>
    <cellStyle name="Comma 2 2 31 2 2" xfId="8214"/>
    <cellStyle name="Comma 2 2 31 2 3" xfId="8215"/>
    <cellStyle name="Comma 2 2 31 3" xfId="8216"/>
    <cellStyle name="Comma 2 2 31 4" xfId="8217"/>
    <cellStyle name="Comma 2 2 31 5" xfId="8218"/>
    <cellStyle name="Comma 2 2 31 6" xfId="8219"/>
    <cellStyle name="Comma 2 2 32" xfId="8220"/>
    <cellStyle name="Comma 2 2 32 2" xfId="8221"/>
    <cellStyle name="Comma 2 2 32 2 2" xfId="8222"/>
    <cellStyle name="Comma 2 2 32 3" xfId="8223"/>
    <cellStyle name="Comma 2 2 32 4" xfId="8224"/>
    <cellStyle name="Comma 2 2 32 5" xfId="8225"/>
    <cellStyle name="Comma 2 2 32 6" xfId="8226"/>
    <cellStyle name="Comma 2 2 33" xfId="8227"/>
    <cellStyle name="Comma 2 2 33 2" xfId="8228"/>
    <cellStyle name="Comma 2 2 33 2 2" xfId="8229"/>
    <cellStyle name="Comma 2 2 33 3" xfId="8230"/>
    <cellStyle name="Comma 2 2 33 4" xfId="8231"/>
    <cellStyle name="Comma 2 2 33 5" xfId="8232"/>
    <cellStyle name="Comma 2 2 33 6" xfId="8233"/>
    <cellStyle name="Comma 2 2 34" xfId="8234"/>
    <cellStyle name="Comma 2 2 34 2" xfId="8235"/>
    <cellStyle name="Comma 2 2 34 3" xfId="8236"/>
    <cellStyle name="Comma 2 2 34 4" xfId="8237"/>
    <cellStyle name="Comma 2 2 35" xfId="8238"/>
    <cellStyle name="Comma 2 2 35 2" xfId="8239"/>
    <cellStyle name="Comma 2 2 35 3" xfId="8240"/>
    <cellStyle name="Comma 2 2 36" xfId="8241"/>
    <cellStyle name="Comma 2 2 36 2" xfId="8242"/>
    <cellStyle name="Comma 2 2 36 3" xfId="8243"/>
    <cellStyle name="Comma 2 2 37" xfId="8244"/>
    <cellStyle name="Comma 2 2 38" xfId="8245"/>
    <cellStyle name="Comma 2 2 39" xfId="8246"/>
    <cellStyle name="Comma 2 2 4" xfId="8247"/>
    <cellStyle name="Comma 2 2 4 10" xfId="8248"/>
    <cellStyle name="Comma 2 2 4 11" xfId="8249"/>
    <cellStyle name="Comma 2 2 4 2" xfId="8250"/>
    <cellStyle name="Comma 2 2 4 2 2" xfId="8251"/>
    <cellStyle name="Comma 2 2 4 2 2 2" xfId="8252"/>
    <cellStyle name="Comma 2 2 4 2 2 2 2" xfId="8253"/>
    <cellStyle name="Comma 2 2 4 2 2 2 3" xfId="8254"/>
    <cellStyle name="Comma 2 2 4 2 2 3" xfId="8255"/>
    <cellStyle name="Comma 2 2 4 2 2 4" xfId="8256"/>
    <cellStyle name="Comma 2 2 4 2 2 5" xfId="8257"/>
    <cellStyle name="Comma 2 2 4 2 2 6" xfId="8258"/>
    <cellStyle name="Comma 2 2 4 2 3" xfId="8259"/>
    <cellStyle name="Comma 2 2 4 2 3 2" xfId="8260"/>
    <cellStyle name="Comma 2 2 4 2 3 2 2" xfId="8261"/>
    <cellStyle name="Comma 2 2 4 2 3 3" xfId="8262"/>
    <cellStyle name="Comma 2 2 4 2 3 4" xfId="8263"/>
    <cellStyle name="Comma 2 2 4 2 3 5" xfId="8264"/>
    <cellStyle name="Comma 2 2 4 2 4" xfId="8265"/>
    <cellStyle name="Comma 2 2 4 2 4 2" xfId="8266"/>
    <cellStyle name="Comma 2 2 4 2 4 3" xfId="8267"/>
    <cellStyle name="Comma 2 2 4 2 4 4" xfId="8268"/>
    <cellStyle name="Comma 2 2 4 2 5" xfId="8269"/>
    <cellStyle name="Comma 2 2 4 2 5 2" xfId="8270"/>
    <cellStyle name="Comma 2 2 4 2 6" xfId="8271"/>
    <cellStyle name="Comma 2 2 4 2 7" xfId="8272"/>
    <cellStyle name="Comma 2 2 4 2 8" xfId="8273"/>
    <cellStyle name="Comma 2 2 4 2 9" xfId="8274"/>
    <cellStyle name="Comma 2 2 4 3" xfId="8275"/>
    <cellStyle name="Comma 2 2 4 3 2" xfId="8276"/>
    <cellStyle name="Comma 2 2 4 3 2 2" xfId="8277"/>
    <cellStyle name="Comma 2 2 4 3 2 2 2" xfId="8278"/>
    <cellStyle name="Comma 2 2 4 3 2 2 3" xfId="8279"/>
    <cellStyle name="Comma 2 2 4 3 2 3" xfId="8280"/>
    <cellStyle name="Comma 2 2 4 3 2 4" xfId="8281"/>
    <cellStyle name="Comma 2 2 4 3 2 5" xfId="8282"/>
    <cellStyle name="Comma 2 2 4 3 2 6" xfId="8283"/>
    <cellStyle name="Comma 2 2 4 3 3" xfId="8284"/>
    <cellStyle name="Comma 2 2 4 3 3 2" xfId="8285"/>
    <cellStyle name="Comma 2 2 4 3 3 2 2" xfId="8286"/>
    <cellStyle name="Comma 2 2 4 3 3 3" xfId="8287"/>
    <cellStyle name="Comma 2 2 4 3 3 4" xfId="8288"/>
    <cellStyle name="Comma 2 2 4 3 3 5" xfId="8289"/>
    <cellStyle name="Comma 2 2 4 3 4" xfId="8290"/>
    <cellStyle name="Comma 2 2 4 3 4 2" xfId="8291"/>
    <cellStyle name="Comma 2 2 4 3 4 3" xfId="8292"/>
    <cellStyle name="Comma 2 2 4 3 4 4" xfId="8293"/>
    <cellStyle name="Comma 2 2 4 3 5" xfId="8294"/>
    <cellStyle name="Comma 2 2 4 3 5 2" xfId="8295"/>
    <cellStyle name="Comma 2 2 4 3 6" xfId="8296"/>
    <cellStyle name="Comma 2 2 4 3 7" xfId="8297"/>
    <cellStyle name="Comma 2 2 4 3 8" xfId="8298"/>
    <cellStyle name="Comma 2 2 4 3 9" xfId="8299"/>
    <cellStyle name="Comma 2 2 4 4" xfId="8300"/>
    <cellStyle name="Comma 2 2 4 4 2" xfId="8301"/>
    <cellStyle name="Comma 2 2 4 4 2 2" xfId="8302"/>
    <cellStyle name="Comma 2 2 4 4 2 3" xfId="8303"/>
    <cellStyle name="Comma 2 2 4 4 3" xfId="8304"/>
    <cellStyle name="Comma 2 2 4 4 4" xfId="8305"/>
    <cellStyle name="Comma 2 2 4 4 5" xfId="8306"/>
    <cellStyle name="Comma 2 2 4 4 6" xfId="8307"/>
    <cellStyle name="Comma 2 2 4 5" xfId="8308"/>
    <cellStyle name="Comma 2 2 4 5 2" xfId="8309"/>
    <cellStyle name="Comma 2 2 4 5 2 2" xfId="8310"/>
    <cellStyle name="Comma 2 2 4 5 3" xfId="8311"/>
    <cellStyle name="Comma 2 2 4 5 4" xfId="8312"/>
    <cellStyle name="Comma 2 2 4 5 5" xfId="8313"/>
    <cellStyle name="Comma 2 2 4 6" xfId="8314"/>
    <cellStyle name="Comma 2 2 4 6 2" xfId="8315"/>
    <cellStyle name="Comma 2 2 4 6 3" xfId="8316"/>
    <cellStyle name="Comma 2 2 4 6 4" xfId="8317"/>
    <cellStyle name="Comma 2 2 4 7" xfId="8318"/>
    <cellStyle name="Comma 2 2 4 7 2" xfId="8319"/>
    <cellStyle name="Comma 2 2 4 8" xfId="8320"/>
    <cellStyle name="Comma 2 2 4 9" xfId="8321"/>
    <cellStyle name="Comma 2 2 40" xfId="8322"/>
    <cellStyle name="Comma 2 2 41" xfId="8323"/>
    <cellStyle name="Comma 2 2 42" xfId="8324"/>
    <cellStyle name="Comma 2 2 43" xfId="8325"/>
    <cellStyle name="Comma 2 2 44" xfId="8326"/>
    <cellStyle name="Comma 2 2 45" xfId="8327"/>
    <cellStyle name="Comma 2 2 46" xfId="8328"/>
    <cellStyle name="Comma 2 2 47" xfId="8329"/>
    <cellStyle name="Comma 2 2 48" xfId="8330"/>
    <cellStyle name="Comma 2 2 49" xfId="8331"/>
    <cellStyle name="Comma 2 2 5" xfId="8332"/>
    <cellStyle name="Comma 2 2 5 10" xfId="8333"/>
    <cellStyle name="Comma 2 2 5 11" xfId="8334"/>
    <cellStyle name="Comma 2 2 5 2" xfId="8335"/>
    <cellStyle name="Comma 2 2 5 2 2" xfId="8336"/>
    <cellStyle name="Comma 2 2 5 2 2 2" xfId="8337"/>
    <cellStyle name="Comma 2 2 5 2 2 2 2" xfId="8338"/>
    <cellStyle name="Comma 2 2 5 2 2 2 3" xfId="8339"/>
    <cellStyle name="Comma 2 2 5 2 2 3" xfId="8340"/>
    <cellStyle name="Comma 2 2 5 2 2 4" xfId="8341"/>
    <cellStyle name="Comma 2 2 5 2 2 5" xfId="8342"/>
    <cellStyle name="Comma 2 2 5 2 2 6" xfId="8343"/>
    <cellStyle name="Comma 2 2 5 2 3" xfId="8344"/>
    <cellStyle name="Comma 2 2 5 2 3 2" xfId="8345"/>
    <cellStyle name="Comma 2 2 5 2 3 2 2" xfId="8346"/>
    <cellStyle name="Comma 2 2 5 2 3 3" xfId="8347"/>
    <cellStyle name="Comma 2 2 5 2 3 4" xfId="8348"/>
    <cellStyle name="Comma 2 2 5 2 3 5" xfId="8349"/>
    <cellStyle name="Comma 2 2 5 2 4" xfId="8350"/>
    <cellStyle name="Comma 2 2 5 2 4 2" xfId="8351"/>
    <cellStyle name="Comma 2 2 5 2 4 3" xfId="8352"/>
    <cellStyle name="Comma 2 2 5 2 4 4" xfId="8353"/>
    <cellStyle name="Comma 2 2 5 2 5" xfId="8354"/>
    <cellStyle name="Comma 2 2 5 2 5 2" xfId="8355"/>
    <cellStyle name="Comma 2 2 5 2 6" xfId="8356"/>
    <cellStyle name="Comma 2 2 5 2 7" xfId="8357"/>
    <cellStyle name="Comma 2 2 5 2 8" xfId="8358"/>
    <cellStyle name="Comma 2 2 5 2 9" xfId="8359"/>
    <cellStyle name="Comma 2 2 5 3" xfId="8360"/>
    <cellStyle name="Comma 2 2 5 3 2" xfId="8361"/>
    <cellStyle name="Comma 2 2 5 3 2 2" xfId="8362"/>
    <cellStyle name="Comma 2 2 5 3 2 2 2" xfId="8363"/>
    <cellStyle name="Comma 2 2 5 3 2 2 3" xfId="8364"/>
    <cellStyle name="Comma 2 2 5 3 2 3" xfId="8365"/>
    <cellStyle name="Comma 2 2 5 3 2 4" xfId="8366"/>
    <cellStyle name="Comma 2 2 5 3 2 5" xfId="8367"/>
    <cellStyle name="Comma 2 2 5 3 2 6" xfId="8368"/>
    <cellStyle name="Comma 2 2 5 3 3" xfId="8369"/>
    <cellStyle name="Comma 2 2 5 3 3 2" xfId="8370"/>
    <cellStyle name="Comma 2 2 5 3 3 2 2" xfId="8371"/>
    <cellStyle name="Comma 2 2 5 3 3 3" xfId="8372"/>
    <cellStyle name="Comma 2 2 5 3 3 4" xfId="8373"/>
    <cellStyle name="Comma 2 2 5 3 3 5" xfId="8374"/>
    <cellStyle name="Comma 2 2 5 3 4" xfId="8375"/>
    <cellStyle name="Comma 2 2 5 3 4 2" xfId="8376"/>
    <cellStyle name="Comma 2 2 5 3 4 3" xfId="8377"/>
    <cellStyle name="Comma 2 2 5 3 4 4" xfId="8378"/>
    <cellStyle name="Comma 2 2 5 3 5" xfId="8379"/>
    <cellStyle name="Comma 2 2 5 3 5 2" xfId="8380"/>
    <cellStyle name="Comma 2 2 5 3 6" xfId="8381"/>
    <cellStyle name="Comma 2 2 5 3 7" xfId="8382"/>
    <cellStyle name="Comma 2 2 5 3 8" xfId="8383"/>
    <cellStyle name="Comma 2 2 5 3 9" xfId="8384"/>
    <cellStyle name="Comma 2 2 5 4" xfId="8385"/>
    <cellStyle name="Comma 2 2 5 4 2" xfId="8386"/>
    <cellStyle name="Comma 2 2 5 4 2 2" xfId="8387"/>
    <cellStyle name="Comma 2 2 5 4 2 3" xfId="8388"/>
    <cellStyle name="Comma 2 2 5 4 3" xfId="8389"/>
    <cellStyle name="Comma 2 2 5 4 4" xfId="8390"/>
    <cellStyle name="Comma 2 2 5 4 5" xfId="8391"/>
    <cellStyle name="Comma 2 2 5 4 6" xfId="8392"/>
    <cellStyle name="Comma 2 2 5 5" xfId="8393"/>
    <cellStyle name="Comma 2 2 5 5 2" xfId="8394"/>
    <cellStyle name="Comma 2 2 5 5 2 2" xfId="8395"/>
    <cellStyle name="Comma 2 2 5 5 3" xfId="8396"/>
    <cellStyle name="Comma 2 2 5 5 4" xfId="8397"/>
    <cellStyle name="Comma 2 2 5 5 5" xfId="8398"/>
    <cellStyle name="Comma 2 2 5 6" xfId="8399"/>
    <cellStyle name="Comma 2 2 5 6 2" xfId="8400"/>
    <cellStyle name="Comma 2 2 5 6 3" xfId="8401"/>
    <cellStyle name="Comma 2 2 5 6 4" xfId="8402"/>
    <cellStyle name="Comma 2 2 5 7" xfId="8403"/>
    <cellStyle name="Comma 2 2 5 7 2" xfId="8404"/>
    <cellStyle name="Comma 2 2 5 8" xfId="8405"/>
    <cellStyle name="Comma 2 2 5 9" xfId="8406"/>
    <cellStyle name="Comma 2 2 50" xfId="8407"/>
    <cellStyle name="Comma 2 2 51" xfId="8408"/>
    <cellStyle name="Comma 2 2 52" xfId="8409"/>
    <cellStyle name="Comma 2 2 53" xfId="8410"/>
    <cellStyle name="Comma 2 2 54" xfId="8411"/>
    <cellStyle name="Comma 2 2 55" xfId="8412"/>
    <cellStyle name="Comma 2 2 6" xfId="8413"/>
    <cellStyle name="Comma 2 2 6 10" xfId="8414"/>
    <cellStyle name="Comma 2 2 6 11" xfId="8415"/>
    <cellStyle name="Comma 2 2 6 2" xfId="8416"/>
    <cellStyle name="Comma 2 2 6 2 2" xfId="8417"/>
    <cellStyle name="Comma 2 2 6 2 2 2" xfId="8418"/>
    <cellStyle name="Comma 2 2 6 2 2 2 2" xfId="8419"/>
    <cellStyle name="Comma 2 2 6 2 2 2 3" xfId="8420"/>
    <cellStyle name="Comma 2 2 6 2 2 3" xfId="8421"/>
    <cellStyle name="Comma 2 2 6 2 2 4" xfId="8422"/>
    <cellStyle name="Comma 2 2 6 2 2 5" xfId="8423"/>
    <cellStyle name="Comma 2 2 6 2 2 6" xfId="8424"/>
    <cellStyle name="Comma 2 2 6 2 3" xfId="8425"/>
    <cellStyle name="Comma 2 2 6 2 3 2" xfId="8426"/>
    <cellStyle name="Comma 2 2 6 2 3 2 2" xfId="8427"/>
    <cellStyle name="Comma 2 2 6 2 3 3" xfId="8428"/>
    <cellStyle name="Comma 2 2 6 2 3 4" xfId="8429"/>
    <cellStyle name="Comma 2 2 6 2 3 5" xfId="8430"/>
    <cellStyle name="Comma 2 2 6 2 4" xfId="8431"/>
    <cellStyle name="Comma 2 2 6 2 4 2" xfId="8432"/>
    <cellStyle name="Comma 2 2 6 2 4 3" xfId="8433"/>
    <cellStyle name="Comma 2 2 6 2 4 4" xfId="8434"/>
    <cellStyle name="Comma 2 2 6 2 5" xfId="8435"/>
    <cellStyle name="Comma 2 2 6 2 5 2" xfId="8436"/>
    <cellStyle name="Comma 2 2 6 2 6" xfId="8437"/>
    <cellStyle name="Comma 2 2 6 2 7" xfId="8438"/>
    <cellStyle name="Comma 2 2 6 2 8" xfId="8439"/>
    <cellStyle name="Comma 2 2 6 2 9" xfId="8440"/>
    <cellStyle name="Comma 2 2 6 3" xfId="8441"/>
    <cellStyle name="Comma 2 2 6 3 2" xfId="8442"/>
    <cellStyle name="Comma 2 2 6 3 2 2" xfId="8443"/>
    <cellStyle name="Comma 2 2 6 3 2 2 2" xfId="8444"/>
    <cellStyle name="Comma 2 2 6 3 2 2 3" xfId="8445"/>
    <cellStyle name="Comma 2 2 6 3 2 3" xfId="8446"/>
    <cellStyle name="Comma 2 2 6 3 2 4" xfId="8447"/>
    <cellStyle name="Comma 2 2 6 3 2 5" xfId="8448"/>
    <cellStyle name="Comma 2 2 6 3 2 6" xfId="8449"/>
    <cellStyle name="Comma 2 2 6 3 3" xfId="8450"/>
    <cellStyle name="Comma 2 2 6 3 3 2" xfId="8451"/>
    <cellStyle name="Comma 2 2 6 3 3 2 2" xfId="8452"/>
    <cellStyle name="Comma 2 2 6 3 3 3" xfId="8453"/>
    <cellStyle name="Comma 2 2 6 3 3 4" xfId="8454"/>
    <cellStyle name="Comma 2 2 6 3 3 5" xfId="8455"/>
    <cellStyle name="Comma 2 2 6 3 4" xfId="8456"/>
    <cellStyle name="Comma 2 2 6 3 4 2" xfId="8457"/>
    <cellStyle name="Comma 2 2 6 3 4 3" xfId="8458"/>
    <cellStyle name="Comma 2 2 6 3 4 4" xfId="8459"/>
    <cellStyle name="Comma 2 2 6 3 5" xfId="8460"/>
    <cellStyle name="Comma 2 2 6 3 5 2" xfId="8461"/>
    <cellStyle name="Comma 2 2 6 3 6" xfId="8462"/>
    <cellStyle name="Comma 2 2 6 3 7" xfId="8463"/>
    <cellStyle name="Comma 2 2 6 3 8" xfId="8464"/>
    <cellStyle name="Comma 2 2 6 3 9" xfId="8465"/>
    <cellStyle name="Comma 2 2 6 4" xfId="8466"/>
    <cellStyle name="Comma 2 2 6 4 2" xfId="8467"/>
    <cellStyle name="Comma 2 2 6 4 2 2" xfId="8468"/>
    <cellStyle name="Comma 2 2 6 4 2 3" xfId="8469"/>
    <cellStyle name="Comma 2 2 6 4 3" xfId="8470"/>
    <cellStyle name="Comma 2 2 6 4 4" xfId="8471"/>
    <cellStyle name="Comma 2 2 6 4 5" xfId="8472"/>
    <cellStyle name="Comma 2 2 6 4 6" xfId="8473"/>
    <cellStyle name="Comma 2 2 6 5" xfId="8474"/>
    <cellStyle name="Comma 2 2 6 5 2" xfId="8475"/>
    <cellStyle name="Comma 2 2 6 5 2 2" xfId="8476"/>
    <cellStyle name="Comma 2 2 6 5 3" xfId="8477"/>
    <cellStyle name="Comma 2 2 6 5 4" xfId="8478"/>
    <cellStyle name="Comma 2 2 6 5 5" xfId="8479"/>
    <cellStyle name="Comma 2 2 6 6" xfId="8480"/>
    <cellStyle name="Comma 2 2 6 6 2" xfId="8481"/>
    <cellStyle name="Comma 2 2 6 6 3" xfId="8482"/>
    <cellStyle name="Comma 2 2 6 6 4" xfId="8483"/>
    <cellStyle name="Comma 2 2 6 7" xfId="8484"/>
    <cellStyle name="Comma 2 2 6 7 2" xfId="8485"/>
    <cellStyle name="Comma 2 2 6 8" xfId="8486"/>
    <cellStyle name="Comma 2 2 6 9" xfId="8487"/>
    <cellStyle name="Comma 2 2 7" xfId="8488"/>
    <cellStyle name="Comma 2 2 7 10" xfId="8489"/>
    <cellStyle name="Comma 2 2 7 11" xfId="8490"/>
    <cellStyle name="Comma 2 2 7 2" xfId="8491"/>
    <cellStyle name="Comma 2 2 7 2 2" xfId="8492"/>
    <cellStyle name="Comma 2 2 7 2 2 2" xfId="8493"/>
    <cellStyle name="Comma 2 2 7 2 2 2 2" xfId="8494"/>
    <cellStyle name="Comma 2 2 7 2 2 2 3" xfId="8495"/>
    <cellStyle name="Comma 2 2 7 2 2 3" xfId="8496"/>
    <cellStyle name="Comma 2 2 7 2 2 4" xfId="8497"/>
    <cellStyle name="Comma 2 2 7 2 2 5" xfId="8498"/>
    <cellStyle name="Comma 2 2 7 2 2 6" xfId="8499"/>
    <cellStyle name="Comma 2 2 7 2 3" xfId="8500"/>
    <cellStyle name="Comma 2 2 7 2 3 2" xfId="8501"/>
    <cellStyle name="Comma 2 2 7 2 3 2 2" xfId="8502"/>
    <cellStyle name="Comma 2 2 7 2 3 3" xfId="8503"/>
    <cellStyle name="Comma 2 2 7 2 3 4" xfId="8504"/>
    <cellStyle name="Comma 2 2 7 2 3 5" xfId="8505"/>
    <cellStyle name="Comma 2 2 7 2 4" xfId="8506"/>
    <cellStyle name="Comma 2 2 7 2 4 2" xfId="8507"/>
    <cellStyle name="Comma 2 2 7 2 4 3" xfId="8508"/>
    <cellStyle name="Comma 2 2 7 2 4 4" xfId="8509"/>
    <cellStyle name="Comma 2 2 7 2 5" xfId="8510"/>
    <cellStyle name="Comma 2 2 7 2 5 2" xfId="8511"/>
    <cellStyle name="Comma 2 2 7 2 6" xfId="8512"/>
    <cellStyle name="Comma 2 2 7 2 7" xfId="8513"/>
    <cellStyle name="Comma 2 2 7 2 8" xfId="8514"/>
    <cellStyle name="Comma 2 2 7 2 9" xfId="8515"/>
    <cellStyle name="Comma 2 2 7 3" xfId="8516"/>
    <cellStyle name="Comma 2 2 7 3 2" xfId="8517"/>
    <cellStyle name="Comma 2 2 7 3 2 2" xfId="8518"/>
    <cellStyle name="Comma 2 2 7 3 2 2 2" xfId="8519"/>
    <cellStyle name="Comma 2 2 7 3 2 2 3" xfId="8520"/>
    <cellStyle name="Comma 2 2 7 3 2 3" xfId="8521"/>
    <cellStyle name="Comma 2 2 7 3 2 4" xfId="8522"/>
    <cellStyle name="Comma 2 2 7 3 2 5" xfId="8523"/>
    <cellStyle name="Comma 2 2 7 3 2 6" xfId="8524"/>
    <cellStyle name="Comma 2 2 7 3 3" xfId="8525"/>
    <cellStyle name="Comma 2 2 7 3 3 2" xfId="8526"/>
    <cellStyle name="Comma 2 2 7 3 3 2 2" xfId="8527"/>
    <cellStyle name="Comma 2 2 7 3 3 3" xfId="8528"/>
    <cellStyle name="Comma 2 2 7 3 3 4" xfId="8529"/>
    <cellStyle name="Comma 2 2 7 3 3 5" xfId="8530"/>
    <cellStyle name="Comma 2 2 7 3 4" xfId="8531"/>
    <cellStyle name="Comma 2 2 7 3 4 2" xfId="8532"/>
    <cellStyle name="Comma 2 2 7 3 4 3" xfId="8533"/>
    <cellStyle name="Comma 2 2 7 3 4 4" xfId="8534"/>
    <cellStyle name="Comma 2 2 7 3 5" xfId="8535"/>
    <cellStyle name="Comma 2 2 7 3 5 2" xfId="8536"/>
    <cellStyle name="Comma 2 2 7 3 6" xfId="8537"/>
    <cellStyle name="Comma 2 2 7 3 7" xfId="8538"/>
    <cellStyle name="Comma 2 2 7 3 8" xfId="8539"/>
    <cellStyle name="Comma 2 2 7 3 9" xfId="8540"/>
    <cellStyle name="Comma 2 2 7 4" xfId="8541"/>
    <cellStyle name="Comma 2 2 7 4 2" xfId="8542"/>
    <cellStyle name="Comma 2 2 7 4 2 2" xfId="8543"/>
    <cellStyle name="Comma 2 2 7 4 2 3" xfId="8544"/>
    <cellStyle name="Comma 2 2 7 4 3" xfId="8545"/>
    <cellStyle name="Comma 2 2 7 4 4" xfId="8546"/>
    <cellStyle name="Comma 2 2 7 4 5" xfId="8547"/>
    <cellStyle name="Comma 2 2 7 4 6" xfId="8548"/>
    <cellStyle name="Comma 2 2 7 5" xfId="8549"/>
    <cellStyle name="Comma 2 2 7 5 2" xfId="8550"/>
    <cellStyle name="Comma 2 2 7 5 2 2" xfId="8551"/>
    <cellStyle name="Comma 2 2 7 5 3" xfId="8552"/>
    <cellStyle name="Comma 2 2 7 5 4" xfId="8553"/>
    <cellStyle name="Comma 2 2 7 5 5" xfId="8554"/>
    <cellStyle name="Comma 2 2 7 6" xfId="8555"/>
    <cellStyle name="Comma 2 2 7 6 2" xfId="8556"/>
    <cellStyle name="Comma 2 2 7 6 3" xfId="8557"/>
    <cellStyle name="Comma 2 2 7 6 4" xfId="8558"/>
    <cellStyle name="Comma 2 2 7 7" xfId="8559"/>
    <cellStyle name="Comma 2 2 7 7 2" xfId="8560"/>
    <cellStyle name="Comma 2 2 7 8" xfId="8561"/>
    <cellStyle name="Comma 2 2 7 9" xfId="8562"/>
    <cellStyle name="Comma 2 2 8" xfId="8563"/>
    <cellStyle name="Comma 2 2 8 10" xfId="8564"/>
    <cellStyle name="Comma 2 2 8 11" xfId="8565"/>
    <cellStyle name="Comma 2 2 8 2" xfId="8566"/>
    <cellStyle name="Comma 2 2 8 2 2" xfId="8567"/>
    <cellStyle name="Comma 2 2 8 2 2 2" xfId="8568"/>
    <cellStyle name="Comma 2 2 8 2 2 2 2" xfId="8569"/>
    <cellStyle name="Comma 2 2 8 2 2 2 3" xfId="8570"/>
    <cellStyle name="Comma 2 2 8 2 2 3" xfId="8571"/>
    <cellStyle name="Comma 2 2 8 2 2 4" xfId="8572"/>
    <cellStyle name="Comma 2 2 8 2 2 5" xfId="8573"/>
    <cellStyle name="Comma 2 2 8 2 2 6" xfId="8574"/>
    <cellStyle name="Comma 2 2 8 2 3" xfId="8575"/>
    <cellStyle name="Comma 2 2 8 2 3 2" xfId="8576"/>
    <cellStyle name="Comma 2 2 8 2 3 2 2" xfId="8577"/>
    <cellStyle name="Comma 2 2 8 2 3 3" xfId="8578"/>
    <cellStyle name="Comma 2 2 8 2 3 4" xfId="8579"/>
    <cellStyle name="Comma 2 2 8 2 3 5" xfId="8580"/>
    <cellStyle name="Comma 2 2 8 2 4" xfId="8581"/>
    <cellStyle name="Comma 2 2 8 2 4 2" xfId="8582"/>
    <cellStyle name="Comma 2 2 8 2 4 3" xfId="8583"/>
    <cellStyle name="Comma 2 2 8 2 4 4" xfId="8584"/>
    <cellStyle name="Comma 2 2 8 2 5" xfId="8585"/>
    <cellStyle name="Comma 2 2 8 2 5 2" xfId="8586"/>
    <cellStyle name="Comma 2 2 8 2 6" xfId="8587"/>
    <cellStyle name="Comma 2 2 8 2 7" xfId="8588"/>
    <cellStyle name="Comma 2 2 8 2 8" xfId="8589"/>
    <cellStyle name="Comma 2 2 8 2 9" xfId="8590"/>
    <cellStyle name="Comma 2 2 8 3" xfId="8591"/>
    <cellStyle name="Comma 2 2 8 3 2" xfId="8592"/>
    <cellStyle name="Comma 2 2 8 3 2 2" xfId="8593"/>
    <cellStyle name="Comma 2 2 8 3 2 2 2" xfId="8594"/>
    <cellStyle name="Comma 2 2 8 3 2 2 3" xfId="8595"/>
    <cellStyle name="Comma 2 2 8 3 2 3" xfId="8596"/>
    <cellStyle name="Comma 2 2 8 3 2 4" xfId="8597"/>
    <cellStyle name="Comma 2 2 8 3 2 5" xfId="8598"/>
    <cellStyle name="Comma 2 2 8 3 2 6" xfId="8599"/>
    <cellStyle name="Comma 2 2 8 3 3" xfId="8600"/>
    <cellStyle name="Comma 2 2 8 3 3 2" xfId="8601"/>
    <cellStyle name="Comma 2 2 8 3 3 2 2" xfId="8602"/>
    <cellStyle name="Comma 2 2 8 3 3 3" xfId="8603"/>
    <cellStyle name="Comma 2 2 8 3 3 4" xfId="8604"/>
    <cellStyle name="Comma 2 2 8 3 3 5" xfId="8605"/>
    <cellStyle name="Comma 2 2 8 3 4" xfId="8606"/>
    <cellStyle name="Comma 2 2 8 3 4 2" xfId="8607"/>
    <cellStyle name="Comma 2 2 8 3 4 3" xfId="8608"/>
    <cellStyle name="Comma 2 2 8 3 4 4" xfId="8609"/>
    <cellStyle name="Comma 2 2 8 3 5" xfId="8610"/>
    <cellStyle name="Comma 2 2 8 3 5 2" xfId="8611"/>
    <cellStyle name="Comma 2 2 8 3 6" xfId="8612"/>
    <cellStyle name="Comma 2 2 8 3 7" xfId="8613"/>
    <cellStyle name="Comma 2 2 8 3 8" xfId="8614"/>
    <cellStyle name="Comma 2 2 8 3 9" xfId="8615"/>
    <cellStyle name="Comma 2 2 8 4" xfId="8616"/>
    <cellStyle name="Comma 2 2 8 4 2" xfId="8617"/>
    <cellStyle name="Comma 2 2 8 4 2 2" xfId="8618"/>
    <cellStyle name="Comma 2 2 8 4 2 3" xfId="8619"/>
    <cellStyle name="Comma 2 2 8 4 3" xfId="8620"/>
    <cellStyle name="Comma 2 2 8 4 4" xfId="8621"/>
    <cellStyle name="Comma 2 2 8 4 5" xfId="8622"/>
    <cellStyle name="Comma 2 2 8 4 6" xfId="8623"/>
    <cellStyle name="Comma 2 2 8 5" xfId="8624"/>
    <cellStyle name="Comma 2 2 8 5 2" xfId="8625"/>
    <cellStyle name="Comma 2 2 8 5 2 2" xfId="8626"/>
    <cellStyle name="Comma 2 2 8 5 3" xfId="8627"/>
    <cellStyle name="Comma 2 2 8 5 4" xfId="8628"/>
    <cellStyle name="Comma 2 2 8 5 5" xfId="8629"/>
    <cellStyle name="Comma 2 2 8 6" xfId="8630"/>
    <cellStyle name="Comma 2 2 8 6 2" xfId="8631"/>
    <cellStyle name="Comma 2 2 8 6 3" xfId="8632"/>
    <cellStyle name="Comma 2 2 8 6 4" xfId="8633"/>
    <cellStyle name="Comma 2 2 8 7" xfId="8634"/>
    <cellStyle name="Comma 2 2 8 7 2" xfId="8635"/>
    <cellStyle name="Comma 2 2 8 8" xfId="8636"/>
    <cellStyle name="Comma 2 2 8 9" xfId="8637"/>
    <cellStyle name="Comma 2 2 9" xfId="8638"/>
    <cellStyle name="Comma 2 2 9 10" xfId="8639"/>
    <cellStyle name="Comma 2 2 9 11" xfId="8640"/>
    <cellStyle name="Comma 2 2 9 2" xfId="8641"/>
    <cellStyle name="Comma 2 2 9 2 2" xfId="8642"/>
    <cellStyle name="Comma 2 2 9 2 2 2" xfId="8643"/>
    <cellStyle name="Comma 2 2 9 2 2 2 2" xfId="8644"/>
    <cellStyle name="Comma 2 2 9 2 2 2 3" xfId="8645"/>
    <cellStyle name="Comma 2 2 9 2 2 3" xfId="8646"/>
    <cellStyle name="Comma 2 2 9 2 2 4" xfId="8647"/>
    <cellStyle name="Comma 2 2 9 2 2 5" xfId="8648"/>
    <cellStyle name="Comma 2 2 9 2 2 6" xfId="8649"/>
    <cellStyle name="Comma 2 2 9 2 3" xfId="8650"/>
    <cellStyle name="Comma 2 2 9 2 3 2" xfId="8651"/>
    <cellStyle name="Comma 2 2 9 2 3 2 2" xfId="8652"/>
    <cellStyle name="Comma 2 2 9 2 3 3" xfId="8653"/>
    <cellStyle name="Comma 2 2 9 2 3 4" xfId="8654"/>
    <cellStyle name="Comma 2 2 9 2 3 5" xfId="8655"/>
    <cellStyle name="Comma 2 2 9 2 4" xfId="8656"/>
    <cellStyle name="Comma 2 2 9 2 4 2" xfId="8657"/>
    <cellStyle name="Comma 2 2 9 2 4 3" xfId="8658"/>
    <cellStyle name="Comma 2 2 9 2 4 4" xfId="8659"/>
    <cellStyle name="Comma 2 2 9 2 5" xfId="8660"/>
    <cellStyle name="Comma 2 2 9 2 5 2" xfId="8661"/>
    <cellStyle name="Comma 2 2 9 2 6" xfId="8662"/>
    <cellStyle name="Comma 2 2 9 2 7" xfId="8663"/>
    <cellStyle name="Comma 2 2 9 2 8" xfId="8664"/>
    <cellStyle name="Comma 2 2 9 2 9" xfId="8665"/>
    <cellStyle name="Comma 2 2 9 3" xfId="8666"/>
    <cellStyle name="Comma 2 2 9 3 2" xfId="8667"/>
    <cellStyle name="Comma 2 2 9 3 2 2" xfId="8668"/>
    <cellStyle name="Comma 2 2 9 3 2 2 2" xfId="8669"/>
    <cellStyle name="Comma 2 2 9 3 2 2 3" xfId="8670"/>
    <cellStyle name="Comma 2 2 9 3 2 3" xfId="8671"/>
    <cellStyle name="Comma 2 2 9 3 2 4" xfId="8672"/>
    <cellStyle name="Comma 2 2 9 3 2 5" xfId="8673"/>
    <cellStyle name="Comma 2 2 9 3 2 6" xfId="8674"/>
    <cellStyle name="Comma 2 2 9 3 3" xfId="8675"/>
    <cellStyle name="Comma 2 2 9 3 3 2" xfId="8676"/>
    <cellStyle name="Comma 2 2 9 3 3 2 2" xfId="8677"/>
    <cellStyle name="Comma 2 2 9 3 3 3" xfId="8678"/>
    <cellStyle name="Comma 2 2 9 3 3 4" xfId="8679"/>
    <cellStyle name="Comma 2 2 9 3 3 5" xfId="8680"/>
    <cellStyle name="Comma 2 2 9 3 4" xfId="8681"/>
    <cellStyle name="Comma 2 2 9 3 4 2" xfId="8682"/>
    <cellStyle name="Comma 2 2 9 3 4 3" xfId="8683"/>
    <cellStyle name="Comma 2 2 9 3 4 4" xfId="8684"/>
    <cellStyle name="Comma 2 2 9 3 5" xfId="8685"/>
    <cellStyle name="Comma 2 2 9 3 5 2" xfId="8686"/>
    <cellStyle name="Comma 2 2 9 3 6" xfId="8687"/>
    <cellStyle name="Comma 2 2 9 3 7" xfId="8688"/>
    <cellStyle name="Comma 2 2 9 3 8" xfId="8689"/>
    <cellStyle name="Comma 2 2 9 3 9" xfId="8690"/>
    <cellStyle name="Comma 2 2 9 4" xfId="8691"/>
    <cellStyle name="Comma 2 2 9 4 2" xfId="8692"/>
    <cellStyle name="Comma 2 2 9 4 2 2" xfId="8693"/>
    <cellStyle name="Comma 2 2 9 4 2 3" xfId="8694"/>
    <cellStyle name="Comma 2 2 9 4 3" xfId="8695"/>
    <cellStyle name="Comma 2 2 9 4 4" xfId="8696"/>
    <cellStyle name="Comma 2 2 9 4 5" xfId="8697"/>
    <cellStyle name="Comma 2 2 9 4 6" xfId="8698"/>
    <cellStyle name="Comma 2 2 9 5" xfId="8699"/>
    <cellStyle name="Comma 2 2 9 5 2" xfId="8700"/>
    <cellStyle name="Comma 2 2 9 5 2 2" xfId="8701"/>
    <cellStyle name="Comma 2 2 9 5 3" xfId="8702"/>
    <cellStyle name="Comma 2 2 9 5 4" xfId="8703"/>
    <cellStyle name="Comma 2 2 9 5 5" xfId="8704"/>
    <cellStyle name="Comma 2 2 9 6" xfId="8705"/>
    <cellStyle name="Comma 2 2 9 6 2" xfId="8706"/>
    <cellStyle name="Comma 2 2 9 6 3" xfId="8707"/>
    <cellStyle name="Comma 2 2 9 6 4" xfId="8708"/>
    <cellStyle name="Comma 2 2 9 7" xfId="8709"/>
    <cellStyle name="Comma 2 2 9 7 2" xfId="8710"/>
    <cellStyle name="Comma 2 2 9 8" xfId="8711"/>
    <cellStyle name="Comma 2 2 9 9" xfId="8712"/>
    <cellStyle name="Comma 2 20" xfId="8713"/>
    <cellStyle name="Comma 2 20 10" xfId="8714"/>
    <cellStyle name="Comma 2 20 2" xfId="8715"/>
    <cellStyle name="Comma 2 20 2 2" xfId="8716"/>
    <cellStyle name="Comma 2 20 2 2 2" xfId="8717"/>
    <cellStyle name="Comma 2 20 2 2 3" xfId="8718"/>
    <cellStyle name="Comma 2 20 2 3" xfId="8719"/>
    <cellStyle name="Comma 2 20 2 4" xfId="8720"/>
    <cellStyle name="Comma 2 20 2 5" xfId="8721"/>
    <cellStyle name="Comma 2 20 2 6" xfId="8722"/>
    <cellStyle name="Comma 2 20 3" xfId="8723"/>
    <cellStyle name="Comma 2 20 3 2" xfId="8724"/>
    <cellStyle name="Comma 2 20 3 2 2" xfId="8725"/>
    <cellStyle name="Comma 2 20 3 2 3" xfId="8726"/>
    <cellStyle name="Comma 2 20 3 3" xfId="8727"/>
    <cellStyle name="Comma 2 20 3 4" xfId="8728"/>
    <cellStyle name="Comma 2 20 3 5" xfId="8729"/>
    <cellStyle name="Comma 2 20 3 6" xfId="8730"/>
    <cellStyle name="Comma 2 20 4" xfId="8731"/>
    <cellStyle name="Comma 2 20 4 2" xfId="8732"/>
    <cellStyle name="Comma 2 20 4 2 2" xfId="8733"/>
    <cellStyle name="Comma 2 20 4 3" xfId="8734"/>
    <cellStyle name="Comma 2 20 4 4" xfId="8735"/>
    <cellStyle name="Comma 2 20 4 5" xfId="8736"/>
    <cellStyle name="Comma 2 20 4 6" xfId="8737"/>
    <cellStyle name="Comma 2 20 5" xfId="8738"/>
    <cellStyle name="Comma 2 20 5 2" xfId="8739"/>
    <cellStyle name="Comma 2 20 5 3" xfId="8740"/>
    <cellStyle name="Comma 2 20 5 4" xfId="8741"/>
    <cellStyle name="Comma 2 20 5 5" xfId="8742"/>
    <cellStyle name="Comma 2 20 6" xfId="8743"/>
    <cellStyle name="Comma 2 20 6 2" xfId="8744"/>
    <cellStyle name="Comma 2 20 6 3" xfId="8745"/>
    <cellStyle name="Comma 2 20 7" xfId="8746"/>
    <cellStyle name="Comma 2 20 7 2" xfId="8747"/>
    <cellStyle name="Comma 2 20 8" xfId="8748"/>
    <cellStyle name="Comma 2 20 9" xfId="8749"/>
    <cellStyle name="Comma 2 21" xfId="8750"/>
    <cellStyle name="Comma 2 21 10" xfId="8751"/>
    <cellStyle name="Comma 2 21 2" xfId="8752"/>
    <cellStyle name="Comma 2 21 2 2" xfId="8753"/>
    <cellStyle name="Comma 2 21 2 2 2" xfId="8754"/>
    <cellStyle name="Comma 2 21 2 2 3" xfId="8755"/>
    <cellStyle name="Comma 2 21 2 3" xfId="8756"/>
    <cellStyle name="Comma 2 21 2 4" xfId="8757"/>
    <cellStyle name="Comma 2 21 2 5" xfId="8758"/>
    <cellStyle name="Comma 2 21 2 6" xfId="8759"/>
    <cellStyle name="Comma 2 21 3" xfId="8760"/>
    <cellStyle name="Comma 2 21 3 2" xfId="8761"/>
    <cellStyle name="Comma 2 21 3 2 2" xfId="8762"/>
    <cellStyle name="Comma 2 21 3 2 3" xfId="8763"/>
    <cellStyle name="Comma 2 21 3 3" xfId="8764"/>
    <cellStyle name="Comma 2 21 3 4" xfId="8765"/>
    <cellStyle name="Comma 2 21 3 5" xfId="8766"/>
    <cellStyle name="Comma 2 21 3 6" xfId="8767"/>
    <cellStyle name="Comma 2 21 4" xfId="8768"/>
    <cellStyle name="Comma 2 21 4 2" xfId="8769"/>
    <cellStyle name="Comma 2 21 4 2 2" xfId="8770"/>
    <cellStyle name="Comma 2 21 4 3" xfId="8771"/>
    <cellStyle name="Comma 2 21 4 4" xfId="8772"/>
    <cellStyle name="Comma 2 21 4 5" xfId="8773"/>
    <cellStyle name="Comma 2 21 4 6" xfId="8774"/>
    <cellStyle name="Comma 2 21 5" xfId="8775"/>
    <cellStyle name="Comma 2 21 5 2" xfId="8776"/>
    <cellStyle name="Comma 2 21 5 3" xfId="8777"/>
    <cellStyle name="Comma 2 21 5 4" xfId="8778"/>
    <cellStyle name="Comma 2 21 5 5" xfId="8779"/>
    <cellStyle name="Comma 2 21 6" xfId="8780"/>
    <cellStyle name="Comma 2 21 6 2" xfId="8781"/>
    <cellStyle name="Comma 2 21 6 3" xfId="8782"/>
    <cellStyle name="Comma 2 21 7" xfId="8783"/>
    <cellStyle name="Comma 2 21 7 2" xfId="8784"/>
    <cellStyle name="Comma 2 21 8" xfId="8785"/>
    <cellStyle name="Comma 2 21 9" xfId="8786"/>
    <cellStyle name="Comma 2 22" xfId="8787"/>
    <cellStyle name="Comma 2 22 10" xfId="8788"/>
    <cellStyle name="Comma 2 22 2" xfId="8789"/>
    <cellStyle name="Comma 2 22 2 2" xfId="8790"/>
    <cellStyle name="Comma 2 22 2 2 2" xfId="8791"/>
    <cellStyle name="Comma 2 22 2 2 3" xfId="8792"/>
    <cellStyle name="Comma 2 22 2 3" xfId="8793"/>
    <cellStyle name="Comma 2 22 2 4" xfId="8794"/>
    <cellStyle name="Comma 2 22 2 5" xfId="8795"/>
    <cellStyle name="Comma 2 22 2 6" xfId="8796"/>
    <cellStyle name="Comma 2 22 3" xfId="8797"/>
    <cellStyle name="Comma 2 22 3 2" xfId="8798"/>
    <cellStyle name="Comma 2 22 3 2 2" xfId="8799"/>
    <cellStyle name="Comma 2 22 3 2 3" xfId="8800"/>
    <cellStyle name="Comma 2 22 3 3" xfId="8801"/>
    <cellStyle name="Comma 2 22 3 4" xfId="8802"/>
    <cellStyle name="Comma 2 22 3 5" xfId="8803"/>
    <cellStyle name="Comma 2 22 3 6" xfId="8804"/>
    <cellStyle name="Comma 2 22 4" xfId="8805"/>
    <cellStyle name="Comma 2 22 4 2" xfId="8806"/>
    <cellStyle name="Comma 2 22 4 2 2" xfId="8807"/>
    <cellStyle name="Comma 2 22 4 3" xfId="8808"/>
    <cellStyle name="Comma 2 22 4 4" xfId="8809"/>
    <cellStyle name="Comma 2 22 4 5" xfId="8810"/>
    <cellStyle name="Comma 2 22 4 6" xfId="8811"/>
    <cellStyle name="Comma 2 22 5" xfId="8812"/>
    <cellStyle name="Comma 2 22 5 2" xfId="8813"/>
    <cellStyle name="Comma 2 22 5 3" xfId="8814"/>
    <cellStyle name="Comma 2 22 5 4" xfId="8815"/>
    <cellStyle name="Comma 2 22 5 5" xfId="8816"/>
    <cellStyle name="Comma 2 22 6" xfId="8817"/>
    <cellStyle name="Comma 2 22 6 2" xfId="8818"/>
    <cellStyle name="Comma 2 22 6 3" xfId="8819"/>
    <cellStyle name="Comma 2 22 7" xfId="8820"/>
    <cellStyle name="Comma 2 22 7 2" xfId="8821"/>
    <cellStyle name="Comma 2 22 8" xfId="8822"/>
    <cellStyle name="Comma 2 22 9" xfId="8823"/>
    <cellStyle name="Comma 2 23" xfId="8824"/>
    <cellStyle name="Comma 2 23 10" xfId="8825"/>
    <cellStyle name="Comma 2 23 2" xfId="8826"/>
    <cellStyle name="Comma 2 23 2 2" xfId="8827"/>
    <cellStyle name="Comma 2 23 2 2 2" xfId="8828"/>
    <cellStyle name="Comma 2 23 2 2 3" xfId="8829"/>
    <cellStyle name="Comma 2 23 2 3" xfId="8830"/>
    <cellStyle name="Comma 2 23 2 4" xfId="8831"/>
    <cellStyle name="Comma 2 23 2 5" xfId="8832"/>
    <cellStyle name="Comma 2 23 2 6" xfId="8833"/>
    <cellStyle name="Comma 2 23 3" xfId="8834"/>
    <cellStyle name="Comma 2 23 3 2" xfId="8835"/>
    <cellStyle name="Comma 2 23 3 2 2" xfId="8836"/>
    <cellStyle name="Comma 2 23 3 2 3" xfId="8837"/>
    <cellStyle name="Comma 2 23 3 3" xfId="8838"/>
    <cellStyle name="Comma 2 23 3 4" xfId="8839"/>
    <cellStyle name="Comma 2 23 3 5" xfId="8840"/>
    <cellStyle name="Comma 2 23 3 6" xfId="8841"/>
    <cellStyle name="Comma 2 23 4" xfId="8842"/>
    <cellStyle name="Comma 2 23 4 2" xfId="8843"/>
    <cellStyle name="Comma 2 23 4 2 2" xfId="8844"/>
    <cellStyle name="Comma 2 23 4 3" xfId="8845"/>
    <cellStyle name="Comma 2 23 4 4" xfId="8846"/>
    <cellStyle name="Comma 2 23 4 5" xfId="8847"/>
    <cellStyle name="Comma 2 23 4 6" xfId="8848"/>
    <cellStyle name="Comma 2 23 5" xfId="8849"/>
    <cellStyle name="Comma 2 23 5 2" xfId="8850"/>
    <cellStyle name="Comma 2 23 5 3" xfId="8851"/>
    <cellStyle name="Comma 2 23 5 4" xfId="8852"/>
    <cellStyle name="Comma 2 23 5 5" xfId="8853"/>
    <cellStyle name="Comma 2 23 6" xfId="8854"/>
    <cellStyle name="Comma 2 23 6 2" xfId="8855"/>
    <cellStyle name="Comma 2 23 6 3" xfId="8856"/>
    <cellStyle name="Comma 2 23 7" xfId="8857"/>
    <cellStyle name="Comma 2 23 7 2" xfId="8858"/>
    <cellStyle name="Comma 2 23 8" xfId="8859"/>
    <cellStyle name="Comma 2 23 9" xfId="8860"/>
    <cellStyle name="Comma 2 24" xfId="8861"/>
    <cellStyle name="Comma 2 24 10" xfId="8862"/>
    <cellStyle name="Comma 2 24 2" xfId="8863"/>
    <cellStyle name="Comma 2 24 2 2" xfId="8864"/>
    <cellStyle name="Comma 2 24 2 2 2" xfId="8865"/>
    <cellStyle name="Comma 2 24 2 2 3" xfId="8866"/>
    <cellStyle name="Comma 2 24 2 3" xfId="8867"/>
    <cellStyle name="Comma 2 24 2 4" xfId="8868"/>
    <cellStyle name="Comma 2 24 2 5" xfId="8869"/>
    <cellStyle name="Comma 2 24 2 6" xfId="8870"/>
    <cellStyle name="Comma 2 24 3" xfId="8871"/>
    <cellStyle name="Comma 2 24 3 2" xfId="8872"/>
    <cellStyle name="Comma 2 24 3 2 2" xfId="8873"/>
    <cellStyle name="Comma 2 24 3 2 3" xfId="8874"/>
    <cellStyle name="Comma 2 24 3 3" xfId="8875"/>
    <cellStyle name="Comma 2 24 3 4" xfId="8876"/>
    <cellStyle name="Comma 2 24 3 5" xfId="8877"/>
    <cellStyle name="Comma 2 24 3 6" xfId="8878"/>
    <cellStyle name="Comma 2 24 4" xfId="8879"/>
    <cellStyle name="Comma 2 24 4 2" xfId="8880"/>
    <cellStyle name="Comma 2 24 4 2 2" xfId="8881"/>
    <cellStyle name="Comma 2 24 4 3" xfId="8882"/>
    <cellStyle name="Comma 2 24 4 4" xfId="8883"/>
    <cellStyle name="Comma 2 24 4 5" xfId="8884"/>
    <cellStyle name="Comma 2 24 4 6" xfId="8885"/>
    <cellStyle name="Comma 2 24 5" xfId="8886"/>
    <cellStyle name="Comma 2 24 5 2" xfId="8887"/>
    <cellStyle name="Comma 2 24 5 3" xfId="8888"/>
    <cellStyle name="Comma 2 24 5 4" xfId="8889"/>
    <cellStyle name="Comma 2 24 5 5" xfId="8890"/>
    <cellStyle name="Comma 2 24 6" xfId="8891"/>
    <cellStyle name="Comma 2 24 6 2" xfId="8892"/>
    <cellStyle name="Comma 2 24 6 3" xfId="8893"/>
    <cellStyle name="Comma 2 24 7" xfId="8894"/>
    <cellStyle name="Comma 2 24 7 2" xfId="8895"/>
    <cellStyle name="Comma 2 24 8" xfId="8896"/>
    <cellStyle name="Comma 2 24 9" xfId="8897"/>
    <cellStyle name="Comma 2 25" xfId="8898"/>
    <cellStyle name="Comma 2 25 10" xfId="8899"/>
    <cellStyle name="Comma 2 25 2" xfId="8900"/>
    <cellStyle name="Comma 2 25 2 2" xfId="8901"/>
    <cellStyle name="Comma 2 25 2 2 2" xfId="8902"/>
    <cellStyle name="Comma 2 25 2 2 3" xfId="8903"/>
    <cellStyle name="Comma 2 25 2 3" xfId="8904"/>
    <cellStyle name="Comma 2 25 2 4" xfId="8905"/>
    <cellStyle name="Comma 2 25 2 5" xfId="8906"/>
    <cellStyle name="Comma 2 25 2 6" xfId="8907"/>
    <cellStyle name="Comma 2 25 3" xfId="8908"/>
    <cellStyle name="Comma 2 25 3 2" xfId="8909"/>
    <cellStyle name="Comma 2 25 3 2 2" xfId="8910"/>
    <cellStyle name="Comma 2 25 3 2 3" xfId="8911"/>
    <cellStyle name="Comma 2 25 3 3" xfId="8912"/>
    <cellStyle name="Comma 2 25 3 4" xfId="8913"/>
    <cellStyle name="Comma 2 25 3 5" xfId="8914"/>
    <cellStyle name="Comma 2 25 3 6" xfId="8915"/>
    <cellStyle name="Comma 2 25 4" xfId="8916"/>
    <cellStyle name="Comma 2 25 4 2" xfId="8917"/>
    <cellStyle name="Comma 2 25 4 2 2" xfId="8918"/>
    <cellStyle name="Comma 2 25 4 3" xfId="8919"/>
    <cellStyle name="Comma 2 25 4 4" xfId="8920"/>
    <cellStyle name="Comma 2 25 4 5" xfId="8921"/>
    <cellStyle name="Comma 2 25 4 6" xfId="8922"/>
    <cellStyle name="Comma 2 25 5" xfId="8923"/>
    <cellStyle name="Comma 2 25 5 2" xfId="8924"/>
    <cellStyle name="Comma 2 25 5 3" xfId="8925"/>
    <cellStyle name="Comma 2 25 5 4" xfId="8926"/>
    <cellStyle name="Comma 2 25 5 5" xfId="8927"/>
    <cellStyle name="Comma 2 25 6" xfId="8928"/>
    <cellStyle name="Comma 2 25 6 2" xfId="8929"/>
    <cellStyle name="Comma 2 25 6 3" xfId="8930"/>
    <cellStyle name="Comma 2 25 7" xfId="8931"/>
    <cellStyle name="Comma 2 25 7 2" xfId="8932"/>
    <cellStyle name="Comma 2 25 8" xfId="8933"/>
    <cellStyle name="Comma 2 25 9" xfId="8934"/>
    <cellStyle name="Comma 2 26" xfId="8935"/>
    <cellStyle name="Comma 2 26 10" xfId="8936"/>
    <cellStyle name="Comma 2 26 2" xfId="8937"/>
    <cellStyle name="Comma 2 26 2 2" xfId="8938"/>
    <cellStyle name="Comma 2 26 2 2 2" xfId="8939"/>
    <cellStyle name="Comma 2 26 2 2 3" xfId="8940"/>
    <cellStyle name="Comma 2 26 2 3" xfId="8941"/>
    <cellStyle name="Comma 2 26 2 4" xfId="8942"/>
    <cellStyle name="Comma 2 26 2 5" xfId="8943"/>
    <cellStyle name="Comma 2 26 2 6" xfId="8944"/>
    <cellStyle name="Comma 2 26 3" xfId="8945"/>
    <cellStyle name="Comma 2 26 3 2" xfId="8946"/>
    <cellStyle name="Comma 2 26 3 2 2" xfId="8947"/>
    <cellStyle name="Comma 2 26 3 2 3" xfId="8948"/>
    <cellStyle name="Comma 2 26 3 3" xfId="8949"/>
    <cellStyle name="Comma 2 26 3 4" xfId="8950"/>
    <cellStyle name="Comma 2 26 3 5" xfId="8951"/>
    <cellStyle name="Comma 2 26 3 6" xfId="8952"/>
    <cellStyle name="Comma 2 26 4" xfId="8953"/>
    <cellStyle name="Comma 2 26 4 2" xfId="8954"/>
    <cellStyle name="Comma 2 26 4 2 2" xfId="8955"/>
    <cellStyle name="Comma 2 26 4 3" xfId="8956"/>
    <cellStyle name="Comma 2 26 4 4" xfId="8957"/>
    <cellStyle name="Comma 2 26 4 5" xfId="8958"/>
    <cellStyle name="Comma 2 26 4 6" xfId="8959"/>
    <cellStyle name="Comma 2 26 5" xfId="8960"/>
    <cellStyle name="Comma 2 26 5 2" xfId="8961"/>
    <cellStyle name="Comma 2 26 5 3" xfId="8962"/>
    <cellStyle name="Comma 2 26 5 4" xfId="8963"/>
    <cellStyle name="Comma 2 26 5 5" xfId="8964"/>
    <cellStyle name="Comma 2 26 6" xfId="8965"/>
    <cellStyle name="Comma 2 26 6 2" xfId="8966"/>
    <cellStyle name="Comma 2 26 6 3" xfId="8967"/>
    <cellStyle name="Comma 2 26 7" xfId="8968"/>
    <cellStyle name="Comma 2 26 7 2" xfId="8969"/>
    <cellStyle name="Comma 2 26 8" xfId="8970"/>
    <cellStyle name="Comma 2 26 9" xfId="8971"/>
    <cellStyle name="Comma 2 27" xfId="8972"/>
    <cellStyle name="Comma 2 27 10" xfId="8973"/>
    <cellStyle name="Comma 2 27 2" xfId="8974"/>
    <cellStyle name="Comma 2 27 2 2" xfId="8975"/>
    <cellStyle name="Comma 2 27 2 2 2" xfId="8976"/>
    <cellStyle name="Comma 2 27 2 2 3" xfId="8977"/>
    <cellStyle name="Comma 2 27 2 3" xfId="8978"/>
    <cellStyle name="Comma 2 27 2 4" xfId="8979"/>
    <cellStyle name="Comma 2 27 2 5" xfId="8980"/>
    <cellStyle name="Comma 2 27 2 6" xfId="8981"/>
    <cellStyle name="Comma 2 27 3" xfId="8982"/>
    <cellStyle name="Comma 2 27 3 2" xfId="8983"/>
    <cellStyle name="Comma 2 27 3 2 2" xfId="8984"/>
    <cellStyle name="Comma 2 27 3 2 3" xfId="8985"/>
    <cellStyle name="Comma 2 27 3 3" xfId="8986"/>
    <cellStyle name="Comma 2 27 3 4" xfId="8987"/>
    <cellStyle name="Comma 2 27 3 5" xfId="8988"/>
    <cellStyle name="Comma 2 27 3 6" xfId="8989"/>
    <cellStyle name="Comma 2 27 4" xfId="8990"/>
    <cellStyle name="Comma 2 27 4 2" xfId="8991"/>
    <cellStyle name="Comma 2 27 4 2 2" xfId="8992"/>
    <cellStyle name="Comma 2 27 4 3" xfId="8993"/>
    <cellStyle name="Comma 2 27 4 4" xfId="8994"/>
    <cellStyle name="Comma 2 27 4 5" xfId="8995"/>
    <cellStyle name="Comma 2 27 4 6" xfId="8996"/>
    <cellStyle name="Comma 2 27 5" xfId="8997"/>
    <cellStyle name="Comma 2 27 5 2" xfId="8998"/>
    <cellStyle name="Comma 2 27 5 3" xfId="8999"/>
    <cellStyle name="Comma 2 27 5 4" xfId="9000"/>
    <cellStyle name="Comma 2 27 5 5" xfId="9001"/>
    <cellStyle name="Comma 2 27 6" xfId="9002"/>
    <cellStyle name="Comma 2 27 6 2" xfId="9003"/>
    <cellStyle name="Comma 2 27 6 3" xfId="9004"/>
    <cellStyle name="Comma 2 27 7" xfId="9005"/>
    <cellStyle name="Comma 2 27 7 2" xfId="9006"/>
    <cellStyle name="Comma 2 27 8" xfId="9007"/>
    <cellStyle name="Comma 2 27 9" xfId="9008"/>
    <cellStyle name="Comma 2 28" xfId="9009"/>
    <cellStyle name="Comma 2 28 10" xfId="9010"/>
    <cellStyle name="Comma 2 28 2" xfId="9011"/>
    <cellStyle name="Comma 2 28 2 2" xfId="9012"/>
    <cellStyle name="Comma 2 28 2 2 2" xfId="9013"/>
    <cellStyle name="Comma 2 28 2 2 3" xfId="9014"/>
    <cellStyle name="Comma 2 28 2 3" xfId="9015"/>
    <cellStyle name="Comma 2 28 2 4" xfId="9016"/>
    <cellStyle name="Comma 2 28 2 5" xfId="9017"/>
    <cellStyle name="Comma 2 28 2 6" xfId="9018"/>
    <cellStyle name="Comma 2 28 3" xfId="9019"/>
    <cellStyle name="Comma 2 28 3 2" xfId="9020"/>
    <cellStyle name="Comma 2 28 3 2 2" xfId="9021"/>
    <cellStyle name="Comma 2 28 3 2 3" xfId="9022"/>
    <cellStyle name="Comma 2 28 3 3" xfId="9023"/>
    <cellStyle name="Comma 2 28 3 4" xfId="9024"/>
    <cellStyle name="Comma 2 28 3 5" xfId="9025"/>
    <cellStyle name="Comma 2 28 3 6" xfId="9026"/>
    <cellStyle name="Comma 2 28 4" xfId="9027"/>
    <cellStyle name="Comma 2 28 4 2" xfId="9028"/>
    <cellStyle name="Comma 2 28 4 2 2" xfId="9029"/>
    <cellStyle name="Comma 2 28 4 3" xfId="9030"/>
    <cellStyle name="Comma 2 28 4 4" xfId="9031"/>
    <cellStyle name="Comma 2 28 4 5" xfId="9032"/>
    <cellStyle name="Comma 2 28 4 6" xfId="9033"/>
    <cellStyle name="Comma 2 28 5" xfId="9034"/>
    <cellStyle name="Comma 2 28 5 2" xfId="9035"/>
    <cellStyle name="Comma 2 28 5 3" xfId="9036"/>
    <cellStyle name="Comma 2 28 5 4" xfId="9037"/>
    <cellStyle name="Comma 2 28 5 5" xfId="9038"/>
    <cellStyle name="Comma 2 28 6" xfId="9039"/>
    <cellStyle name="Comma 2 28 6 2" xfId="9040"/>
    <cellStyle name="Comma 2 28 6 3" xfId="9041"/>
    <cellStyle name="Comma 2 28 7" xfId="9042"/>
    <cellStyle name="Comma 2 28 7 2" xfId="9043"/>
    <cellStyle name="Comma 2 28 8" xfId="9044"/>
    <cellStyle name="Comma 2 28 9" xfId="9045"/>
    <cellStyle name="Comma 2 29" xfId="9046"/>
    <cellStyle name="Comma 2 29 10" xfId="9047"/>
    <cellStyle name="Comma 2 29 2" xfId="9048"/>
    <cellStyle name="Comma 2 29 2 2" xfId="9049"/>
    <cellStyle name="Comma 2 29 2 2 2" xfId="9050"/>
    <cellStyle name="Comma 2 29 2 2 3" xfId="9051"/>
    <cellStyle name="Comma 2 29 2 3" xfId="9052"/>
    <cellStyle name="Comma 2 29 2 4" xfId="9053"/>
    <cellStyle name="Comma 2 29 2 5" xfId="9054"/>
    <cellStyle name="Comma 2 29 2 6" xfId="9055"/>
    <cellStyle name="Comma 2 29 3" xfId="9056"/>
    <cellStyle name="Comma 2 29 3 2" xfId="9057"/>
    <cellStyle name="Comma 2 29 3 2 2" xfId="9058"/>
    <cellStyle name="Comma 2 29 3 2 3" xfId="9059"/>
    <cellStyle name="Comma 2 29 3 3" xfId="9060"/>
    <cellStyle name="Comma 2 29 3 4" xfId="9061"/>
    <cellStyle name="Comma 2 29 3 5" xfId="9062"/>
    <cellStyle name="Comma 2 29 3 6" xfId="9063"/>
    <cellStyle name="Comma 2 29 4" xfId="9064"/>
    <cellStyle name="Comma 2 29 4 2" xfId="9065"/>
    <cellStyle name="Comma 2 29 4 2 2" xfId="9066"/>
    <cellStyle name="Comma 2 29 4 3" xfId="9067"/>
    <cellStyle name="Comma 2 29 4 4" xfId="9068"/>
    <cellStyle name="Comma 2 29 4 5" xfId="9069"/>
    <cellStyle name="Comma 2 29 4 6" xfId="9070"/>
    <cellStyle name="Comma 2 29 5" xfId="9071"/>
    <cellStyle name="Comma 2 29 5 2" xfId="9072"/>
    <cellStyle name="Comma 2 29 5 3" xfId="9073"/>
    <cellStyle name="Comma 2 29 5 4" xfId="9074"/>
    <cellStyle name="Comma 2 29 5 5" xfId="9075"/>
    <cellStyle name="Comma 2 29 6" xfId="9076"/>
    <cellStyle name="Comma 2 29 6 2" xfId="9077"/>
    <cellStyle name="Comma 2 29 6 3" xfId="9078"/>
    <cellStyle name="Comma 2 29 7" xfId="9079"/>
    <cellStyle name="Comma 2 29 7 2" xfId="9080"/>
    <cellStyle name="Comma 2 29 8" xfId="9081"/>
    <cellStyle name="Comma 2 29 9" xfId="9082"/>
    <cellStyle name="Comma 2 3" xfId="9083"/>
    <cellStyle name="Comma 2 3 10" xfId="9084"/>
    <cellStyle name="Comma 2 3 10 10" xfId="9085"/>
    <cellStyle name="Comma 2 3 10 2" xfId="9086"/>
    <cellStyle name="Comma 2 3 10 2 2" xfId="9087"/>
    <cellStyle name="Comma 2 3 10 2 2 2" xfId="9088"/>
    <cellStyle name="Comma 2 3 10 2 2 3" xfId="9089"/>
    <cellStyle name="Comma 2 3 10 2 3" xfId="9090"/>
    <cellStyle name="Comma 2 3 10 2 4" xfId="9091"/>
    <cellStyle name="Comma 2 3 10 2 5" xfId="9092"/>
    <cellStyle name="Comma 2 3 10 2 6" xfId="9093"/>
    <cellStyle name="Comma 2 3 10 3" xfId="9094"/>
    <cellStyle name="Comma 2 3 10 3 2" xfId="9095"/>
    <cellStyle name="Comma 2 3 10 3 2 2" xfId="9096"/>
    <cellStyle name="Comma 2 3 10 3 2 3" xfId="9097"/>
    <cellStyle name="Comma 2 3 10 3 3" xfId="9098"/>
    <cellStyle name="Comma 2 3 10 3 4" xfId="9099"/>
    <cellStyle name="Comma 2 3 10 3 5" xfId="9100"/>
    <cellStyle name="Comma 2 3 10 3 6" xfId="9101"/>
    <cellStyle name="Comma 2 3 10 4" xfId="9102"/>
    <cellStyle name="Comma 2 3 10 4 2" xfId="9103"/>
    <cellStyle name="Comma 2 3 10 4 2 2" xfId="9104"/>
    <cellStyle name="Comma 2 3 10 4 3" xfId="9105"/>
    <cellStyle name="Comma 2 3 10 4 4" xfId="9106"/>
    <cellStyle name="Comma 2 3 10 4 5" xfId="9107"/>
    <cellStyle name="Comma 2 3 10 5" xfId="9108"/>
    <cellStyle name="Comma 2 3 10 5 2" xfId="9109"/>
    <cellStyle name="Comma 2 3 10 5 3" xfId="9110"/>
    <cellStyle name="Comma 2 3 10 5 4" xfId="9111"/>
    <cellStyle name="Comma 2 3 10 6" xfId="9112"/>
    <cellStyle name="Comma 2 3 10 6 2" xfId="9113"/>
    <cellStyle name="Comma 2 3 10 7" xfId="9114"/>
    <cellStyle name="Comma 2 3 10 8" xfId="9115"/>
    <cellStyle name="Comma 2 3 10 9" xfId="9116"/>
    <cellStyle name="Comma 2 3 11" xfId="9117"/>
    <cellStyle name="Comma 2 3 11 10" xfId="9118"/>
    <cellStyle name="Comma 2 3 11 2" xfId="9119"/>
    <cellStyle name="Comma 2 3 11 2 2" xfId="9120"/>
    <cellStyle name="Comma 2 3 11 2 2 2" xfId="9121"/>
    <cellStyle name="Comma 2 3 11 2 2 3" xfId="9122"/>
    <cellStyle name="Comma 2 3 11 2 3" xfId="9123"/>
    <cellStyle name="Comma 2 3 11 2 4" xfId="9124"/>
    <cellStyle name="Comma 2 3 11 2 5" xfId="9125"/>
    <cellStyle name="Comma 2 3 11 2 6" xfId="9126"/>
    <cellStyle name="Comma 2 3 11 3" xfId="9127"/>
    <cellStyle name="Comma 2 3 11 3 2" xfId="9128"/>
    <cellStyle name="Comma 2 3 11 3 2 2" xfId="9129"/>
    <cellStyle name="Comma 2 3 11 3 2 3" xfId="9130"/>
    <cellStyle name="Comma 2 3 11 3 3" xfId="9131"/>
    <cellStyle name="Comma 2 3 11 3 4" xfId="9132"/>
    <cellStyle name="Comma 2 3 11 3 5" xfId="9133"/>
    <cellStyle name="Comma 2 3 11 3 6" xfId="9134"/>
    <cellStyle name="Comma 2 3 11 4" xfId="9135"/>
    <cellStyle name="Comma 2 3 11 4 2" xfId="9136"/>
    <cellStyle name="Comma 2 3 11 4 2 2" xfId="9137"/>
    <cellStyle name="Comma 2 3 11 4 3" xfId="9138"/>
    <cellStyle name="Comma 2 3 11 4 4" xfId="9139"/>
    <cellStyle name="Comma 2 3 11 4 5" xfId="9140"/>
    <cellStyle name="Comma 2 3 11 5" xfId="9141"/>
    <cellStyle name="Comma 2 3 11 5 2" xfId="9142"/>
    <cellStyle name="Comma 2 3 11 5 3" xfId="9143"/>
    <cellStyle name="Comma 2 3 11 5 4" xfId="9144"/>
    <cellStyle name="Comma 2 3 11 6" xfId="9145"/>
    <cellStyle name="Comma 2 3 11 6 2" xfId="9146"/>
    <cellStyle name="Comma 2 3 11 7" xfId="9147"/>
    <cellStyle name="Comma 2 3 11 8" xfId="9148"/>
    <cellStyle name="Comma 2 3 11 9" xfId="9149"/>
    <cellStyle name="Comma 2 3 12" xfId="9150"/>
    <cellStyle name="Comma 2 3 12 10" xfId="9151"/>
    <cellStyle name="Comma 2 3 12 2" xfId="9152"/>
    <cellStyle name="Comma 2 3 12 2 2" xfId="9153"/>
    <cellStyle name="Comma 2 3 12 2 2 2" xfId="9154"/>
    <cellStyle name="Comma 2 3 12 2 2 3" xfId="9155"/>
    <cellStyle name="Comma 2 3 12 2 3" xfId="9156"/>
    <cellStyle name="Comma 2 3 12 2 4" xfId="9157"/>
    <cellStyle name="Comma 2 3 12 2 5" xfId="9158"/>
    <cellStyle name="Comma 2 3 12 2 6" xfId="9159"/>
    <cellStyle name="Comma 2 3 12 3" xfId="9160"/>
    <cellStyle name="Comma 2 3 12 3 2" xfId="9161"/>
    <cellStyle name="Comma 2 3 12 3 2 2" xfId="9162"/>
    <cellStyle name="Comma 2 3 12 3 2 3" xfId="9163"/>
    <cellStyle name="Comma 2 3 12 3 3" xfId="9164"/>
    <cellStyle name="Comma 2 3 12 3 4" xfId="9165"/>
    <cellStyle name="Comma 2 3 12 3 5" xfId="9166"/>
    <cellStyle name="Comma 2 3 12 3 6" xfId="9167"/>
    <cellStyle name="Comma 2 3 12 4" xfId="9168"/>
    <cellStyle name="Comma 2 3 12 4 2" xfId="9169"/>
    <cellStyle name="Comma 2 3 12 4 2 2" xfId="9170"/>
    <cellStyle name="Comma 2 3 12 4 3" xfId="9171"/>
    <cellStyle name="Comma 2 3 12 4 4" xfId="9172"/>
    <cellStyle name="Comma 2 3 12 4 5" xfId="9173"/>
    <cellStyle name="Comma 2 3 12 5" xfId="9174"/>
    <cellStyle name="Comma 2 3 12 5 2" xfId="9175"/>
    <cellStyle name="Comma 2 3 12 5 3" xfId="9176"/>
    <cellStyle name="Comma 2 3 12 5 4" xfId="9177"/>
    <cellStyle name="Comma 2 3 12 6" xfId="9178"/>
    <cellStyle name="Comma 2 3 12 6 2" xfId="9179"/>
    <cellStyle name="Comma 2 3 12 7" xfId="9180"/>
    <cellStyle name="Comma 2 3 12 8" xfId="9181"/>
    <cellStyle name="Comma 2 3 12 9" xfId="9182"/>
    <cellStyle name="Comma 2 3 13" xfId="9183"/>
    <cellStyle name="Comma 2 3 13 10" xfId="9184"/>
    <cellStyle name="Comma 2 3 13 2" xfId="9185"/>
    <cellStyle name="Comma 2 3 13 2 2" xfId="9186"/>
    <cellStyle name="Comma 2 3 13 2 2 2" xfId="9187"/>
    <cellStyle name="Comma 2 3 13 2 2 3" xfId="9188"/>
    <cellStyle name="Comma 2 3 13 2 3" xfId="9189"/>
    <cellStyle name="Comma 2 3 13 2 4" xfId="9190"/>
    <cellStyle name="Comma 2 3 13 2 5" xfId="9191"/>
    <cellStyle name="Comma 2 3 13 2 6" xfId="9192"/>
    <cellStyle name="Comma 2 3 13 3" xfId="9193"/>
    <cellStyle name="Comma 2 3 13 3 2" xfId="9194"/>
    <cellStyle name="Comma 2 3 13 3 2 2" xfId="9195"/>
    <cellStyle name="Comma 2 3 13 3 2 3" xfId="9196"/>
    <cellStyle name="Comma 2 3 13 3 3" xfId="9197"/>
    <cellStyle name="Comma 2 3 13 3 4" xfId="9198"/>
    <cellStyle name="Comma 2 3 13 3 5" xfId="9199"/>
    <cellStyle name="Comma 2 3 13 3 6" xfId="9200"/>
    <cellStyle name="Comma 2 3 13 4" xfId="9201"/>
    <cellStyle name="Comma 2 3 13 4 2" xfId="9202"/>
    <cellStyle name="Comma 2 3 13 4 2 2" xfId="9203"/>
    <cellStyle name="Comma 2 3 13 4 3" xfId="9204"/>
    <cellStyle name="Comma 2 3 13 4 4" xfId="9205"/>
    <cellStyle name="Comma 2 3 13 4 5" xfId="9206"/>
    <cellStyle name="Comma 2 3 13 5" xfId="9207"/>
    <cellStyle name="Comma 2 3 13 5 2" xfId="9208"/>
    <cellStyle name="Comma 2 3 13 5 3" xfId="9209"/>
    <cellStyle name="Comma 2 3 13 5 4" xfId="9210"/>
    <cellStyle name="Comma 2 3 13 6" xfId="9211"/>
    <cellStyle name="Comma 2 3 13 6 2" xfId="9212"/>
    <cellStyle name="Comma 2 3 13 7" xfId="9213"/>
    <cellStyle name="Comma 2 3 13 8" xfId="9214"/>
    <cellStyle name="Comma 2 3 13 9" xfId="9215"/>
    <cellStyle name="Comma 2 3 14" xfId="9216"/>
    <cellStyle name="Comma 2 3 14 10" xfId="9217"/>
    <cellStyle name="Comma 2 3 14 2" xfId="9218"/>
    <cellStyle name="Comma 2 3 14 2 2" xfId="9219"/>
    <cellStyle name="Comma 2 3 14 2 2 2" xfId="9220"/>
    <cellStyle name="Comma 2 3 14 2 2 3" xfId="9221"/>
    <cellStyle name="Comma 2 3 14 2 3" xfId="9222"/>
    <cellStyle name="Comma 2 3 14 2 4" xfId="9223"/>
    <cellStyle name="Comma 2 3 14 2 5" xfId="9224"/>
    <cellStyle name="Comma 2 3 14 2 6" xfId="9225"/>
    <cellStyle name="Comma 2 3 14 3" xfId="9226"/>
    <cellStyle name="Comma 2 3 14 3 2" xfId="9227"/>
    <cellStyle name="Comma 2 3 14 3 2 2" xfId="9228"/>
    <cellStyle name="Comma 2 3 14 3 2 3" xfId="9229"/>
    <cellStyle name="Comma 2 3 14 3 3" xfId="9230"/>
    <cellStyle name="Comma 2 3 14 3 4" xfId="9231"/>
    <cellStyle name="Comma 2 3 14 3 5" xfId="9232"/>
    <cellStyle name="Comma 2 3 14 3 6" xfId="9233"/>
    <cellStyle name="Comma 2 3 14 4" xfId="9234"/>
    <cellStyle name="Comma 2 3 14 4 2" xfId="9235"/>
    <cellStyle name="Comma 2 3 14 4 2 2" xfId="9236"/>
    <cellStyle name="Comma 2 3 14 4 3" xfId="9237"/>
    <cellStyle name="Comma 2 3 14 4 4" xfId="9238"/>
    <cellStyle name="Comma 2 3 14 4 5" xfId="9239"/>
    <cellStyle name="Comma 2 3 14 5" xfId="9240"/>
    <cellStyle name="Comma 2 3 14 5 2" xfId="9241"/>
    <cellStyle name="Comma 2 3 14 5 3" xfId="9242"/>
    <cellStyle name="Comma 2 3 14 5 4" xfId="9243"/>
    <cellStyle name="Comma 2 3 14 6" xfId="9244"/>
    <cellStyle name="Comma 2 3 14 6 2" xfId="9245"/>
    <cellStyle name="Comma 2 3 14 7" xfId="9246"/>
    <cellStyle name="Comma 2 3 14 8" xfId="9247"/>
    <cellStyle name="Comma 2 3 14 9" xfId="9248"/>
    <cellStyle name="Comma 2 3 15" xfId="9249"/>
    <cellStyle name="Comma 2 3 15 10" xfId="9250"/>
    <cellStyle name="Comma 2 3 15 2" xfId="9251"/>
    <cellStyle name="Comma 2 3 15 2 2" xfId="9252"/>
    <cellStyle name="Comma 2 3 15 2 2 2" xfId="9253"/>
    <cellStyle name="Comma 2 3 15 2 2 3" xfId="9254"/>
    <cellStyle name="Comma 2 3 15 2 3" xfId="9255"/>
    <cellStyle name="Comma 2 3 15 2 4" xfId="9256"/>
    <cellStyle name="Comma 2 3 15 2 5" xfId="9257"/>
    <cellStyle name="Comma 2 3 15 2 6" xfId="9258"/>
    <cellStyle name="Comma 2 3 15 3" xfId="9259"/>
    <cellStyle name="Comma 2 3 15 3 2" xfId="9260"/>
    <cellStyle name="Comma 2 3 15 3 2 2" xfId="9261"/>
    <cellStyle name="Comma 2 3 15 3 2 3" xfId="9262"/>
    <cellStyle name="Comma 2 3 15 3 3" xfId="9263"/>
    <cellStyle name="Comma 2 3 15 3 4" xfId="9264"/>
    <cellStyle name="Comma 2 3 15 3 5" xfId="9265"/>
    <cellStyle name="Comma 2 3 15 3 6" xfId="9266"/>
    <cellStyle name="Comma 2 3 15 4" xfId="9267"/>
    <cellStyle name="Comma 2 3 15 4 2" xfId="9268"/>
    <cellStyle name="Comma 2 3 15 4 2 2" xfId="9269"/>
    <cellStyle name="Comma 2 3 15 4 3" xfId="9270"/>
    <cellStyle name="Comma 2 3 15 4 4" xfId="9271"/>
    <cellStyle name="Comma 2 3 15 4 5" xfId="9272"/>
    <cellStyle name="Comma 2 3 15 5" xfId="9273"/>
    <cellStyle name="Comma 2 3 15 5 2" xfId="9274"/>
    <cellStyle name="Comma 2 3 15 5 3" xfId="9275"/>
    <cellStyle name="Comma 2 3 15 5 4" xfId="9276"/>
    <cellStyle name="Comma 2 3 15 6" xfId="9277"/>
    <cellStyle name="Comma 2 3 15 6 2" xfId="9278"/>
    <cellStyle name="Comma 2 3 15 7" xfId="9279"/>
    <cellStyle name="Comma 2 3 15 8" xfId="9280"/>
    <cellStyle name="Comma 2 3 15 9" xfId="9281"/>
    <cellStyle name="Comma 2 3 16" xfId="9282"/>
    <cellStyle name="Comma 2 3 16 10" xfId="9283"/>
    <cellStyle name="Comma 2 3 16 2" xfId="9284"/>
    <cellStyle name="Comma 2 3 16 2 2" xfId="9285"/>
    <cellStyle name="Comma 2 3 16 2 2 2" xfId="9286"/>
    <cellStyle name="Comma 2 3 16 2 2 3" xfId="9287"/>
    <cellStyle name="Comma 2 3 16 2 3" xfId="9288"/>
    <cellStyle name="Comma 2 3 16 2 4" xfId="9289"/>
    <cellStyle name="Comma 2 3 16 2 5" xfId="9290"/>
    <cellStyle name="Comma 2 3 16 2 6" xfId="9291"/>
    <cellStyle name="Comma 2 3 16 3" xfId="9292"/>
    <cellStyle name="Comma 2 3 16 3 2" xfId="9293"/>
    <cellStyle name="Comma 2 3 16 3 2 2" xfId="9294"/>
    <cellStyle name="Comma 2 3 16 3 2 3" xfId="9295"/>
    <cellStyle name="Comma 2 3 16 3 3" xfId="9296"/>
    <cellStyle name="Comma 2 3 16 3 4" xfId="9297"/>
    <cellStyle name="Comma 2 3 16 3 5" xfId="9298"/>
    <cellStyle name="Comma 2 3 16 3 6" xfId="9299"/>
    <cellStyle name="Comma 2 3 16 4" xfId="9300"/>
    <cellStyle name="Comma 2 3 16 4 2" xfId="9301"/>
    <cellStyle name="Comma 2 3 16 4 2 2" xfId="9302"/>
    <cellStyle name="Comma 2 3 16 4 3" xfId="9303"/>
    <cellStyle name="Comma 2 3 16 4 4" xfId="9304"/>
    <cellStyle name="Comma 2 3 16 4 5" xfId="9305"/>
    <cellStyle name="Comma 2 3 16 5" xfId="9306"/>
    <cellStyle name="Comma 2 3 16 5 2" xfId="9307"/>
    <cellStyle name="Comma 2 3 16 5 3" xfId="9308"/>
    <cellStyle name="Comma 2 3 16 5 4" xfId="9309"/>
    <cellStyle name="Comma 2 3 16 6" xfId="9310"/>
    <cellStyle name="Comma 2 3 16 6 2" xfId="9311"/>
    <cellStyle name="Comma 2 3 16 7" xfId="9312"/>
    <cellStyle name="Comma 2 3 16 8" xfId="9313"/>
    <cellStyle name="Comma 2 3 16 9" xfId="9314"/>
    <cellStyle name="Comma 2 3 17" xfId="9315"/>
    <cellStyle name="Comma 2 3 17 10" xfId="9316"/>
    <cellStyle name="Comma 2 3 17 2" xfId="9317"/>
    <cellStyle name="Comma 2 3 17 2 2" xfId="9318"/>
    <cellStyle name="Comma 2 3 17 2 2 2" xfId="9319"/>
    <cellStyle name="Comma 2 3 17 2 2 3" xfId="9320"/>
    <cellStyle name="Comma 2 3 17 2 3" xfId="9321"/>
    <cellStyle name="Comma 2 3 17 2 4" xfId="9322"/>
    <cellStyle name="Comma 2 3 17 2 5" xfId="9323"/>
    <cellStyle name="Comma 2 3 17 2 6" xfId="9324"/>
    <cellStyle name="Comma 2 3 17 3" xfId="9325"/>
    <cellStyle name="Comma 2 3 17 3 2" xfId="9326"/>
    <cellStyle name="Comma 2 3 17 3 2 2" xfId="9327"/>
    <cellStyle name="Comma 2 3 17 3 2 3" xfId="9328"/>
    <cellStyle name="Comma 2 3 17 3 3" xfId="9329"/>
    <cellStyle name="Comma 2 3 17 3 4" xfId="9330"/>
    <cellStyle name="Comma 2 3 17 3 5" xfId="9331"/>
    <cellStyle name="Comma 2 3 17 3 6" xfId="9332"/>
    <cellStyle name="Comma 2 3 17 4" xfId="9333"/>
    <cellStyle name="Comma 2 3 17 4 2" xfId="9334"/>
    <cellStyle name="Comma 2 3 17 4 2 2" xfId="9335"/>
    <cellStyle name="Comma 2 3 17 4 3" xfId="9336"/>
    <cellStyle name="Comma 2 3 17 4 4" xfId="9337"/>
    <cellStyle name="Comma 2 3 17 4 5" xfId="9338"/>
    <cellStyle name="Comma 2 3 17 5" xfId="9339"/>
    <cellStyle name="Comma 2 3 17 5 2" xfId="9340"/>
    <cellStyle name="Comma 2 3 17 5 3" xfId="9341"/>
    <cellStyle name="Comma 2 3 17 5 4" xfId="9342"/>
    <cellStyle name="Comma 2 3 17 6" xfId="9343"/>
    <cellStyle name="Comma 2 3 17 6 2" xfId="9344"/>
    <cellStyle name="Comma 2 3 17 7" xfId="9345"/>
    <cellStyle name="Comma 2 3 17 8" xfId="9346"/>
    <cellStyle name="Comma 2 3 17 9" xfId="9347"/>
    <cellStyle name="Comma 2 3 18" xfId="9348"/>
    <cellStyle name="Comma 2 3 18 10" xfId="9349"/>
    <cellStyle name="Comma 2 3 18 2" xfId="9350"/>
    <cellStyle name="Comma 2 3 18 2 2" xfId="9351"/>
    <cellStyle name="Comma 2 3 18 2 2 2" xfId="9352"/>
    <cellStyle name="Comma 2 3 18 2 2 3" xfId="9353"/>
    <cellStyle name="Comma 2 3 18 2 3" xfId="9354"/>
    <cellStyle name="Comma 2 3 18 2 4" xfId="9355"/>
    <cellStyle name="Comma 2 3 18 2 5" xfId="9356"/>
    <cellStyle name="Comma 2 3 18 2 6" xfId="9357"/>
    <cellStyle name="Comma 2 3 18 3" xfId="9358"/>
    <cellStyle name="Comma 2 3 18 3 2" xfId="9359"/>
    <cellStyle name="Comma 2 3 18 3 2 2" xfId="9360"/>
    <cellStyle name="Comma 2 3 18 3 2 3" xfId="9361"/>
    <cellStyle name="Comma 2 3 18 3 3" xfId="9362"/>
    <cellStyle name="Comma 2 3 18 3 4" xfId="9363"/>
    <cellStyle name="Comma 2 3 18 3 5" xfId="9364"/>
    <cellStyle name="Comma 2 3 18 3 6" xfId="9365"/>
    <cellStyle name="Comma 2 3 18 4" xfId="9366"/>
    <cellStyle name="Comma 2 3 18 4 2" xfId="9367"/>
    <cellStyle name="Comma 2 3 18 4 2 2" xfId="9368"/>
    <cellStyle name="Comma 2 3 18 4 3" xfId="9369"/>
    <cellStyle name="Comma 2 3 18 4 4" xfId="9370"/>
    <cellStyle name="Comma 2 3 18 4 5" xfId="9371"/>
    <cellStyle name="Comma 2 3 18 5" xfId="9372"/>
    <cellStyle name="Comma 2 3 18 5 2" xfId="9373"/>
    <cellStyle name="Comma 2 3 18 5 3" xfId="9374"/>
    <cellStyle name="Comma 2 3 18 5 4" xfId="9375"/>
    <cellStyle name="Comma 2 3 18 6" xfId="9376"/>
    <cellStyle name="Comma 2 3 18 6 2" xfId="9377"/>
    <cellStyle name="Comma 2 3 18 7" xfId="9378"/>
    <cellStyle name="Comma 2 3 18 8" xfId="9379"/>
    <cellStyle name="Comma 2 3 18 9" xfId="9380"/>
    <cellStyle name="Comma 2 3 19" xfId="9381"/>
    <cellStyle name="Comma 2 3 19 10" xfId="9382"/>
    <cellStyle name="Comma 2 3 19 2" xfId="9383"/>
    <cellStyle name="Comma 2 3 19 2 2" xfId="9384"/>
    <cellStyle name="Comma 2 3 19 2 2 2" xfId="9385"/>
    <cellStyle name="Comma 2 3 19 2 2 3" xfId="9386"/>
    <cellStyle name="Comma 2 3 19 2 3" xfId="9387"/>
    <cellStyle name="Comma 2 3 19 2 4" xfId="9388"/>
    <cellStyle name="Comma 2 3 19 2 5" xfId="9389"/>
    <cellStyle name="Comma 2 3 19 2 6" xfId="9390"/>
    <cellStyle name="Comma 2 3 19 3" xfId="9391"/>
    <cellStyle name="Comma 2 3 19 3 2" xfId="9392"/>
    <cellStyle name="Comma 2 3 19 3 2 2" xfId="9393"/>
    <cellStyle name="Comma 2 3 19 3 2 3" xfId="9394"/>
    <cellStyle name="Comma 2 3 19 3 3" xfId="9395"/>
    <cellStyle name="Comma 2 3 19 3 4" xfId="9396"/>
    <cellStyle name="Comma 2 3 19 3 5" xfId="9397"/>
    <cellStyle name="Comma 2 3 19 3 6" xfId="9398"/>
    <cellStyle name="Comma 2 3 19 4" xfId="9399"/>
    <cellStyle name="Comma 2 3 19 4 2" xfId="9400"/>
    <cellStyle name="Comma 2 3 19 4 2 2" xfId="9401"/>
    <cellStyle name="Comma 2 3 19 4 3" xfId="9402"/>
    <cellStyle name="Comma 2 3 19 4 4" xfId="9403"/>
    <cellStyle name="Comma 2 3 19 4 5" xfId="9404"/>
    <cellStyle name="Comma 2 3 19 5" xfId="9405"/>
    <cellStyle name="Comma 2 3 19 5 2" xfId="9406"/>
    <cellStyle name="Comma 2 3 19 5 3" xfId="9407"/>
    <cellStyle name="Comma 2 3 19 5 4" xfId="9408"/>
    <cellStyle name="Comma 2 3 19 6" xfId="9409"/>
    <cellStyle name="Comma 2 3 19 6 2" xfId="9410"/>
    <cellStyle name="Comma 2 3 19 7" xfId="9411"/>
    <cellStyle name="Comma 2 3 19 8" xfId="9412"/>
    <cellStyle name="Comma 2 3 19 9" xfId="9413"/>
    <cellStyle name="Comma 2 3 2" xfId="9414"/>
    <cellStyle name="Comma 2 3 2 10" xfId="9415"/>
    <cellStyle name="Comma 2 3 2 10 10" xfId="9416"/>
    <cellStyle name="Comma 2 3 2 10 2" xfId="9417"/>
    <cellStyle name="Comma 2 3 2 10 2 2" xfId="9418"/>
    <cellStyle name="Comma 2 3 2 10 2 2 2" xfId="9419"/>
    <cellStyle name="Comma 2 3 2 10 2 2 3" xfId="9420"/>
    <cellStyle name="Comma 2 3 2 10 2 3" xfId="9421"/>
    <cellStyle name="Comma 2 3 2 10 2 4" xfId="9422"/>
    <cellStyle name="Comma 2 3 2 10 2 5" xfId="9423"/>
    <cellStyle name="Comma 2 3 2 10 2 6" xfId="9424"/>
    <cellStyle name="Comma 2 3 2 10 3" xfId="9425"/>
    <cellStyle name="Comma 2 3 2 10 3 2" xfId="9426"/>
    <cellStyle name="Comma 2 3 2 10 3 2 2" xfId="9427"/>
    <cellStyle name="Comma 2 3 2 10 3 2 3" xfId="9428"/>
    <cellStyle name="Comma 2 3 2 10 3 3" xfId="9429"/>
    <cellStyle name="Comma 2 3 2 10 3 4" xfId="9430"/>
    <cellStyle name="Comma 2 3 2 10 3 5" xfId="9431"/>
    <cellStyle name="Comma 2 3 2 10 3 6" xfId="9432"/>
    <cellStyle name="Comma 2 3 2 10 4" xfId="9433"/>
    <cellStyle name="Comma 2 3 2 10 4 2" xfId="9434"/>
    <cellStyle name="Comma 2 3 2 10 4 2 2" xfId="9435"/>
    <cellStyle name="Comma 2 3 2 10 4 3" xfId="9436"/>
    <cellStyle name="Comma 2 3 2 10 4 4" xfId="9437"/>
    <cellStyle name="Comma 2 3 2 10 4 5" xfId="9438"/>
    <cellStyle name="Comma 2 3 2 10 5" xfId="9439"/>
    <cellStyle name="Comma 2 3 2 10 5 2" xfId="9440"/>
    <cellStyle name="Comma 2 3 2 10 5 3" xfId="9441"/>
    <cellStyle name="Comma 2 3 2 10 5 4" xfId="9442"/>
    <cellStyle name="Comma 2 3 2 10 6" xfId="9443"/>
    <cellStyle name="Comma 2 3 2 10 6 2" xfId="9444"/>
    <cellStyle name="Comma 2 3 2 10 7" xfId="9445"/>
    <cellStyle name="Comma 2 3 2 10 8" xfId="9446"/>
    <cellStyle name="Comma 2 3 2 10 9" xfId="9447"/>
    <cellStyle name="Comma 2 3 2 11" xfId="9448"/>
    <cellStyle name="Comma 2 3 2 11 10" xfId="9449"/>
    <cellStyle name="Comma 2 3 2 11 2" xfId="9450"/>
    <cellStyle name="Comma 2 3 2 11 2 2" xfId="9451"/>
    <cellStyle name="Comma 2 3 2 11 2 2 2" xfId="9452"/>
    <cellStyle name="Comma 2 3 2 11 2 2 3" xfId="9453"/>
    <cellStyle name="Comma 2 3 2 11 2 3" xfId="9454"/>
    <cellStyle name="Comma 2 3 2 11 2 4" xfId="9455"/>
    <cellStyle name="Comma 2 3 2 11 2 5" xfId="9456"/>
    <cellStyle name="Comma 2 3 2 11 2 6" xfId="9457"/>
    <cellStyle name="Comma 2 3 2 11 3" xfId="9458"/>
    <cellStyle name="Comma 2 3 2 11 3 2" xfId="9459"/>
    <cellStyle name="Comma 2 3 2 11 3 2 2" xfId="9460"/>
    <cellStyle name="Comma 2 3 2 11 3 2 3" xfId="9461"/>
    <cellStyle name="Comma 2 3 2 11 3 3" xfId="9462"/>
    <cellStyle name="Comma 2 3 2 11 3 4" xfId="9463"/>
    <cellStyle name="Comma 2 3 2 11 3 5" xfId="9464"/>
    <cellStyle name="Comma 2 3 2 11 3 6" xfId="9465"/>
    <cellStyle name="Comma 2 3 2 11 4" xfId="9466"/>
    <cellStyle name="Comma 2 3 2 11 4 2" xfId="9467"/>
    <cellStyle name="Comma 2 3 2 11 4 2 2" xfId="9468"/>
    <cellStyle name="Comma 2 3 2 11 4 3" xfId="9469"/>
    <cellStyle name="Comma 2 3 2 11 4 4" xfId="9470"/>
    <cellStyle name="Comma 2 3 2 11 4 5" xfId="9471"/>
    <cellStyle name="Comma 2 3 2 11 5" xfId="9472"/>
    <cellStyle name="Comma 2 3 2 11 5 2" xfId="9473"/>
    <cellStyle name="Comma 2 3 2 11 5 3" xfId="9474"/>
    <cellStyle name="Comma 2 3 2 11 5 4" xfId="9475"/>
    <cellStyle name="Comma 2 3 2 11 6" xfId="9476"/>
    <cellStyle name="Comma 2 3 2 11 6 2" xfId="9477"/>
    <cellStyle name="Comma 2 3 2 11 7" xfId="9478"/>
    <cellStyle name="Comma 2 3 2 11 8" xfId="9479"/>
    <cellStyle name="Comma 2 3 2 11 9" xfId="9480"/>
    <cellStyle name="Comma 2 3 2 12" xfId="9481"/>
    <cellStyle name="Comma 2 3 2 12 10" xfId="9482"/>
    <cellStyle name="Comma 2 3 2 12 2" xfId="9483"/>
    <cellStyle name="Comma 2 3 2 12 2 2" xfId="9484"/>
    <cellStyle name="Comma 2 3 2 12 2 2 2" xfId="9485"/>
    <cellStyle name="Comma 2 3 2 12 2 2 3" xfId="9486"/>
    <cellStyle name="Comma 2 3 2 12 2 3" xfId="9487"/>
    <cellStyle name="Comma 2 3 2 12 2 4" xfId="9488"/>
    <cellStyle name="Comma 2 3 2 12 2 5" xfId="9489"/>
    <cellStyle name="Comma 2 3 2 12 2 6" xfId="9490"/>
    <cellStyle name="Comma 2 3 2 12 3" xfId="9491"/>
    <cellStyle name="Comma 2 3 2 12 3 2" xfId="9492"/>
    <cellStyle name="Comma 2 3 2 12 3 2 2" xfId="9493"/>
    <cellStyle name="Comma 2 3 2 12 3 2 3" xfId="9494"/>
    <cellStyle name="Comma 2 3 2 12 3 3" xfId="9495"/>
    <cellStyle name="Comma 2 3 2 12 3 4" xfId="9496"/>
    <cellStyle name="Comma 2 3 2 12 3 5" xfId="9497"/>
    <cellStyle name="Comma 2 3 2 12 3 6" xfId="9498"/>
    <cellStyle name="Comma 2 3 2 12 4" xfId="9499"/>
    <cellStyle name="Comma 2 3 2 12 4 2" xfId="9500"/>
    <cellStyle name="Comma 2 3 2 12 4 2 2" xfId="9501"/>
    <cellStyle name="Comma 2 3 2 12 4 3" xfId="9502"/>
    <cellStyle name="Comma 2 3 2 12 4 4" xfId="9503"/>
    <cellStyle name="Comma 2 3 2 12 4 5" xfId="9504"/>
    <cellStyle name="Comma 2 3 2 12 5" xfId="9505"/>
    <cellStyle name="Comma 2 3 2 12 5 2" xfId="9506"/>
    <cellStyle name="Comma 2 3 2 12 5 3" xfId="9507"/>
    <cellStyle name="Comma 2 3 2 12 5 4" xfId="9508"/>
    <cellStyle name="Comma 2 3 2 12 6" xfId="9509"/>
    <cellStyle name="Comma 2 3 2 12 6 2" xfId="9510"/>
    <cellStyle name="Comma 2 3 2 12 7" xfId="9511"/>
    <cellStyle name="Comma 2 3 2 12 8" xfId="9512"/>
    <cellStyle name="Comma 2 3 2 12 9" xfId="9513"/>
    <cellStyle name="Comma 2 3 2 13" xfId="9514"/>
    <cellStyle name="Comma 2 3 2 13 2" xfId="9515"/>
    <cellStyle name="Comma 2 3 2 13 2 2" xfId="9516"/>
    <cellStyle name="Comma 2 3 2 13 2 2 2" xfId="9517"/>
    <cellStyle name="Comma 2 3 2 13 2 2 3" xfId="9518"/>
    <cellStyle name="Comma 2 3 2 13 2 3" xfId="9519"/>
    <cellStyle name="Comma 2 3 2 13 2 4" xfId="9520"/>
    <cellStyle name="Comma 2 3 2 13 2 5" xfId="9521"/>
    <cellStyle name="Comma 2 3 2 13 2 6" xfId="9522"/>
    <cellStyle name="Comma 2 3 2 13 3" xfId="9523"/>
    <cellStyle name="Comma 2 3 2 13 3 2" xfId="9524"/>
    <cellStyle name="Comma 2 3 2 13 3 2 2" xfId="9525"/>
    <cellStyle name="Comma 2 3 2 13 3 3" xfId="9526"/>
    <cellStyle name="Comma 2 3 2 13 3 4" xfId="9527"/>
    <cellStyle name="Comma 2 3 2 13 3 5" xfId="9528"/>
    <cellStyle name="Comma 2 3 2 13 4" xfId="9529"/>
    <cellStyle name="Comma 2 3 2 13 4 2" xfId="9530"/>
    <cellStyle name="Comma 2 3 2 13 4 3" xfId="9531"/>
    <cellStyle name="Comma 2 3 2 13 4 4" xfId="9532"/>
    <cellStyle name="Comma 2 3 2 13 5" xfId="9533"/>
    <cellStyle name="Comma 2 3 2 13 5 2" xfId="9534"/>
    <cellStyle name="Comma 2 3 2 13 6" xfId="9535"/>
    <cellStyle name="Comma 2 3 2 13 7" xfId="9536"/>
    <cellStyle name="Comma 2 3 2 13 8" xfId="9537"/>
    <cellStyle name="Comma 2 3 2 13 9" xfId="9538"/>
    <cellStyle name="Comma 2 3 2 14" xfId="9539"/>
    <cellStyle name="Comma 2 3 2 14 2" xfId="9540"/>
    <cellStyle name="Comma 2 3 2 14 2 2" xfId="9541"/>
    <cellStyle name="Comma 2 3 2 14 2 2 2" xfId="9542"/>
    <cellStyle name="Comma 2 3 2 14 2 2 3" xfId="9543"/>
    <cellStyle name="Comma 2 3 2 14 2 3" xfId="9544"/>
    <cellStyle name="Comma 2 3 2 14 2 4" xfId="9545"/>
    <cellStyle name="Comma 2 3 2 14 2 5" xfId="9546"/>
    <cellStyle name="Comma 2 3 2 14 2 6" xfId="9547"/>
    <cellStyle name="Comma 2 3 2 14 3" xfId="9548"/>
    <cellStyle name="Comma 2 3 2 14 3 2" xfId="9549"/>
    <cellStyle name="Comma 2 3 2 14 3 2 2" xfId="9550"/>
    <cellStyle name="Comma 2 3 2 14 3 3" xfId="9551"/>
    <cellStyle name="Comma 2 3 2 14 3 4" xfId="9552"/>
    <cellStyle name="Comma 2 3 2 14 3 5" xfId="9553"/>
    <cellStyle name="Comma 2 3 2 14 4" xfId="9554"/>
    <cellStyle name="Comma 2 3 2 14 4 2" xfId="9555"/>
    <cellStyle name="Comma 2 3 2 14 4 3" xfId="9556"/>
    <cellStyle name="Comma 2 3 2 14 4 4" xfId="9557"/>
    <cellStyle name="Comma 2 3 2 14 5" xfId="9558"/>
    <cellStyle name="Comma 2 3 2 14 5 2" xfId="9559"/>
    <cellStyle name="Comma 2 3 2 14 6" xfId="9560"/>
    <cellStyle name="Comma 2 3 2 14 7" xfId="9561"/>
    <cellStyle name="Comma 2 3 2 14 8" xfId="9562"/>
    <cellStyle name="Comma 2 3 2 14 9" xfId="9563"/>
    <cellStyle name="Comma 2 3 2 15" xfId="9564"/>
    <cellStyle name="Comma 2 3 2 15 2" xfId="9565"/>
    <cellStyle name="Comma 2 3 2 15 2 2" xfId="9566"/>
    <cellStyle name="Comma 2 3 2 15 2 3" xfId="9567"/>
    <cellStyle name="Comma 2 3 2 15 3" xfId="9568"/>
    <cellStyle name="Comma 2 3 2 15 4" xfId="9569"/>
    <cellStyle name="Comma 2 3 2 15 5" xfId="9570"/>
    <cellStyle name="Comma 2 3 2 15 6" xfId="9571"/>
    <cellStyle name="Comma 2 3 2 16" xfId="9572"/>
    <cellStyle name="Comma 2 3 2 16 2" xfId="9573"/>
    <cellStyle name="Comma 2 3 2 16 2 2" xfId="9574"/>
    <cellStyle name="Comma 2 3 2 16 3" xfId="9575"/>
    <cellStyle name="Comma 2 3 2 16 4" xfId="9576"/>
    <cellStyle name="Comma 2 3 2 16 5" xfId="9577"/>
    <cellStyle name="Comma 2 3 2 17" xfId="9578"/>
    <cellStyle name="Comma 2 3 2 17 2" xfId="9579"/>
    <cellStyle name="Comma 2 3 2 17 2 2" xfId="9580"/>
    <cellStyle name="Comma 2 3 2 17 3" xfId="9581"/>
    <cellStyle name="Comma 2 3 2 17 4" xfId="9582"/>
    <cellStyle name="Comma 2 3 2 17 5" xfId="9583"/>
    <cellStyle name="Comma 2 3 2 18" xfId="9584"/>
    <cellStyle name="Comma 2 3 2 18 2" xfId="9585"/>
    <cellStyle name="Comma 2 3 2 19" xfId="9586"/>
    <cellStyle name="Comma 2 3 2 2" xfId="9587"/>
    <cellStyle name="Comma 2 3 2 2 10" xfId="9588"/>
    <cellStyle name="Comma 2 3 2 2 11" xfId="9589"/>
    <cellStyle name="Comma 2 3 2 2 2" xfId="9590"/>
    <cellStyle name="Comma 2 3 2 2 2 2" xfId="9591"/>
    <cellStyle name="Comma 2 3 2 2 2 2 2" xfId="9592"/>
    <cellStyle name="Comma 2 3 2 2 2 2 2 2" xfId="9593"/>
    <cellStyle name="Comma 2 3 2 2 2 2 2 3" xfId="9594"/>
    <cellStyle name="Comma 2 3 2 2 2 2 3" xfId="9595"/>
    <cellStyle name="Comma 2 3 2 2 2 2 4" xfId="9596"/>
    <cellStyle name="Comma 2 3 2 2 2 2 5" xfId="9597"/>
    <cellStyle name="Comma 2 3 2 2 2 2 6" xfId="9598"/>
    <cellStyle name="Comma 2 3 2 2 2 3" xfId="9599"/>
    <cellStyle name="Comma 2 3 2 2 2 3 2" xfId="9600"/>
    <cellStyle name="Comma 2 3 2 2 2 3 2 2" xfId="9601"/>
    <cellStyle name="Comma 2 3 2 2 2 3 3" xfId="9602"/>
    <cellStyle name="Comma 2 3 2 2 2 3 4" xfId="9603"/>
    <cellStyle name="Comma 2 3 2 2 2 3 5" xfId="9604"/>
    <cellStyle name="Comma 2 3 2 2 2 4" xfId="9605"/>
    <cellStyle name="Comma 2 3 2 2 2 4 2" xfId="9606"/>
    <cellStyle name="Comma 2 3 2 2 2 4 3" xfId="9607"/>
    <cellStyle name="Comma 2 3 2 2 2 4 4" xfId="9608"/>
    <cellStyle name="Comma 2 3 2 2 2 5" xfId="9609"/>
    <cellStyle name="Comma 2 3 2 2 2 5 2" xfId="9610"/>
    <cellStyle name="Comma 2 3 2 2 2 6" xfId="9611"/>
    <cellStyle name="Comma 2 3 2 2 2 7" xfId="9612"/>
    <cellStyle name="Comma 2 3 2 2 2 8" xfId="9613"/>
    <cellStyle name="Comma 2 3 2 2 2 9" xfId="9614"/>
    <cellStyle name="Comma 2 3 2 2 3" xfId="9615"/>
    <cellStyle name="Comma 2 3 2 2 3 2" xfId="9616"/>
    <cellStyle name="Comma 2 3 2 2 3 2 2" xfId="9617"/>
    <cellStyle name="Comma 2 3 2 2 3 2 2 2" xfId="9618"/>
    <cellStyle name="Comma 2 3 2 2 3 2 2 3" xfId="9619"/>
    <cellStyle name="Comma 2 3 2 2 3 2 3" xfId="9620"/>
    <cellStyle name="Comma 2 3 2 2 3 2 4" xfId="9621"/>
    <cellStyle name="Comma 2 3 2 2 3 2 5" xfId="9622"/>
    <cellStyle name="Comma 2 3 2 2 3 2 6" xfId="9623"/>
    <cellStyle name="Comma 2 3 2 2 3 3" xfId="9624"/>
    <cellStyle name="Comma 2 3 2 2 3 3 2" xfId="9625"/>
    <cellStyle name="Comma 2 3 2 2 3 3 2 2" xfId="9626"/>
    <cellStyle name="Comma 2 3 2 2 3 3 3" xfId="9627"/>
    <cellStyle name="Comma 2 3 2 2 3 3 4" xfId="9628"/>
    <cellStyle name="Comma 2 3 2 2 3 3 5" xfId="9629"/>
    <cellStyle name="Comma 2 3 2 2 3 4" xfId="9630"/>
    <cellStyle name="Comma 2 3 2 2 3 4 2" xfId="9631"/>
    <cellStyle name="Comma 2 3 2 2 3 4 3" xfId="9632"/>
    <cellStyle name="Comma 2 3 2 2 3 4 4" xfId="9633"/>
    <cellStyle name="Comma 2 3 2 2 3 5" xfId="9634"/>
    <cellStyle name="Comma 2 3 2 2 3 5 2" xfId="9635"/>
    <cellStyle name="Comma 2 3 2 2 3 6" xfId="9636"/>
    <cellStyle name="Comma 2 3 2 2 3 7" xfId="9637"/>
    <cellStyle name="Comma 2 3 2 2 3 8" xfId="9638"/>
    <cellStyle name="Comma 2 3 2 2 3 9" xfId="9639"/>
    <cellStyle name="Comma 2 3 2 2 4" xfId="9640"/>
    <cellStyle name="Comma 2 3 2 2 4 2" xfId="9641"/>
    <cellStyle name="Comma 2 3 2 2 4 2 2" xfId="9642"/>
    <cellStyle name="Comma 2 3 2 2 4 2 3" xfId="9643"/>
    <cellStyle name="Comma 2 3 2 2 4 3" xfId="9644"/>
    <cellStyle name="Comma 2 3 2 2 4 4" xfId="9645"/>
    <cellStyle name="Comma 2 3 2 2 4 5" xfId="9646"/>
    <cellStyle name="Comma 2 3 2 2 4 6" xfId="9647"/>
    <cellStyle name="Comma 2 3 2 2 5" xfId="9648"/>
    <cellStyle name="Comma 2 3 2 2 5 2" xfId="9649"/>
    <cellStyle name="Comma 2 3 2 2 5 2 2" xfId="9650"/>
    <cellStyle name="Comma 2 3 2 2 5 3" xfId="9651"/>
    <cellStyle name="Comma 2 3 2 2 5 4" xfId="9652"/>
    <cellStyle name="Comma 2 3 2 2 5 5" xfId="9653"/>
    <cellStyle name="Comma 2 3 2 2 6" xfId="9654"/>
    <cellStyle name="Comma 2 3 2 2 6 2" xfId="9655"/>
    <cellStyle name="Comma 2 3 2 2 6 3" xfId="9656"/>
    <cellStyle name="Comma 2 3 2 2 6 4" xfId="9657"/>
    <cellStyle name="Comma 2 3 2 2 7" xfId="9658"/>
    <cellStyle name="Comma 2 3 2 2 7 2" xfId="9659"/>
    <cellStyle name="Comma 2 3 2 2 8" xfId="9660"/>
    <cellStyle name="Comma 2 3 2 2 9" xfId="9661"/>
    <cellStyle name="Comma 2 3 2 20" xfId="9662"/>
    <cellStyle name="Comma 2 3 2 21" xfId="9663"/>
    <cellStyle name="Comma 2 3 2 22" xfId="9664"/>
    <cellStyle name="Comma 2 3 2 3" xfId="9665"/>
    <cellStyle name="Comma 2 3 2 3 10" xfId="9666"/>
    <cellStyle name="Comma 2 3 2 3 11" xfId="9667"/>
    <cellStyle name="Comma 2 3 2 3 2" xfId="9668"/>
    <cellStyle name="Comma 2 3 2 3 2 2" xfId="9669"/>
    <cellStyle name="Comma 2 3 2 3 2 2 2" xfId="9670"/>
    <cellStyle name="Comma 2 3 2 3 2 2 2 2" xfId="9671"/>
    <cellStyle name="Comma 2 3 2 3 2 2 2 3" xfId="9672"/>
    <cellStyle name="Comma 2 3 2 3 2 2 3" xfId="9673"/>
    <cellStyle name="Comma 2 3 2 3 2 2 4" xfId="9674"/>
    <cellStyle name="Comma 2 3 2 3 2 2 5" xfId="9675"/>
    <cellStyle name="Comma 2 3 2 3 2 2 6" xfId="9676"/>
    <cellStyle name="Comma 2 3 2 3 2 3" xfId="9677"/>
    <cellStyle name="Comma 2 3 2 3 2 3 2" xfId="9678"/>
    <cellStyle name="Comma 2 3 2 3 2 3 2 2" xfId="9679"/>
    <cellStyle name="Comma 2 3 2 3 2 3 3" xfId="9680"/>
    <cellStyle name="Comma 2 3 2 3 2 3 4" xfId="9681"/>
    <cellStyle name="Comma 2 3 2 3 2 3 5" xfId="9682"/>
    <cellStyle name="Comma 2 3 2 3 2 4" xfId="9683"/>
    <cellStyle name="Comma 2 3 2 3 2 4 2" xfId="9684"/>
    <cellStyle name="Comma 2 3 2 3 2 4 3" xfId="9685"/>
    <cellStyle name="Comma 2 3 2 3 2 4 4" xfId="9686"/>
    <cellStyle name="Comma 2 3 2 3 2 5" xfId="9687"/>
    <cellStyle name="Comma 2 3 2 3 2 5 2" xfId="9688"/>
    <cellStyle name="Comma 2 3 2 3 2 6" xfId="9689"/>
    <cellStyle name="Comma 2 3 2 3 2 7" xfId="9690"/>
    <cellStyle name="Comma 2 3 2 3 2 8" xfId="9691"/>
    <cellStyle name="Comma 2 3 2 3 2 9" xfId="9692"/>
    <cellStyle name="Comma 2 3 2 3 3" xfId="9693"/>
    <cellStyle name="Comma 2 3 2 3 3 2" xfId="9694"/>
    <cellStyle name="Comma 2 3 2 3 3 2 2" xfId="9695"/>
    <cellStyle name="Comma 2 3 2 3 3 2 2 2" xfId="9696"/>
    <cellStyle name="Comma 2 3 2 3 3 2 2 3" xfId="9697"/>
    <cellStyle name="Comma 2 3 2 3 3 2 3" xfId="9698"/>
    <cellStyle name="Comma 2 3 2 3 3 2 4" xfId="9699"/>
    <cellStyle name="Comma 2 3 2 3 3 2 5" xfId="9700"/>
    <cellStyle name="Comma 2 3 2 3 3 2 6" xfId="9701"/>
    <cellStyle name="Comma 2 3 2 3 3 3" xfId="9702"/>
    <cellStyle name="Comma 2 3 2 3 3 3 2" xfId="9703"/>
    <cellStyle name="Comma 2 3 2 3 3 3 2 2" xfId="9704"/>
    <cellStyle name="Comma 2 3 2 3 3 3 3" xfId="9705"/>
    <cellStyle name="Comma 2 3 2 3 3 3 4" xfId="9706"/>
    <cellStyle name="Comma 2 3 2 3 3 3 5" xfId="9707"/>
    <cellStyle name="Comma 2 3 2 3 3 4" xfId="9708"/>
    <cellStyle name="Comma 2 3 2 3 3 4 2" xfId="9709"/>
    <cellStyle name="Comma 2 3 2 3 3 4 3" xfId="9710"/>
    <cellStyle name="Comma 2 3 2 3 3 4 4" xfId="9711"/>
    <cellStyle name="Comma 2 3 2 3 3 5" xfId="9712"/>
    <cellStyle name="Comma 2 3 2 3 3 5 2" xfId="9713"/>
    <cellStyle name="Comma 2 3 2 3 3 6" xfId="9714"/>
    <cellStyle name="Comma 2 3 2 3 3 7" xfId="9715"/>
    <cellStyle name="Comma 2 3 2 3 3 8" xfId="9716"/>
    <cellStyle name="Comma 2 3 2 3 3 9" xfId="9717"/>
    <cellStyle name="Comma 2 3 2 3 4" xfId="9718"/>
    <cellStyle name="Comma 2 3 2 3 4 2" xfId="9719"/>
    <cellStyle name="Comma 2 3 2 3 4 2 2" xfId="9720"/>
    <cellStyle name="Comma 2 3 2 3 4 2 3" xfId="9721"/>
    <cellStyle name="Comma 2 3 2 3 4 3" xfId="9722"/>
    <cellStyle name="Comma 2 3 2 3 4 4" xfId="9723"/>
    <cellStyle name="Comma 2 3 2 3 4 5" xfId="9724"/>
    <cellStyle name="Comma 2 3 2 3 4 6" xfId="9725"/>
    <cellStyle name="Comma 2 3 2 3 5" xfId="9726"/>
    <cellStyle name="Comma 2 3 2 3 5 2" xfId="9727"/>
    <cellStyle name="Comma 2 3 2 3 5 2 2" xfId="9728"/>
    <cellStyle name="Comma 2 3 2 3 5 3" xfId="9729"/>
    <cellStyle name="Comma 2 3 2 3 5 4" xfId="9730"/>
    <cellStyle name="Comma 2 3 2 3 5 5" xfId="9731"/>
    <cellStyle name="Comma 2 3 2 3 6" xfId="9732"/>
    <cellStyle name="Comma 2 3 2 3 6 2" xfId="9733"/>
    <cellStyle name="Comma 2 3 2 3 6 3" xfId="9734"/>
    <cellStyle name="Comma 2 3 2 3 6 4" xfId="9735"/>
    <cellStyle name="Comma 2 3 2 3 7" xfId="9736"/>
    <cellStyle name="Comma 2 3 2 3 7 2" xfId="9737"/>
    <cellStyle name="Comma 2 3 2 3 8" xfId="9738"/>
    <cellStyle name="Comma 2 3 2 3 9" xfId="9739"/>
    <cellStyle name="Comma 2 3 2 4" xfId="9740"/>
    <cellStyle name="Comma 2 3 2 4 10" xfId="9741"/>
    <cellStyle name="Comma 2 3 2 4 11" xfId="9742"/>
    <cellStyle name="Comma 2 3 2 4 2" xfId="9743"/>
    <cellStyle name="Comma 2 3 2 4 2 2" xfId="9744"/>
    <cellStyle name="Comma 2 3 2 4 2 2 2" xfId="9745"/>
    <cellStyle name="Comma 2 3 2 4 2 2 2 2" xfId="9746"/>
    <cellStyle name="Comma 2 3 2 4 2 2 2 3" xfId="9747"/>
    <cellStyle name="Comma 2 3 2 4 2 2 3" xfId="9748"/>
    <cellStyle name="Comma 2 3 2 4 2 2 4" xfId="9749"/>
    <cellStyle name="Comma 2 3 2 4 2 2 5" xfId="9750"/>
    <cellStyle name="Comma 2 3 2 4 2 2 6" xfId="9751"/>
    <cellStyle name="Comma 2 3 2 4 2 3" xfId="9752"/>
    <cellStyle name="Comma 2 3 2 4 2 3 2" xfId="9753"/>
    <cellStyle name="Comma 2 3 2 4 2 3 2 2" xfId="9754"/>
    <cellStyle name="Comma 2 3 2 4 2 3 3" xfId="9755"/>
    <cellStyle name="Comma 2 3 2 4 2 3 4" xfId="9756"/>
    <cellStyle name="Comma 2 3 2 4 2 3 5" xfId="9757"/>
    <cellStyle name="Comma 2 3 2 4 2 4" xfId="9758"/>
    <cellStyle name="Comma 2 3 2 4 2 4 2" xfId="9759"/>
    <cellStyle name="Comma 2 3 2 4 2 4 3" xfId="9760"/>
    <cellStyle name="Comma 2 3 2 4 2 4 4" xfId="9761"/>
    <cellStyle name="Comma 2 3 2 4 2 5" xfId="9762"/>
    <cellStyle name="Comma 2 3 2 4 2 5 2" xfId="9763"/>
    <cellStyle name="Comma 2 3 2 4 2 6" xfId="9764"/>
    <cellStyle name="Comma 2 3 2 4 2 7" xfId="9765"/>
    <cellStyle name="Comma 2 3 2 4 2 8" xfId="9766"/>
    <cellStyle name="Comma 2 3 2 4 2 9" xfId="9767"/>
    <cellStyle name="Comma 2 3 2 4 3" xfId="9768"/>
    <cellStyle name="Comma 2 3 2 4 3 2" xfId="9769"/>
    <cellStyle name="Comma 2 3 2 4 3 2 2" xfId="9770"/>
    <cellStyle name="Comma 2 3 2 4 3 2 2 2" xfId="9771"/>
    <cellStyle name="Comma 2 3 2 4 3 2 2 3" xfId="9772"/>
    <cellStyle name="Comma 2 3 2 4 3 2 3" xfId="9773"/>
    <cellStyle name="Comma 2 3 2 4 3 2 4" xfId="9774"/>
    <cellStyle name="Comma 2 3 2 4 3 2 5" xfId="9775"/>
    <cellStyle name="Comma 2 3 2 4 3 2 6" xfId="9776"/>
    <cellStyle name="Comma 2 3 2 4 3 3" xfId="9777"/>
    <cellStyle name="Comma 2 3 2 4 3 3 2" xfId="9778"/>
    <cellStyle name="Comma 2 3 2 4 3 3 2 2" xfId="9779"/>
    <cellStyle name="Comma 2 3 2 4 3 3 3" xfId="9780"/>
    <cellStyle name="Comma 2 3 2 4 3 3 4" xfId="9781"/>
    <cellStyle name="Comma 2 3 2 4 3 3 5" xfId="9782"/>
    <cellStyle name="Comma 2 3 2 4 3 4" xfId="9783"/>
    <cellStyle name="Comma 2 3 2 4 3 4 2" xfId="9784"/>
    <cellStyle name="Comma 2 3 2 4 3 4 3" xfId="9785"/>
    <cellStyle name="Comma 2 3 2 4 3 4 4" xfId="9786"/>
    <cellStyle name="Comma 2 3 2 4 3 5" xfId="9787"/>
    <cellStyle name="Comma 2 3 2 4 3 5 2" xfId="9788"/>
    <cellStyle name="Comma 2 3 2 4 3 6" xfId="9789"/>
    <cellStyle name="Comma 2 3 2 4 3 7" xfId="9790"/>
    <cellStyle name="Comma 2 3 2 4 3 8" xfId="9791"/>
    <cellStyle name="Comma 2 3 2 4 3 9" xfId="9792"/>
    <cellStyle name="Comma 2 3 2 4 4" xfId="9793"/>
    <cellStyle name="Comma 2 3 2 4 4 2" xfId="9794"/>
    <cellStyle name="Comma 2 3 2 4 4 2 2" xfId="9795"/>
    <cellStyle name="Comma 2 3 2 4 4 2 3" xfId="9796"/>
    <cellStyle name="Comma 2 3 2 4 4 3" xfId="9797"/>
    <cellStyle name="Comma 2 3 2 4 4 4" xfId="9798"/>
    <cellStyle name="Comma 2 3 2 4 4 5" xfId="9799"/>
    <cellStyle name="Comma 2 3 2 4 4 6" xfId="9800"/>
    <cellStyle name="Comma 2 3 2 4 5" xfId="9801"/>
    <cellStyle name="Comma 2 3 2 4 5 2" xfId="9802"/>
    <cellStyle name="Comma 2 3 2 4 5 2 2" xfId="9803"/>
    <cellStyle name="Comma 2 3 2 4 5 3" xfId="9804"/>
    <cellStyle name="Comma 2 3 2 4 5 4" xfId="9805"/>
    <cellStyle name="Comma 2 3 2 4 5 5" xfId="9806"/>
    <cellStyle name="Comma 2 3 2 4 6" xfId="9807"/>
    <cellStyle name="Comma 2 3 2 4 6 2" xfId="9808"/>
    <cellStyle name="Comma 2 3 2 4 6 3" xfId="9809"/>
    <cellStyle name="Comma 2 3 2 4 6 4" xfId="9810"/>
    <cellStyle name="Comma 2 3 2 4 7" xfId="9811"/>
    <cellStyle name="Comma 2 3 2 4 7 2" xfId="9812"/>
    <cellStyle name="Comma 2 3 2 4 8" xfId="9813"/>
    <cellStyle name="Comma 2 3 2 4 9" xfId="9814"/>
    <cellStyle name="Comma 2 3 2 5" xfId="9815"/>
    <cellStyle name="Comma 2 3 2 5 10" xfId="9816"/>
    <cellStyle name="Comma 2 3 2 5 11" xfId="9817"/>
    <cellStyle name="Comma 2 3 2 5 2" xfId="9818"/>
    <cellStyle name="Comma 2 3 2 5 2 2" xfId="9819"/>
    <cellStyle name="Comma 2 3 2 5 2 2 2" xfId="9820"/>
    <cellStyle name="Comma 2 3 2 5 2 2 2 2" xfId="9821"/>
    <cellStyle name="Comma 2 3 2 5 2 2 2 3" xfId="9822"/>
    <cellStyle name="Comma 2 3 2 5 2 2 3" xfId="9823"/>
    <cellStyle name="Comma 2 3 2 5 2 2 4" xfId="9824"/>
    <cellStyle name="Comma 2 3 2 5 2 2 5" xfId="9825"/>
    <cellStyle name="Comma 2 3 2 5 2 2 6" xfId="9826"/>
    <cellStyle name="Comma 2 3 2 5 2 3" xfId="9827"/>
    <cellStyle name="Comma 2 3 2 5 2 3 2" xfId="9828"/>
    <cellStyle name="Comma 2 3 2 5 2 3 2 2" xfId="9829"/>
    <cellStyle name="Comma 2 3 2 5 2 3 3" xfId="9830"/>
    <cellStyle name="Comma 2 3 2 5 2 3 4" xfId="9831"/>
    <cellStyle name="Comma 2 3 2 5 2 3 5" xfId="9832"/>
    <cellStyle name="Comma 2 3 2 5 2 4" xfId="9833"/>
    <cellStyle name="Comma 2 3 2 5 2 4 2" xfId="9834"/>
    <cellStyle name="Comma 2 3 2 5 2 4 3" xfId="9835"/>
    <cellStyle name="Comma 2 3 2 5 2 4 4" xfId="9836"/>
    <cellStyle name="Comma 2 3 2 5 2 5" xfId="9837"/>
    <cellStyle name="Comma 2 3 2 5 2 5 2" xfId="9838"/>
    <cellStyle name="Comma 2 3 2 5 2 6" xfId="9839"/>
    <cellStyle name="Comma 2 3 2 5 2 7" xfId="9840"/>
    <cellStyle name="Comma 2 3 2 5 2 8" xfId="9841"/>
    <cellStyle name="Comma 2 3 2 5 2 9" xfId="9842"/>
    <cellStyle name="Comma 2 3 2 5 3" xfId="9843"/>
    <cellStyle name="Comma 2 3 2 5 3 2" xfId="9844"/>
    <cellStyle name="Comma 2 3 2 5 3 2 2" xfId="9845"/>
    <cellStyle name="Comma 2 3 2 5 3 2 2 2" xfId="9846"/>
    <cellStyle name="Comma 2 3 2 5 3 2 2 3" xfId="9847"/>
    <cellStyle name="Comma 2 3 2 5 3 2 3" xfId="9848"/>
    <cellStyle name="Comma 2 3 2 5 3 2 4" xfId="9849"/>
    <cellStyle name="Comma 2 3 2 5 3 2 5" xfId="9850"/>
    <cellStyle name="Comma 2 3 2 5 3 2 6" xfId="9851"/>
    <cellStyle name="Comma 2 3 2 5 3 3" xfId="9852"/>
    <cellStyle name="Comma 2 3 2 5 3 3 2" xfId="9853"/>
    <cellStyle name="Comma 2 3 2 5 3 3 2 2" xfId="9854"/>
    <cellStyle name="Comma 2 3 2 5 3 3 3" xfId="9855"/>
    <cellStyle name="Comma 2 3 2 5 3 3 4" xfId="9856"/>
    <cellStyle name="Comma 2 3 2 5 3 3 5" xfId="9857"/>
    <cellStyle name="Comma 2 3 2 5 3 4" xfId="9858"/>
    <cellStyle name="Comma 2 3 2 5 3 4 2" xfId="9859"/>
    <cellStyle name="Comma 2 3 2 5 3 4 3" xfId="9860"/>
    <cellStyle name="Comma 2 3 2 5 3 4 4" xfId="9861"/>
    <cellStyle name="Comma 2 3 2 5 3 5" xfId="9862"/>
    <cellStyle name="Comma 2 3 2 5 3 5 2" xfId="9863"/>
    <cellStyle name="Comma 2 3 2 5 3 6" xfId="9864"/>
    <cellStyle name="Comma 2 3 2 5 3 7" xfId="9865"/>
    <cellStyle name="Comma 2 3 2 5 3 8" xfId="9866"/>
    <cellStyle name="Comma 2 3 2 5 3 9" xfId="9867"/>
    <cellStyle name="Comma 2 3 2 5 4" xfId="9868"/>
    <cellStyle name="Comma 2 3 2 5 4 2" xfId="9869"/>
    <cellStyle name="Comma 2 3 2 5 4 2 2" xfId="9870"/>
    <cellStyle name="Comma 2 3 2 5 4 2 3" xfId="9871"/>
    <cellStyle name="Comma 2 3 2 5 4 3" xfId="9872"/>
    <cellStyle name="Comma 2 3 2 5 4 4" xfId="9873"/>
    <cellStyle name="Comma 2 3 2 5 4 5" xfId="9874"/>
    <cellStyle name="Comma 2 3 2 5 4 6" xfId="9875"/>
    <cellStyle name="Comma 2 3 2 5 5" xfId="9876"/>
    <cellStyle name="Comma 2 3 2 5 5 2" xfId="9877"/>
    <cellStyle name="Comma 2 3 2 5 5 2 2" xfId="9878"/>
    <cellStyle name="Comma 2 3 2 5 5 3" xfId="9879"/>
    <cellStyle name="Comma 2 3 2 5 5 4" xfId="9880"/>
    <cellStyle name="Comma 2 3 2 5 5 5" xfId="9881"/>
    <cellStyle name="Comma 2 3 2 5 6" xfId="9882"/>
    <cellStyle name="Comma 2 3 2 5 6 2" xfId="9883"/>
    <cellStyle name="Comma 2 3 2 5 6 3" xfId="9884"/>
    <cellStyle name="Comma 2 3 2 5 6 4" xfId="9885"/>
    <cellStyle name="Comma 2 3 2 5 7" xfId="9886"/>
    <cellStyle name="Comma 2 3 2 5 7 2" xfId="9887"/>
    <cellStyle name="Comma 2 3 2 5 8" xfId="9888"/>
    <cellStyle name="Comma 2 3 2 5 9" xfId="9889"/>
    <cellStyle name="Comma 2 3 2 6" xfId="9890"/>
    <cellStyle name="Comma 2 3 2 6 10" xfId="9891"/>
    <cellStyle name="Comma 2 3 2 6 11" xfId="9892"/>
    <cellStyle name="Comma 2 3 2 6 2" xfId="9893"/>
    <cellStyle name="Comma 2 3 2 6 2 2" xfId="9894"/>
    <cellStyle name="Comma 2 3 2 6 2 2 2" xfId="9895"/>
    <cellStyle name="Comma 2 3 2 6 2 2 2 2" xfId="9896"/>
    <cellStyle name="Comma 2 3 2 6 2 2 2 3" xfId="9897"/>
    <cellStyle name="Comma 2 3 2 6 2 2 3" xfId="9898"/>
    <cellStyle name="Comma 2 3 2 6 2 2 4" xfId="9899"/>
    <cellStyle name="Comma 2 3 2 6 2 2 5" xfId="9900"/>
    <cellStyle name="Comma 2 3 2 6 2 2 6" xfId="9901"/>
    <cellStyle name="Comma 2 3 2 6 2 3" xfId="9902"/>
    <cellStyle name="Comma 2 3 2 6 2 3 2" xfId="9903"/>
    <cellStyle name="Comma 2 3 2 6 2 3 2 2" xfId="9904"/>
    <cellStyle name="Comma 2 3 2 6 2 3 3" xfId="9905"/>
    <cellStyle name="Comma 2 3 2 6 2 3 4" xfId="9906"/>
    <cellStyle name="Comma 2 3 2 6 2 3 5" xfId="9907"/>
    <cellStyle name="Comma 2 3 2 6 2 4" xfId="9908"/>
    <cellStyle name="Comma 2 3 2 6 2 4 2" xfId="9909"/>
    <cellStyle name="Comma 2 3 2 6 2 4 3" xfId="9910"/>
    <cellStyle name="Comma 2 3 2 6 2 4 4" xfId="9911"/>
    <cellStyle name="Comma 2 3 2 6 2 5" xfId="9912"/>
    <cellStyle name="Comma 2 3 2 6 2 5 2" xfId="9913"/>
    <cellStyle name="Comma 2 3 2 6 2 6" xfId="9914"/>
    <cellStyle name="Comma 2 3 2 6 2 7" xfId="9915"/>
    <cellStyle name="Comma 2 3 2 6 2 8" xfId="9916"/>
    <cellStyle name="Comma 2 3 2 6 2 9" xfId="9917"/>
    <cellStyle name="Comma 2 3 2 6 3" xfId="9918"/>
    <cellStyle name="Comma 2 3 2 6 3 2" xfId="9919"/>
    <cellStyle name="Comma 2 3 2 6 3 2 2" xfId="9920"/>
    <cellStyle name="Comma 2 3 2 6 3 2 2 2" xfId="9921"/>
    <cellStyle name="Comma 2 3 2 6 3 2 2 3" xfId="9922"/>
    <cellStyle name="Comma 2 3 2 6 3 2 3" xfId="9923"/>
    <cellStyle name="Comma 2 3 2 6 3 2 4" xfId="9924"/>
    <cellStyle name="Comma 2 3 2 6 3 2 5" xfId="9925"/>
    <cellStyle name="Comma 2 3 2 6 3 2 6" xfId="9926"/>
    <cellStyle name="Comma 2 3 2 6 3 3" xfId="9927"/>
    <cellStyle name="Comma 2 3 2 6 3 3 2" xfId="9928"/>
    <cellStyle name="Comma 2 3 2 6 3 3 2 2" xfId="9929"/>
    <cellStyle name="Comma 2 3 2 6 3 3 3" xfId="9930"/>
    <cellStyle name="Comma 2 3 2 6 3 3 4" xfId="9931"/>
    <cellStyle name="Comma 2 3 2 6 3 3 5" xfId="9932"/>
    <cellStyle name="Comma 2 3 2 6 3 4" xfId="9933"/>
    <cellStyle name="Comma 2 3 2 6 3 4 2" xfId="9934"/>
    <cellStyle name="Comma 2 3 2 6 3 4 3" xfId="9935"/>
    <cellStyle name="Comma 2 3 2 6 3 4 4" xfId="9936"/>
    <cellStyle name="Comma 2 3 2 6 3 5" xfId="9937"/>
    <cellStyle name="Comma 2 3 2 6 3 5 2" xfId="9938"/>
    <cellStyle name="Comma 2 3 2 6 3 6" xfId="9939"/>
    <cellStyle name="Comma 2 3 2 6 3 7" xfId="9940"/>
    <cellStyle name="Comma 2 3 2 6 3 8" xfId="9941"/>
    <cellStyle name="Comma 2 3 2 6 3 9" xfId="9942"/>
    <cellStyle name="Comma 2 3 2 6 4" xfId="9943"/>
    <cellStyle name="Comma 2 3 2 6 4 2" xfId="9944"/>
    <cellStyle name="Comma 2 3 2 6 4 2 2" xfId="9945"/>
    <cellStyle name="Comma 2 3 2 6 4 2 3" xfId="9946"/>
    <cellStyle name="Comma 2 3 2 6 4 3" xfId="9947"/>
    <cellStyle name="Comma 2 3 2 6 4 4" xfId="9948"/>
    <cellStyle name="Comma 2 3 2 6 4 5" xfId="9949"/>
    <cellStyle name="Comma 2 3 2 6 4 6" xfId="9950"/>
    <cellStyle name="Comma 2 3 2 6 5" xfId="9951"/>
    <cellStyle name="Comma 2 3 2 6 5 2" xfId="9952"/>
    <cellStyle name="Comma 2 3 2 6 5 2 2" xfId="9953"/>
    <cellStyle name="Comma 2 3 2 6 5 3" xfId="9954"/>
    <cellStyle name="Comma 2 3 2 6 5 4" xfId="9955"/>
    <cellStyle name="Comma 2 3 2 6 5 5" xfId="9956"/>
    <cellStyle name="Comma 2 3 2 6 6" xfId="9957"/>
    <cellStyle name="Comma 2 3 2 6 6 2" xfId="9958"/>
    <cellStyle name="Comma 2 3 2 6 6 3" xfId="9959"/>
    <cellStyle name="Comma 2 3 2 6 6 4" xfId="9960"/>
    <cellStyle name="Comma 2 3 2 6 7" xfId="9961"/>
    <cellStyle name="Comma 2 3 2 6 7 2" xfId="9962"/>
    <cellStyle name="Comma 2 3 2 6 8" xfId="9963"/>
    <cellStyle name="Comma 2 3 2 6 9" xfId="9964"/>
    <cellStyle name="Comma 2 3 2 7" xfId="9965"/>
    <cellStyle name="Comma 2 3 2 7 10" xfId="9966"/>
    <cellStyle name="Comma 2 3 2 7 11" xfId="9967"/>
    <cellStyle name="Comma 2 3 2 7 2" xfId="9968"/>
    <cellStyle name="Comma 2 3 2 7 2 2" xfId="9969"/>
    <cellStyle name="Comma 2 3 2 7 2 2 2" xfId="9970"/>
    <cellStyle name="Comma 2 3 2 7 2 2 2 2" xfId="9971"/>
    <cellStyle name="Comma 2 3 2 7 2 2 2 3" xfId="9972"/>
    <cellStyle name="Comma 2 3 2 7 2 2 3" xfId="9973"/>
    <cellStyle name="Comma 2 3 2 7 2 2 4" xfId="9974"/>
    <cellStyle name="Comma 2 3 2 7 2 2 5" xfId="9975"/>
    <cellStyle name="Comma 2 3 2 7 2 2 6" xfId="9976"/>
    <cellStyle name="Comma 2 3 2 7 2 3" xfId="9977"/>
    <cellStyle name="Comma 2 3 2 7 2 3 2" xfId="9978"/>
    <cellStyle name="Comma 2 3 2 7 2 3 2 2" xfId="9979"/>
    <cellStyle name="Comma 2 3 2 7 2 3 3" xfId="9980"/>
    <cellStyle name="Comma 2 3 2 7 2 3 4" xfId="9981"/>
    <cellStyle name="Comma 2 3 2 7 2 3 5" xfId="9982"/>
    <cellStyle name="Comma 2 3 2 7 2 4" xfId="9983"/>
    <cellStyle name="Comma 2 3 2 7 2 4 2" xfId="9984"/>
    <cellStyle name="Comma 2 3 2 7 2 4 3" xfId="9985"/>
    <cellStyle name="Comma 2 3 2 7 2 4 4" xfId="9986"/>
    <cellStyle name="Comma 2 3 2 7 2 5" xfId="9987"/>
    <cellStyle name="Comma 2 3 2 7 2 5 2" xfId="9988"/>
    <cellStyle name="Comma 2 3 2 7 2 6" xfId="9989"/>
    <cellStyle name="Comma 2 3 2 7 2 7" xfId="9990"/>
    <cellStyle name="Comma 2 3 2 7 2 8" xfId="9991"/>
    <cellStyle name="Comma 2 3 2 7 2 9" xfId="9992"/>
    <cellStyle name="Comma 2 3 2 7 3" xfId="9993"/>
    <cellStyle name="Comma 2 3 2 7 3 2" xfId="9994"/>
    <cellStyle name="Comma 2 3 2 7 3 2 2" xfId="9995"/>
    <cellStyle name="Comma 2 3 2 7 3 2 2 2" xfId="9996"/>
    <cellStyle name="Comma 2 3 2 7 3 2 2 3" xfId="9997"/>
    <cellStyle name="Comma 2 3 2 7 3 2 3" xfId="9998"/>
    <cellStyle name="Comma 2 3 2 7 3 2 4" xfId="9999"/>
    <cellStyle name="Comma 2 3 2 7 3 2 5" xfId="10000"/>
    <cellStyle name="Comma 2 3 2 7 3 2 6" xfId="10001"/>
    <cellStyle name="Comma 2 3 2 7 3 3" xfId="10002"/>
    <cellStyle name="Comma 2 3 2 7 3 3 2" xfId="10003"/>
    <cellStyle name="Comma 2 3 2 7 3 3 2 2" xfId="10004"/>
    <cellStyle name="Comma 2 3 2 7 3 3 3" xfId="10005"/>
    <cellStyle name="Comma 2 3 2 7 3 3 4" xfId="10006"/>
    <cellStyle name="Comma 2 3 2 7 3 3 5" xfId="10007"/>
    <cellStyle name="Comma 2 3 2 7 3 4" xfId="10008"/>
    <cellStyle name="Comma 2 3 2 7 3 4 2" xfId="10009"/>
    <cellStyle name="Comma 2 3 2 7 3 4 3" xfId="10010"/>
    <cellStyle name="Comma 2 3 2 7 3 4 4" xfId="10011"/>
    <cellStyle name="Comma 2 3 2 7 3 5" xfId="10012"/>
    <cellStyle name="Comma 2 3 2 7 3 5 2" xfId="10013"/>
    <cellStyle name="Comma 2 3 2 7 3 6" xfId="10014"/>
    <cellStyle name="Comma 2 3 2 7 3 7" xfId="10015"/>
    <cellStyle name="Comma 2 3 2 7 3 8" xfId="10016"/>
    <cellStyle name="Comma 2 3 2 7 3 9" xfId="10017"/>
    <cellStyle name="Comma 2 3 2 7 4" xfId="10018"/>
    <cellStyle name="Comma 2 3 2 7 4 2" xfId="10019"/>
    <cellStyle name="Comma 2 3 2 7 4 2 2" xfId="10020"/>
    <cellStyle name="Comma 2 3 2 7 4 2 3" xfId="10021"/>
    <cellStyle name="Comma 2 3 2 7 4 3" xfId="10022"/>
    <cellStyle name="Comma 2 3 2 7 4 4" xfId="10023"/>
    <cellStyle name="Comma 2 3 2 7 4 5" xfId="10024"/>
    <cellStyle name="Comma 2 3 2 7 4 6" xfId="10025"/>
    <cellStyle name="Comma 2 3 2 7 5" xfId="10026"/>
    <cellStyle name="Comma 2 3 2 7 5 2" xfId="10027"/>
    <cellStyle name="Comma 2 3 2 7 5 2 2" xfId="10028"/>
    <cellStyle name="Comma 2 3 2 7 5 3" xfId="10029"/>
    <cellStyle name="Comma 2 3 2 7 5 4" xfId="10030"/>
    <cellStyle name="Comma 2 3 2 7 5 5" xfId="10031"/>
    <cellStyle name="Comma 2 3 2 7 6" xfId="10032"/>
    <cellStyle name="Comma 2 3 2 7 6 2" xfId="10033"/>
    <cellStyle name="Comma 2 3 2 7 6 3" xfId="10034"/>
    <cellStyle name="Comma 2 3 2 7 6 4" xfId="10035"/>
    <cellStyle name="Comma 2 3 2 7 7" xfId="10036"/>
    <cellStyle name="Comma 2 3 2 7 7 2" xfId="10037"/>
    <cellStyle name="Comma 2 3 2 7 8" xfId="10038"/>
    <cellStyle name="Comma 2 3 2 7 9" xfId="10039"/>
    <cellStyle name="Comma 2 3 2 8" xfId="10040"/>
    <cellStyle name="Comma 2 3 2 8 10" xfId="10041"/>
    <cellStyle name="Comma 2 3 2 8 2" xfId="10042"/>
    <cellStyle name="Comma 2 3 2 8 2 2" xfId="10043"/>
    <cellStyle name="Comma 2 3 2 8 2 2 2" xfId="10044"/>
    <cellStyle name="Comma 2 3 2 8 2 2 3" xfId="10045"/>
    <cellStyle name="Comma 2 3 2 8 2 3" xfId="10046"/>
    <cellStyle name="Comma 2 3 2 8 2 4" xfId="10047"/>
    <cellStyle name="Comma 2 3 2 8 2 5" xfId="10048"/>
    <cellStyle name="Comma 2 3 2 8 2 6" xfId="10049"/>
    <cellStyle name="Comma 2 3 2 8 3" xfId="10050"/>
    <cellStyle name="Comma 2 3 2 8 3 2" xfId="10051"/>
    <cellStyle name="Comma 2 3 2 8 3 2 2" xfId="10052"/>
    <cellStyle name="Comma 2 3 2 8 3 2 3" xfId="10053"/>
    <cellStyle name="Comma 2 3 2 8 3 3" xfId="10054"/>
    <cellStyle name="Comma 2 3 2 8 3 4" xfId="10055"/>
    <cellStyle name="Comma 2 3 2 8 3 5" xfId="10056"/>
    <cellStyle name="Comma 2 3 2 8 3 6" xfId="10057"/>
    <cellStyle name="Comma 2 3 2 8 4" xfId="10058"/>
    <cellStyle name="Comma 2 3 2 8 4 2" xfId="10059"/>
    <cellStyle name="Comma 2 3 2 8 4 2 2" xfId="10060"/>
    <cellStyle name="Comma 2 3 2 8 4 3" xfId="10061"/>
    <cellStyle name="Comma 2 3 2 8 4 4" xfId="10062"/>
    <cellStyle name="Comma 2 3 2 8 4 5" xfId="10063"/>
    <cellStyle name="Comma 2 3 2 8 5" xfId="10064"/>
    <cellStyle name="Comma 2 3 2 8 5 2" xfId="10065"/>
    <cellStyle name="Comma 2 3 2 8 5 3" xfId="10066"/>
    <cellStyle name="Comma 2 3 2 8 5 4" xfId="10067"/>
    <cellStyle name="Comma 2 3 2 8 6" xfId="10068"/>
    <cellStyle name="Comma 2 3 2 8 6 2" xfId="10069"/>
    <cellStyle name="Comma 2 3 2 8 7" xfId="10070"/>
    <cellStyle name="Comma 2 3 2 8 8" xfId="10071"/>
    <cellStyle name="Comma 2 3 2 8 9" xfId="10072"/>
    <cellStyle name="Comma 2 3 2 9" xfId="10073"/>
    <cellStyle name="Comma 2 3 2 9 10" xfId="10074"/>
    <cellStyle name="Comma 2 3 2 9 2" xfId="10075"/>
    <cellStyle name="Comma 2 3 2 9 2 2" xfId="10076"/>
    <cellStyle name="Comma 2 3 2 9 2 2 2" xfId="10077"/>
    <cellStyle name="Comma 2 3 2 9 2 2 3" xfId="10078"/>
    <cellStyle name="Comma 2 3 2 9 2 3" xfId="10079"/>
    <cellStyle name="Comma 2 3 2 9 2 4" xfId="10080"/>
    <cellStyle name="Comma 2 3 2 9 2 5" xfId="10081"/>
    <cellStyle name="Comma 2 3 2 9 2 6" xfId="10082"/>
    <cellStyle name="Comma 2 3 2 9 3" xfId="10083"/>
    <cellStyle name="Comma 2 3 2 9 3 2" xfId="10084"/>
    <cellStyle name="Comma 2 3 2 9 3 2 2" xfId="10085"/>
    <cellStyle name="Comma 2 3 2 9 3 2 3" xfId="10086"/>
    <cellStyle name="Comma 2 3 2 9 3 3" xfId="10087"/>
    <cellStyle name="Comma 2 3 2 9 3 4" xfId="10088"/>
    <cellStyle name="Comma 2 3 2 9 3 5" xfId="10089"/>
    <cellStyle name="Comma 2 3 2 9 3 6" xfId="10090"/>
    <cellStyle name="Comma 2 3 2 9 4" xfId="10091"/>
    <cellStyle name="Comma 2 3 2 9 4 2" xfId="10092"/>
    <cellStyle name="Comma 2 3 2 9 4 2 2" xfId="10093"/>
    <cellStyle name="Comma 2 3 2 9 4 3" xfId="10094"/>
    <cellStyle name="Comma 2 3 2 9 4 4" xfId="10095"/>
    <cellStyle name="Comma 2 3 2 9 4 5" xfId="10096"/>
    <cellStyle name="Comma 2 3 2 9 5" xfId="10097"/>
    <cellStyle name="Comma 2 3 2 9 5 2" xfId="10098"/>
    <cellStyle name="Comma 2 3 2 9 5 3" xfId="10099"/>
    <cellStyle name="Comma 2 3 2 9 5 4" xfId="10100"/>
    <cellStyle name="Comma 2 3 2 9 6" xfId="10101"/>
    <cellStyle name="Comma 2 3 2 9 6 2" xfId="10102"/>
    <cellStyle name="Comma 2 3 2 9 7" xfId="10103"/>
    <cellStyle name="Comma 2 3 2 9 8" xfId="10104"/>
    <cellStyle name="Comma 2 3 2 9 9" xfId="10105"/>
    <cellStyle name="Comma 2 3 20" xfId="10106"/>
    <cellStyle name="Comma 2 3 20 10" xfId="10107"/>
    <cellStyle name="Comma 2 3 20 2" xfId="10108"/>
    <cellStyle name="Comma 2 3 20 2 2" xfId="10109"/>
    <cellStyle name="Comma 2 3 20 2 2 2" xfId="10110"/>
    <cellStyle name="Comma 2 3 20 2 2 3" xfId="10111"/>
    <cellStyle name="Comma 2 3 20 2 3" xfId="10112"/>
    <cellStyle name="Comma 2 3 20 2 4" xfId="10113"/>
    <cellStyle name="Comma 2 3 20 2 5" xfId="10114"/>
    <cellStyle name="Comma 2 3 20 2 6" xfId="10115"/>
    <cellStyle name="Comma 2 3 20 3" xfId="10116"/>
    <cellStyle name="Comma 2 3 20 3 2" xfId="10117"/>
    <cellStyle name="Comma 2 3 20 3 2 2" xfId="10118"/>
    <cellStyle name="Comma 2 3 20 3 2 3" xfId="10119"/>
    <cellStyle name="Comma 2 3 20 3 3" xfId="10120"/>
    <cellStyle name="Comma 2 3 20 3 4" xfId="10121"/>
    <cellStyle name="Comma 2 3 20 3 5" xfId="10122"/>
    <cellStyle name="Comma 2 3 20 3 6" xfId="10123"/>
    <cellStyle name="Comma 2 3 20 4" xfId="10124"/>
    <cellStyle name="Comma 2 3 20 4 2" xfId="10125"/>
    <cellStyle name="Comma 2 3 20 4 2 2" xfId="10126"/>
    <cellStyle name="Comma 2 3 20 4 3" xfId="10127"/>
    <cellStyle name="Comma 2 3 20 4 4" xfId="10128"/>
    <cellStyle name="Comma 2 3 20 4 5" xfId="10129"/>
    <cellStyle name="Comma 2 3 20 5" xfId="10130"/>
    <cellStyle name="Comma 2 3 20 5 2" xfId="10131"/>
    <cellStyle name="Comma 2 3 20 5 3" xfId="10132"/>
    <cellStyle name="Comma 2 3 20 5 4" xfId="10133"/>
    <cellStyle name="Comma 2 3 20 6" xfId="10134"/>
    <cellStyle name="Comma 2 3 20 6 2" xfId="10135"/>
    <cellStyle name="Comma 2 3 20 7" xfId="10136"/>
    <cellStyle name="Comma 2 3 20 8" xfId="10137"/>
    <cellStyle name="Comma 2 3 20 9" xfId="10138"/>
    <cellStyle name="Comma 2 3 21" xfId="10139"/>
    <cellStyle name="Comma 2 3 21 10" xfId="10140"/>
    <cellStyle name="Comma 2 3 21 2" xfId="10141"/>
    <cellStyle name="Comma 2 3 21 2 2" xfId="10142"/>
    <cellStyle name="Comma 2 3 21 2 2 2" xfId="10143"/>
    <cellStyle name="Comma 2 3 21 2 2 3" xfId="10144"/>
    <cellStyle name="Comma 2 3 21 2 3" xfId="10145"/>
    <cellStyle name="Comma 2 3 21 2 4" xfId="10146"/>
    <cellStyle name="Comma 2 3 21 2 5" xfId="10147"/>
    <cellStyle name="Comma 2 3 21 2 6" xfId="10148"/>
    <cellStyle name="Comma 2 3 21 3" xfId="10149"/>
    <cellStyle name="Comma 2 3 21 3 2" xfId="10150"/>
    <cellStyle name="Comma 2 3 21 3 2 2" xfId="10151"/>
    <cellStyle name="Comma 2 3 21 3 2 3" xfId="10152"/>
    <cellStyle name="Comma 2 3 21 3 3" xfId="10153"/>
    <cellStyle name="Comma 2 3 21 3 4" xfId="10154"/>
    <cellStyle name="Comma 2 3 21 3 5" xfId="10155"/>
    <cellStyle name="Comma 2 3 21 3 6" xfId="10156"/>
    <cellStyle name="Comma 2 3 21 4" xfId="10157"/>
    <cellStyle name="Comma 2 3 21 4 2" xfId="10158"/>
    <cellStyle name="Comma 2 3 21 4 2 2" xfId="10159"/>
    <cellStyle name="Comma 2 3 21 4 3" xfId="10160"/>
    <cellStyle name="Comma 2 3 21 4 4" xfId="10161"/>
    <cellStyle name="Comma 2 3 21 4 5" xfId="10162"/>
    <cellStyle name="Comma 2 3 21 5" xfId="10163"/>
    <cellStyle name="Comma 2 3 21 5 2" xfId="10164"/>
    <cellStyle name="Comma 2 3 21 5 3" xfId="10165"/>
    <cellStyle name="Comma 2 3 21 5 4" xfId="10166"/>
    <cellStyle name="Comma 2 3 21 6" xfId="10167"/>
    <cellStyle name="Comma 2 3 21 6 2" xfId="10168"/>
    <cellStyle name="Comma 2 3 21 7" xfId="10169"/>
    <cellStyle name="Comma 2 3 21 8" xfId="10170"/>
    <cellStyle name="Comma 2 3 21 9" xfId="10171"/>
    <cellStyle name="Comma 2 3 22" xfId="10172"/>
    <cellStyle name="Comma 2 3 22 10" xfId="10173"/>
    <cellStyle name="Comma 2 3 22 2" xfId="10174"/>
    <cellStyle name="Comma 2 3 22 2 2" xfId="10175"/>
    <cellStyle name="Comma 2 3 22 2 2 2" xfId="10176"/>
    <cellStyle name="Comma 2 3 22 2 2 3" xfId="10177"/>
    <cellStyle name="Comma 2 3 22 2 3" xfId="10178"/>
    <cellStyle name="Comma 2 3 22 2 4" xfId="10179"/>
    <cellStyle name="Comma 2 3 22 2 5" xfId="10180"/>
    <cellStyle name="Comma 2 3 22 2 6" xfId="10181"/>
    <cellStyle name="Comma 2 3 22 3" xfId="10182"/>
    <cellStyle name="Comma 2 3 22 3 2" xfId="10183"/>
    <cellStyle name="Comma 2 3 22 3 2 2" xfId="10184"/>
    <cellStyle name="Comma 2 3 22 3 2 3" xfId="10185"/>
    <cellStyle name="Comma 2 3 22 3 3" xfId="10186"/>
    <cellStyle name="Comma 2 3 22 3 4" xfId="10187"/>
    <cellStyle name="Comma 2 3 22 3 5" xfId="10188"/>
    <cellStyle name="Comma 2 3 22 3 6" xfId="10189"/>
    <cellStyle name="Comma 2 3 22 4" xfId="10190"/>
    <cellStyle name="Comma 2 3 22 4 2" xfId="10191"/>
    <cellStyle name="Comma 2 3 22 4 2 2" xfId="10192"/>
    <cellStyle name="Comma 2 3 22 4 3" xfId="10193"/>
    <cellStyle name="Comma 2 3 22 4 4" xfId="10194"/>
    <cellStyle name="Comma 2 3 22 4 5" xfId="10195"/>
    <cellStyle name="Comma 2 3 22 5" xfId="10196"/>
    <cellStyle name="Comma 2 3 22 5 2" xfId="10197"/>
    <cellStyle name="Comma 2 3 22 5 3" xfId="10198"/>
    <cellStyle name="Comma 2 3 22 5 4" xfId="10199"/>
    <cellStyle name="Comma 2 3 22 6" xfId="10200"/>
    <cellStyle name="Comma 2 3 22 6 2" xfId="10201"/>
    <cellStyle name="Comma 2 3 22 7" xfId="10202"/>
    <cellStyle name="Comma 2 3 22 8" xfId="10203"/>
    <cellStyle name="Comma 2 3 22 9" xfId="10204"/>
    <cellStyle name="Comma 2 3 23" xfId="10205"/>
    <cellStyle name="Comma 2 3 23 10" xfId="10206"/>
    <cellStyle name="Comma 2 3 23 2" xfId="10207"/>
    <cellStyle name="Comma 2 3 23 2 2" xfId="10208"/>
    <cellStyle name="Comma 2 3 23 2 2 2" xfId="10209"/>
    <cellStyle name="Comma 2 3 23 2 2 3" xfId="10210"/>
    <cellStyle name="Comma 2 3 23 2 3" xfId="10211"/>
    <cellStyle name="Comma 2 3 23 2 4" xfId="10212"/>
    <cellStyle name="Comma 2 3 23 2 5" xfId="10213"/>
    <cellStyle name="Comma 2 3 23 2 6" xfId="10214"/>
    <cellStyle name="Comma 2 3 23 3" xfId="10215"/>
    <cellStyle name="Comma 2 3 23 3 2" xfId="10216"/>
    <cellStyle name="Comma 2 3 23 3 2 2" xfId="10217"/>
    <cellStyle name="Comma 2 3 23 3 2 3" xfId="10218"/>
    <cellStyle name="Comma 2 3 23 3 3" xfId="10219"/>
    <cellStyle name="Comma 2 3 23 3 4" xfId="10220"/>
    <cellStyle name="Comma 2 3 23 3 5" xfId="10221"/>
    <cellStyle name="Comma 2 3 23 3 6" xfId="10222"/>
    <cellStyle name="Comma 2 3 23 4" xfId="10223"/>
    <cellStyle name="Comma 2 3 23 4 2" xfId="10224"/>
    <cellStyle name="Comma 2 3 23 4 2 2" xfId="10225"/>
    <cellStyle name="Comma 2 3 23 4 3" xfId="10226"/>
    <cellStyle name="Comma 2 3 23 4 4" xfId="10227"/>
    <cellStyle name="Comma 2 3 23 4 5" xfId="10228"/>
    <cellStyle name="Comma 2 3 23 5" xfId="10229"/>
    <cellStyle name="Comma 2 3 23 5 2" xfId="10230"/>
    <cellStyle name="Comma 2 3 23 5 3" xfId="10231"/>
    <cellStyle name="Comma 2 3 23 5 4" xfId="10232"/>
    <cellStyle name="Comma 2 3 23 6" xfId="10233"/>
    <cellStyle name="Comma 2 3 23 6 2" xfId="10234"/>
    <cellStyle name="Comma 2 3 23 7" xfId="10235"/>
    <cellStyle name="Comma 2 3 23 8" xfId="10236"/>
    <cellStyle name="Comma 2 3 23 9" xfId="10237"/>
    <cellStyle name="Comma 2 3 24" xfId="10238"/>
    <cellStyle name="Comma 2 3 24 10" xfId="10239"/>
    <cellStyle name="Comma 2 3 24 2" xfId="10240"/>
    <cellStyle name="Comma 2 3 24 2 2" xfId="10241"/>
    <cellStyle name="Comma 2 3 24 2 2 2" xfId="10242"/>
    <cellStyle name="Comma 2 3 24 2 2 3" xfId="10243"/>
    <cellStyle name="Comma 2 3 24 2 3" xfId="10244"/>
    <cellStyle name="Comma 2 3 24 2 4" xfId="10245"/>
    <cellStyle name="Comma 2 3 24 2 5" xfId="10246"/>
    <cellStyle name="Comma 2 3 24 2 6" xfId="10247"/>
    <cellStyle name="Comma 2 3 24 3" xfId="10248"/>
    <cellStyle name="Comma 2 3 24 3 2" xfId="10249"/>
    <cellStyle name="Comma 2 3 24 3 2 2" xfId="10250"/>
    <cellStyle name="Comma 2 3 24 3 2 3" xfId="10251"/>
    <cellStyle name="Comma 2 3 24 3 3" xfId="10252"/>
    <cellStyle name="Comma 2 3 24 3 4" xfId="10253"/>
    <cellStyle name="Comma 2 3 24 3 5" xfId="10254"/>
    <cellStyle name="Comma 2 3 24 3 6" xfId="10255"/>
    <cellStyle name="Comma 2 3 24 4" xfId="10256"/>
    <cellStyle name="Comma 2 3 24 4 2" xfId="10257"/>
    <cellStyle name="Comma 2 3 24 4 2 2" xfId="10258"/>
    <cellStyle name="Comma 2 3 24 4 3" xfId="10259"/>
    <cellStyle name="Comma 2 3 24 4 4" xfId="10260"/>
    <cellStyle name="Comma 2 3 24 4 5" xfId="10261"/>
    <cellStyle name="Comma 2 3 24 5" xfId="10262"/>
    <cellStyle name="Comma 2 3 24 5 2" xfId="10263"/>
    <cellStyle name="Comma 2 3 24 5 3" xfId="10264"/>
    <cellStyle name="Comma 2 3 24 5 4" xfId="10265"/>
    <cellStyle name="Comma 2 3 24 6" xfId="10266"/>
    <cellStyle name="Comma 2 3 24 6 2" xfId="10267"/>
    <cellStyle name="Comma 2 3 24 7" xfId="10268"/>
    <cellStyle name="Comma 2 3 24 8" xfId="10269"/>
    <cellStyle name="Comma 2 3 24 9" xfId="10270"/>
    <cellStyle name="Comma 2 3 25" xfId="10271"/>
    <cellStyle name="Comma 2 3 25 10" xfId="10272"/>
    <cellStyle name="Comma 2 3 25 2" xfId="10273"/>
    <cellStyle name="Comma 2 3 25 2 2" xfId="10274"/>
    <cellStyle name="Comma 2 3 25 2 2 2" xfId="10275"/>
    <cellStyle name="Comma 2 3 25 2 2 3" xfId="10276"/>
    <cellStyle name="Comma 2 3 25 2 3" xfId="10277"/>
    <cellStyle name="Comma 2 3 25 2 4" xfId="10278"/>
    <cellStyle name="Comma 2 3 25 2 5" xfId="10279"/>
    <cellStyle name="Comma 2 3 25 2 6" xfId="10280"/>
    <cellStyle name="Comma 2 3 25 3" xfId="10281"/>
    <cellStyle name="Comma 2 3 25 3 2" xfId="10282"/>
    <cellStyle name="Comma 2 3 25 3 2 2" xfId="10283"/>
    <cellStyle name="Comma 2 3 25 3 2 3" xfId="10284"/>
    <cellStyle name="Comma 2 3 25 3 3" xfId="10285"/>
    <cellStyle name="Comma 2 3 25 3 4" xfId="10286"/>
    <cellStyle name="Comma 2 3 25 3 5" xfId="10287"/>
    <cellStyle name="Comma 2 3 25 3 6" xfId="10288"/>
    <cellStyle name="Comma 2 3 25 4" xfId="10289"/>
    <cellStyle name="Comma 2 3 25 4 2" xfId="10290"/>
    <cellStyle name="Comma 2 3 25 4 2 2" xfId="10291"/>
    <cellStyle name="Comma 2 3 25 4 3" xfId="10292"/>
    <cellStyle name="Comma 2 3 25 4 4" xfId="10293"/>
    <cellStyle name="Comma 2 3 25 4 5" xfId="10294"/>
    <cellStyle name="Comma 2 3 25 5" xfId="10295"/>
    <cellStyle name="Comma 2 3 25 5 2" xfId="10296"/>
    <cellStyle name="Comma 2 3 25 5 3" xfId="10297"/>
    <cellStyle name="Comma 2 3 25 5 4" xfId="10298"/>
    <cellStyle name="Comma 2 3 25 6" xfId="10299"/>
    <cellStyle name="Comma 2 3 25 6 2" xfId="10300"/>
    <cellStyle name="Comma 2 3 25 7" xfId="10301"/>
    <cellStyle name="Comma 2 3 25 8" xfId="10302"/>
    <cellStyle name="Comma 2 3 25 9" xfId="10303"/>
    <cellStyle name="Comma 2 3 26" xfId="10304"/>
    <cellStyle name="Comma 2 3 26 10" xfId="10305"/>
    <cellStyle name="Comma 2 3 26 2" xfId="10306"/>
    <cellStyle name="Comma 2 3 26 2 2" xfId="10307"/>
    <cellStyle name="Comma 2 3 26 2 2 2" xfId="10308"/>
    <cellStyle name="Comma 2 3 26 2 2 3" xfId="10309"/>
    <cellStyle name="Comma 2 3 26 2 3" xfId="10310"/>
    <cellStyle name="Comma 2 3 26 2 4" xfId="10311"/>
    <cellStyle name="Comma 2 3 26 2 5" xfId="10312"/>
    <cellStyle name="Comma 2 3 26 2 6" xfId="10313"/>
    <cellStyle name="Comma 2 3 26 3" xfId="10314"/>
    <cellStyle name="Comma 2 3 26 3 2" xfId="10315"/>
    <cellStyle name="Comma 2 3 26 3 2 2" xfId="10316"/>
    <cellStyle name="Comma 2 3 26 3 2 3" xfId="10317"/>
    <cellStyle name="Comma 2 3 26 3 3" xfId="10318"/>
    <cellStyle name="Comma 2 3 26 3 4" xfId="10319"/>
    <cellStyle name="Comma 2 3 26 3 5" xfId="10320"/>
    <cellStyle name="Comma 2 3 26 3 6" xfId="10321"/>
    <cellStyle name="Comma 2 3 26 4" xfId="10322"/>
    <cellStyle name="Comma 2 3 26 4 2" xfId="10323"/>
    <cellStyle name="Comma 2 3 26 4 2 2" xfId="10324"/>
    <cellStyle name="Comma 2 3 26 4 3" xfId="10325"/>
    <cellStyle name="Comma 2 3 26 4 4" xfId="10326"/>
    <cellStyle name="Comma 2 3 26 4 5" xfId="10327"/>
    <cellStyle name="Comma 2 3 26 5" xfId="10328"/>
    <cellStyle name="Comma 2 3 26 5 2" xfId="10329"/>
    <cellStyle name="Comma 2 3 26 5 3" xfId="10330"/>
    <cellStyle name="Comma 2 3 26 5 4" xfId="10331"/>
    <cellStyle name="Comma 2 3 26 6" xfId="10332"/>
    <cellStyle name="Comma 2 3 26 6 2" xfId="10333"/>
    <cellStyle name="Comma 2 3 26 7" xfId="10334"/>
    <cellStyle name="Comma 2 3 26 8" xfId="10335"/>
    <cellStyle name="Comma 2 3 26 9" xfId="10336"/>
    <cellStyle name="Comma 2 3 27" xfId="10337"/>
    <cellStyle name="Comma 2 3 27 10" xfId="10338"/>
    <cellStyle name="Comma 2 3 27 2" xfId="10339"/>
    <cellStyle name="Comma 2 3 27 2 2" xfId="10340"/>
    <cellStyle name="Comma 2 3 27 2 2 2" xfId="10341"/>
    <cellStyle name="Comma 2 3 27 2 2 3" xfId="10342"/>
    <cellStyle name="Comma 2 3 27 2 3" xfId="10343"/>
    <cellStyle name="Comma 2 3 27 2 4" xfId="10344"/>
    <cellStyle name="Comma 2 3 27 2 5" xfId="10345"/>
    <cellStyle name="Comma 2 3 27 2 6" xfId="10346"/>
    <cellStyle name="Comma 2 3 27 3" xfId="10347"/>
    <cellStyle name="Comma 2 3 27 3 2" xfId="10348"/>
    <cellStyle name="Comma 2 3 27 3 2 2" xfId="10349"/>
    <cellStyle name="Comma 2 3 27 3 2 3" xfId="10350"/>
    <cellStyle name="Comma 2 3 27 3 3" xfId="10351"/>
    <cellStyle name="Comma 2 3 27 3 4" xfId="10352"/>
    <cellStyle name="Comma 2 3 27 3 5" xfId="10353"/>
    <cellStyle name="Comma 2 3 27 3 6" xfId="10354"/>
    <cellStyle name="Comma 2 3 27 4" xfId="10355"/>
    <cellStyle name="Comma 2 3 27 4 2" xfId="10356"/>
    <cellStyle name="Comma 2 3 27 4 2 2" xfId="10357"/>
    <cellStyle name="Comma 2 3 27 4 3" xfId="10358"/>
    <cellStyle name="Comma 2 3 27 4 4" xfId="10359"/>
    <cellStyle name="Comma 2 3 27 4 5" xfId="10360"/>
    <cellStyle name="Comma 2 3 27 5" xfId="10361"/>
    <cellStyle name="Comma 2 3 27 5 2" xfId="10362"/>
    <cellStyle name="Comma 2 3 27 5 3" xfId="10363"/>
    <cellStyle name="Comma 2 3 27 5 4" xfId="10364"/>
    <cellStyle name="Comma 2 3 27 6" xfId="10365"/>
    <cellStyle name="Comma 2 3 27 6 2" xfId="10366"/>
    <cellStyle name="Comma 2 3 27 7" xfId="10367"/>
    <cellStyle name="Comma 2 3 27 8" xfId="10368"/>
    <cellStyle name="Comma 2 3 27 9" xfId="10369"/>
    <cellStyle name="Comma 2 3 28" xfId="10370"/>
    <cellStyle name="Comma 2 3 28 10" xfId="10371"/>
    <cellStyle name="Comma 2 3 28 2" xfId="10372"/>
    <cellStyle name="Comma 2 3 28 2 2" xfId="10373"/>
    <cellStyle name="Comma 2 3 28 2 2 2" xfId="10374"/>
    <cellStyle name="Comma 2 3 28 2 2 3" xfId="10375"/>
    <cellStyle name="Comma 2 3 28 2 3" xfId="10376"/>
    <cellStyle name="Comma 2 3 28 2 4" xfId="10377"/>
    <cellStyle name="Comma 2 3 28 2 5" xfId="10378"/>
    <cellStyle name="Comma 2 3 28 2 6" xfId="10379"/>
    <cellStyle name="Comma 2 3 28 3" xfId="10380"/>
    <cellStyle name="Comma 2 3 28 3 2" xfId="10381"/>
    <cellStyle name="Comma 2 3 28 3 2 2" xfId="10382"/>
    <cellStyle name="Comma 2 3 28 3 2 3" xfId="10383"/>
    <cellStyle name="Comma 2 3 28 3 3" xfId="10384"/>
    <cellStyle name="Comma 2 3 28 3 4" xfId="10385"/>
    <cellStyle name="Comma 2 3 28 3 5" xfId="10386"/>
    <cellStyle name="Comma 2 3 28 3 6" xfId="10387"/>
    <cellStyle name="Comma 2 3 28 4" xfId="10388"/>
    <cellStyle name="Comma 2 3 28 4 2" xfId="10389"/>
    <cellStyle name="Comma 2 3 28 4 2 2" xfId="10390"/>
    <cellStyle name="Comma 2 3 28 4 3" xfId="10391"/>
    <cellStyle name="Comma 2 3 28 4 4" xfId="10392"/>
    <cellStyle name="Comma 2 3 28 4 5" xfId="10393"/>
    <cellStyle name="Comma 2 3 28 5" xfId="10394"/>
    <cellStyle name="Comma 2 3 28 5 2" xfId="10395"/>
    <cellStyle name="Comma 2 3 28 5 3" xfId="10396"/>
    <cellStyle name="Comma 2 3 28 5 4" xfId="10397"/>
    <cellStyle name="Comma 2 3 28 6" xfId="10398"/>
    <cellStyle name="Comma 2 3 28 6 2" xfId="10399"/>
    <cellStyle name="Comma 2 3 28 7" xfId="10400"/>
    <cellStyle name="Comma 2 3 28 8" xfId="10401"/>
    <cellStyle name="Comma 2 3 28 9" xfId="10402"/>
    <cellStyle name="Comma 2 3 29" xfId="10403"/>
    <cellStyle name="Comma 2 3 29 2" xfId="10404"/>
    <cellStyle name="Comma 2 3 29 2 2" xfId="10405"/>
    <cellStyle name="Comma 2 3 29 2 2 2" xfId="10406"/>
    <cellStyle name="Comma 2 3 29 2 2 3" xfId="10407"/>
    <cellStyle name="Comma 2 3 29 2 3" xfId="10408"/>
    <cellStyle name="Comma 2 3 29 2 4" xfId="10409"/>
    <cellStyle name="Comma 2 3 29 2 5" xfId="10410"/>
    <cellStyle name="Comma 2 3 29 2 6" xfId="10411"/>
    <cellStyle name="Comma 2 3 29 3" xfId="10412"/>
    <cellStyle name="Comma 2 3 29 3 2" xfId="10413"/>
    <cellStyle name="Comma 2 3 29 3 2 2" xfId="10414"/>
    <cellStyle name="Comma 2 3 29 3 3" xfId="10415"/>
    <cellStyle name="Comma 2 3 29 3 4" xfId="10416"/>
    <cellStyle name="Comma 2 3 29 3 5" xfId="10417"/>
    <cellStyle name="Comma 2 3 29 4" xfId="10418"/>
    <cellStyle name="Comma 2 3 29 4 2" xfId="10419"/>
    <cellStyle name="Comma 2 3 29 4 3" xfId="10420"/>
    <cellStyle name="Comma 2 3 29 4 4" xfId="10421"/>
    <cellStyle name="Comma 2 3 29 5" xfId="10422"/>
    <cellStyle name="Comma 2 3 29 5 2" xfId="10423"/>
    <cellStyle name="Comma 2 3 29 6" xfId="10424"/>
    <cellStyle name="Comma 2 3 29 7" xfId="10425"/>
    <cellStyle name="Comma 2 3 29 8" xfId="10426"/>
    <cellStyle name="Comma 2 3 29 9" xfId="10427"/>
    <cellStyle name="Comma 2 3 3" xfId="10428"/>
    <cellStyle name="Comma 2 3 3 10" xfId="10429"/>
    <cellStyle name="Comma 2 3 3 10 10" xfId="10430"/>
    <cellStyle name="Comma 2 3 3 10 2" xfId="10431"/>
    <cellStyle name="Comma 2 3 3 10 2 2" xfId="10432"/>
    <cellStyle name="Comma 2 3 3 10 2 2 2" xfId="10433"/>
    <cellStyle name="Comma 2 3 3 10 2 2 3" xfId="10434"/>
    <cellStyle name="Comma 2 3 3 10 2 3" xfId="10435"/>
    <cellStyle name="Comma 2 3 3 10 2 4" xfId="10436"/>
    <cellStyle name="Comma 2 3 3 10 2 5" xfId="10437"/>
    <cellStyle name="Comma 2 3 3 10 2 6" xfId="10438"/>
    <cellStyle name="Comma 2 3 3 10 3" xfId="10439"/>
    <cellStyle name="Comma 2 3 3 10 3 2" xfId="10440"/>
    <cellStyle name="Comma 2 3 3 10 3 2 2" xfId="10441"/>
    <cellStyle name="Comma 2 3 3 10 3 2 3" xfId="10442"/>
    <cellStyle name="Comma 2 3 3 10 3 3" xfId="10443"/>
    <cellStyle name="Comma 2 3 3 10 3 4" xfId="10444"/>
    <cellStyle name="Comma 2 3 3 10 3 5" xfId="10445"/>
    <cellStyle name="Comma 2 3 3 10 3 6" xfId="10446"/>
    <cellStyle name="Comma 2 3 3 10 4" xfId="10447"/>
    <cellStyle name="Comma 2 3 3 10 4 2" xfId="10448"/>
    <cellStyle name="Comma 2 3 3 10 4 2 2" xfId="10449"/>
    <cellStyle name="Comma 2 3 3 10 4 3" xfId="10450"/>
    <cellStyle name="Comma 2 3 3 10 4 4" xfId="10451"/>
    <cellStyle name="Comma 2 3 3 10 4 5" xfId="10452"/>
    <cellStyle name="Comma 2 3 3 10 5" xfId="10453"/>
    <cellStyle name="Comma 2 3 3 10 5 2" xfId="10454"/>
    <cellStyle name="Comma 2 3 3 10 5 3" xfId="10455"/>
    <cellStyle name="Comma 2 3 3 10 5 4" xfId="10456"/>
    <cellStyle name="Comma 2 3 3 10 6" xfId="10457"/>
    <cellStyle name="Comma 2 3 3 10 6 2" xfId="10458"/>
    <cellStyle name="Comma 2 3 3 10 7" xfId="10459"/>
    <cellStyle name="Comma 2 3 3 10 8" xfId="10460"/>
    <cellStyle name="Comma 2 3 3 10 9" xfId="10461"/>
    <cellStyle name="Comma 2 3 3 11" xfId="10462"/>
    <cellStyle name="Comma 2 3 3 11 10" xfId="10463"/>
    <cellStyle name="Comma 2 3 3 11 2" xfId="10464"/>
    <cellStyle name="Comma 2 3 3 11 2 2" xfId="10465"/>
    <cellStyle name="Comma 2 3 3 11 2 2 2" xfId="10466"/>
    <cellStyle name="Comma 2 3 3 11 2 2 3" xfId="10467"/>
    <cellStyle name="Comma 2 3 3 11 2 3" xfId="10468"/>
    <cellStyle name="Comma 2 3 3 11 2 4" xfId="10469"/>
    <cellStyle name="Comma 2 3 3 11 2 5" xfId="10470"/>
    <cellStyle name="Comma 2 3 3 11 2 6" xfId="10471"/>
    <cellStyle name="Comma 2 3 3 11 3" xfId="10472"/>
    <cellStyle name="Comma 2 3 3 11 3 2" xfId="10473"/>
    <cellStyle name="Comma 2 3 3 11 3 2 2" xfId="10474"/>
    <cellStyle name="Comma 2 3 3 11 3 2 3" xfId="10475"/>
    <cellStyle name="Comma 2 3 3 11 3 3" xfId="10476"/>
    <cellStyle name="Comma 2 3 3 11 3 4" xfId="10477"/>
    <cellStyle name="Comma 2 3 3 11 3 5" xfId="10478"/>
    <cellStyle name="Comma 2 3 3 11 3 6" xfId="10479"/>
    <cellStyle name="Comma 2 3 3 11 4" xfId="10480"/>
    <cellStyle name="Comma 2 3 3 11 4 2" xfId="10481"/>
    <cellStyle name="Comma 2 3 3 11 4 2 2" xfId="10482"/>
    <cellStyle name="Comma 2 3 3 11 4 3" xfId="10483"/>
    <cellStyle name="Comma 2 3 3 11 4 4" xfId="10484"/>
    <cellStyle name="Comma 2 3 3 11 4 5" xfId="10485"/>
    <cellStyle name="Comma 2 3 3 11 5" xfId="10486"/>
    <cellStyle name="Comma 2 3 3 11 5 2" xfId="10487"/>
    <cellStyle name="Comma 2 3 3 11 5 3" xfId="10488"/>
    <cellStyle name="Comma 2 3 3 11 5 4" xfId="10489"/>
    <cellStyle name="Comma 2 3 3 11 6" xfId="10490"/>
    <cellStyle name="Comma 2 3 3 11 6 2" xfId="10491"/>
    <cellStyle name="Comma 2 3 3 11 7" xfId="10492"/>
    <cellStyle name="Comma 2 3 3 11 8" xfId="10493"/>
    <cellStyle name="Comma 2 3 3 11 9" xfId="10494"/>
    <cellStyle name="Comma 2 3 3 12" xfId="10495"/>
    <cellStyle name="Comma 2 3 3 12 10" xfId="10496"/>
    <cellStyle name="Comma 2 3 3 12 2" xfId="10497"/>
    <cellStyle name="Comma 2 3 3 12 2 2" xfId="10498"/>
    <cellStyle name="Comma 2 3 3 12 2 2 2" xfId="10499"/>
    <cellStyle name="Comma 2 3 3 12 2 2 3" xfId="10500"/>
    <cellStyle name="Comma 2 3 3 12 2 3" xfId="10501"/>
    <cellStyle name="Comma 2 3 3 12 2 4" xfId="10502"/>
    <cellStyle name="Comma 2 3 3 12 2 5" xfId="10503"/>
    <cellStyle name="Comma 2 3 3 12 2 6" xfId="10504"/>
    <cellStyle name="Comma 2 3 3 12 3" xfId="10505"/>
    <cellStyle name="Comma 2 3 3 12 3 2" xfId="10506"/>
    <cellStyle name="Comma 2 3 3 12 3 2 2" xfId="10507"/>
    <cellStyle name="Comma 2 3 3 12 3 2 3" xfId="10508"/>
    <cellStyle name="Comma 2 3 3 12 3 3" xfId="10509"/>
    <cellStyle name="Comma 2 3 3 12 3 4" xfId="10510"/>
    <cellStyle name="Comma 2 3 3 12 3 5" xfId="10511"/>
    <cellStyle name="Comma 2 3 3 12 3 6" xfId="10512"/>
    <cellStyle name="Comma 2 3 3 12 4" xfId="10513"/>
    <cellStyle name="Comma 2 3 3 12 4 2" xfId="10514"/>
    <cellStyle name="Comma 2 3 3 12 4 2 2" xfId="10515"/>
    <cellStyle name="Comma 2 3 3 12 4 3" xfId="10516"/>
    <cellStyle name="Comma 2 3 3 12 4 4" xfId="10517"/>
    <cellStyle name="Comma 2 3 3 12 4 5" xfId="10518"/>
    <cellStyle name="Comma 2 3 3 12 5" xfId="10519"/>
    <cellStyle name="Comma 2 3 3 12 5 2" xfId="10520"/>
    <cellStyle name="Comma 2 3 3 12 5 3" xfId="10521"/>
    <cellStyle name="Comma 2 3 3 12 5 4" xfId="10522"/>
    <cellStyle name="Comma 2 3 3 12 6" xfId="10523"/>
    <cellStyle name="Comma 2 3 3 12 6 2" xfId="10524"/>
    <cellStyle name="Comma 2 3 3 12 7" xfId="10525"/>
    <cellStyle name="Comma 2 3 3 12 8" xfId="10526"/>
    <cellStyle name="Comma 2 3 3 12 9" xfId="10527"/>
    <cellStyle name="Comma 2 3 3 13" xfId="10528"/>
    <cellStyle name="Comma 2 3 3 13 2" xfId="10529"/>
    <cellStyle name="Comma 2 3 3 13 2 2" xfId="10530"/>
    <cellStyle name="Comma 2 3 3 13 2 2 2" xfId="10531"/>
    <cellStyle name="Comma 2 3 3 13 2 2 3" xfId="10532"/>
    <cellStyle name="Comma 2 3 3 13 2 3" xfId="10533"/>
    <cellStyle name="Comma 2 3 3 13 2 4" xfId="10534"/>
    <cellStyle name="Comma 2 3 3 13 2 5" xfId="10535"/>
    <cellStyle name="Comma 2 3 3 13 2 6" xfId="10536"/>
    <cellStyle name="Comma 2 3 3 13 3" xfId="10537"/>
    <cellStyle name="Comma 2 3 3 13 3 2" xfId="10538"/>
    <cellStyle name="Comma 2 3 3 13 3 2 2" xfId="10539"/>
    <cellStyle name="Comma 2 3 3 13 3 3" xfId="10540"/>
    <cellStyle name="Comma 2 3 3 13 3 4" xfId="10541"/>
    <cellStyle name="Comma 2 3 3 13 3 5" xfId="10542"/>
    <cellStyle name="Comma 2 3 3 13 4" xfId="10543"/>
    <cellStyle name="Comma 2 3 3 13 4 2" xfId="10544"/>
    <cellStyle name="Comma 2 3 3 13 4 3" xfId="10545"/>
    <cellStyle name="Comma 2 3 3 13 4 4" xfId="10546"/>
    <cellStyle name="Comma 2 3 3 13 5" xfId="10547"/>
    <cellStyle name="Comma 2 3 3 13 5 2" xfId="10548"/>
    <cellStyle name="Comma 2 3 3 13 6" xfId="10549"/>
    <cellStyle name="Comma 2 3 3 13 7" xfId="10550"/>
    <cellStyle name="Comma 2 3 3 13 8" xfId="10551"/>
    <cellStyle name="Comma 2 3 3 13 9" xfId="10552"/>
    <cellStyle name="Comma 2 3 3 14" xfId="10553"/>
    <cellStyle name="Comma 2 3 3 14 2" xfId="10554"/>
    <cellStyle name="Comma 2 3 3 14 2 2" xfId="10555"/>
    <cellStyle name="Comma 2 3 3 14 2 2 2" xfId="10556"/>
    <cellStyle name="Comma 2 3 3 14 2 2 3" xfId="10557"/>
    <cellStyle name="Comma 2 3 3 14 2 3" xfId="10558"/>
    <cellStyle name="Comma 2 3 3 14 2 4" xfId="10559"/>
    <cellStyle name="Comma 2 3 3 14 2 5" xfId="10560"/>
    <cellStyle name="Comma 2 3 3 14 2 6" xfId="10561"/>
    <cellStyle name="Comma 2 3 3 14 3" xfId="10562"/>
    <cellStyle name="Comma 2 3 3 14 3 2" xfId="10563"/>
    <cellStyle name="Comma 2 3 3 14 3 2 2" xfId="10564"/>
    <cellStyle name="Comma 2 3 3 14 3 3" xfId="10565"/>
    <cellStyle name="Comma 2 3 3 14 3 4" xfId="10566"/>
    <cellStyle name="Comma 2 3 3 14 3 5" xfId="10567"/>
    <cellStyle name="Comma 2 3 3 14 4" xfId="10568"/>
    <cellStyle name="Comma 2 3 3 14 4 2" xfId="10569"/>
    <cellStyle name="Comma 2 3 3 14 4 3" xfId="10570"/>
    <cellStyle name="Comma 2 3 3 14 4 4" xfId="10571"/>
    <cellStyle name="Comma 2 3 3 14 5" xfId="10572"/>
    <cellStyle name="Comma 2 3 3 14 5 2" xfId="10573"/>
    <cellStyle name="Comma 2 3 3 14 6" xfId="10574"/>
    <cellStyle name="Comma 2 3 3 14 7" xfId="10575"/>
    <cellStyle name="Comma 2 3 3 14 8" xfId="10576"/>
    <cellStyle name="Comma 2 3 3 14 9" xfId="10577"/>
    <cellStyle name="Comma 2 3 3 15" xfId="10578"/>
    <cellStyle name="Comma 2 3 3 15 2" xfId="10579"/>
    <cellStyle name="Comma 2 3 3 15 2 2" xfId="10580"/>
    <cellStyle name="Comma 2 3 3 15 2 3" xfId="10581"/>
    <cellStyle name="Comma 2 3 3 15 3" xfId="10582"/>
    <cellStyle name="Comma 2 3 3 15 4" xfId="10583"/>
    <cellStyle name="Comma 2 3 3 15 5" xfId="10584"/>
    <cellStyle name="Comma 2 3 3 15 6" xfId="10585"/>
    <cellStyle name="Comma 2 3 3 16" xfId="10586"/>
    <cellStyle name="Comma 2 3 3 16 2" xfId="10587"/>
    <cellStyle name="Comma 2 3 3 16 2 2" xfId="10588"/>
    <cellStyle name="Comma 2 3 3 16 3" xfId="10589"/>
    <cellStyle name="Comma 2 3 3 16 4" xfId="10590"/>
    <cellStyle name="Comma 2 3 3 16 5" xfId="10591"/>
    <cellStyle name="Comma 2 3 3 17" xfId="10592"/>
    <cellStyle name="Comma 2 3 3 17 2" xfId="10593"/>
    <cellStyle name="Comma 2 3 3 17 2 2" xfId="10594"/>
    <cellStyle name="Comma 2 3 3 17 3" xfId="10595"/>
    <cellStyle name="Comma 2 3 3 17 4" xfId="10596"/>
    <cellStyle name="Comma 2 3 3 17 5" xfId="10597"/>
    <cellStyle name="Comma 2 3 3 18" xfId="10598"/>
    <cellStyle name="Comma 2 3 3 18 2" xfId="10599"/>
    <cellStyle name="Comma 2 3 3 19" xfId="10600"/>
    <cellStyle name="Comma 2 3 3 2" xfId="10601"/>
    <cellStyle name="Comma 2 3 3 2 10" xfId="10602"/>
    <cellStyle name="Comma 2 3 3 2 11" xfId="10603"/>
    <cellStyle name="Comma 2 3 3 2 2" xfId="10604"/>
    <cellStyle name="Comma 2 3 3 2 2 2" xfId="10605"/>
    <cellStyle name="Comma 2 3 3 2 2 2 2" xfId="10606"/>
    <cellStyle name="Comma 2 3 3 2 2 2 2 2" xfId="10607"/>
    <cellStyle name="Comma 2 3 3 2 2 2 2 3" xfId="10608"/>
    <cellStyle name="Comma 2 3 3 2 2 2 3" xfId="10609"/>
    <cellStyle name="Comma 2 3 3 2 2 2 4" xfId="10610"/>
    <cellStyle name="Comma 2 3 3 2 2 2 5" xfId="10611"/>
    <cellStyle name="Comma 2 3 3 2 2 2 6" xfId="10612"/>
    <cellStyle name="Comma 2 3 3 2 2 3" xfId="10613"/>
    <cellStyle name="Comma 2 3 3 2 2 3 2" xfId="10614"/>
    <cellStyle name="Comma 2 3 3 2 2 3 2 2" xfId="10615"/>
    <cellStyle name="Comma 2 3 3 2 2 3 3" xfId="10616"/>
    <cellStyle name="Comma 2 3 3 2 2 3 4" xfId="10617"/>
    <cellStyle name="Comma 2 3 3 2 2 3 5" xfId="10618"/>
    <cellStyle name="Comma 2 3 3 2 2 4" xfId="10619"/>
    <cellStyle name="Comma 2 3 3 2 2 4 2" xfId="10620"/>
    <cellStyle name="Comma 2 3 3 2 2 4 3" xfId="10621"/>
    <cellStyle name="Comma 2 3 3 2 2 4 4" xfId="10622"/>
    <cellStyle name="Comma 2 3 3 2 2 5" xfId="10623"/>
    <cellStyle name="Comma 2 3 3 2 2 5 2" xfId="10624"/>
    <cellStyle name="Comma 2 3 3 2 2 6" xfId="10625"/>
    <cellStyle name="Comma 2 3 3 2 2 7" xfId="10626"/>
    <cellStyle name="Comma 2 3 3 2 2 8" xfId="10627"/>
    <cellStyle name="Comma 2 3 3 2 2 9" xfId="10628"/>
    <cellStyle name="Comma 2 3 3 2 3" xfId="10629"/>
    <cellStyle name="Comma 2 3 3 2 3 2" xfId="10630"/>
    <cellStyle name="Comma 2 3 3 2 3 2 2" xfId="10631"/>
    <cellStyle name="Comma 2 3 3 2 3 2 2 2" xfId="10632"/>
    <cellStyle name="Comma 2 3 3 2 3 2 2 3" xfId="10633"/>
    <cellStyle name="Comma 2 3 3 2 3 2 3" xfId="10634"/>
    <cellStyle name="Comma 2 3 3 2 3 2 4" xfId="10635"/>
    <cellStyle name="Comma 2 3 3 2 3 2 5" xfId="10636"/>
    <cellStyle name="Comma 2 3 3 2 3 2 6" xfId="10637"/>
    <cellStyle name="Comma 2 3 3 2 3 3" xfId="10638"/>
    <cellStyle name="Comma 2 3 3 2 3 3 2" xfId="10639"/>
    <cellStyle name="Comma 2 3 3 2 3 3 2 2" xfId="10640"/>
    <cellStyle name="Comma 2 3 3 2 3 3 3" xfId="10641"/>
    <cellStyle name="Comma 2 3 3 2 3 3 4" xfId="10642"/>
    <cellStyle name="Comma 2 3 3 2 3 3 5" xfId="10643"/>
    <cellStyle name="Comma 2 3 3 2 3 4" xfId="10644"/>
    <cellStyle name="Comma 2 3 3 2 3 4 2" xfId="10645"/>
    <cellStyle name="Comma 2 3 3 2 3 4 3" xfId="10646"/>
    <cellStyle name="Comma 2 3 3 2 3 4 4" xfId="10647"/>
    <cellStyle name="Comma 2 3 3 2 3 5" xfId="10648"/>
    <cellStyle name="Comma 2 3 3 2 3 5 2" xfId="10649"/>
    <cellStyle name="Comma 2 3 3 2 3 6" xfId="10650"/>
    <cellStyle name="Comma 2 3 3 2 3 7" xfId="10651"/>
    <cellStyle name="Comma 2 3 3 2 3 8" xfId="10652"/>
    <cellStyle name="Comma 2 3 3 2 3 9" xfId="10653"/>
    <cellStyle name="Comma 2 3 3 2 4" xfId="10654"/>
    <cellStyle name="Comma 2 3 3 2 4 2" xfId="10655"/>
    <cellStyle name="Comma 2 3 3 2 4 2 2" xfId="10656"/>
    <cellStyle name="Comma 2 3 3 2 4 2 3" xfId="10657"/>
    <cellStyle name="Comma 2 3 3 2 4 3" xfId="10658"/>
    <cellStyle name="Comma 2 3 3 2 4 4" xfId="10659"/>
    <cellStyle name="Comma 2 3 3 2 4 5" xfId="10660"/>
    <cellStyle name="Comma 2 3 3 2 4 6" xfId="10661"/>
    <cellStyle name="Comma 2 3 3 2 5" xfId="10662"/>
    <cellStyle name="Comma 2 3 3 2 5 2" xfId="10663"/>
    <cellStyle name="Comma 2 3 3 2 5 2 2" xfId="10664"/>
    <cellStyle name="Comma 2 3 3 2 5 3" xfId="10665"/>
    <cellStyle name="Comma 2 3 3 2 5 4" xfId="10666"/>
    <cellStyle name="Comma 2 3 3 2 5 5" xfId="10667"/>
    <cellStyle name="Comma 2 3 3 2 6" xfId="10668"/>
    <cellStyle name="Comma 2 3 3 2 6 2" xfId="10669"/>
    <cellStyle name="Comma 2 3 3 2 6 3" xfId="10670"/>
    <cellStyle name="Comma 2 3 3 2 6 4" xfId="10671"/>
    <cellStyle name="Comma 2 3 3 2 7" xfId="10672"/>
    <cellStyle name="Comma 2 3 3 2 7 2" xfId="10673"/>
    <cellStyle name="Comma 2 3 3 2 8" xfId="10674"/>
    <cellStyle name="Comma 2 3 3 2 9" xfId="10675"/>
    <cellStyle name="Comma 2 3 3 20" xfId="10676"/>
    <cellStyle name="Comma 2 3 3 21" xfId="10677"/>
    <cellStyle name="Comma 2 3 3 22" xfId="10678"/>
    <cellStyle name="Comma 2 3 3 3" xfId="10679"/>
    <cellStyle name="Comma 2 3 3 3 10" xfId="10680"/>
    <cellStyle name="Comma 2 3 3 3 11" xfId="10681"/>
    <cellStyle name="Comma 2 3 3 3 2" xfId="10682"/>
    <cellStyle name="Comma 2 3 3 3 2 2" xfId="10683"/>
    <cellStyle name="Comma 2 3 3 3 2 2 2" xfId="10684"/>
    <cellStyle name="Comma 2 3 3 3 2 2 2 2" xfId="10685"/>
    <cellStyle name="Comma 2 3 3 3 2 2 2 3" xfId="10686"/>
    <cellStyle name="Comma 2 3 3 3 2 2 3" xfId="10687"/>
    <cellStyle name="Comma 2 3 3 3 2 2 4" xfId="10688"/>
    <cellStyle name="Comma 2 3 3 3 2 2 5" xfId="10689"/>
    <cellStyle name="Comma 2 3 3 3 2 2 6" xfId="10690"/>
    <cellStyle name="Comma 2 3 3 3 2 3" xfId="10691"/>
    <cellStyle name="Comma 2 3 3 3 2 3 2" xfId="10692"/>
    <cellStyle name="Comma 2 3 3 3 2 3 2 2" xfId="10693"/>
    <cellStyle name="Comma 2 3 3 3 2 3 3" xfId="10694"/>
    <cellStyle name="Comma 2 3 3 3 2 3 4" xfId="10695"/>
    <cellStyle name="Comma 2 3 3 3 2 3 5" xfId="10696"/>
    <cellStyle name="Comma 2 3 3 3 2 4" xfId="10697"/>
    <cellStyle name="Comma 2 3 3 3 2 4 2" xfId="10698"/>
    <cellStyle name="Comma 2 3 3 3 2 4 3" xfId="10699"/>
    <cellStyle name="Comma 2 3 3 3 2 4 4" xfId="10700"/>
    <cellStyle name="Comma 2 3 3 3 2 5" xfId="10701"/>
    <cellStyle name="Comma 2 3 3 3 2 5 2" xfId="10702"/>
    <cellStyle name="Comma 2 3 3 3 2 6" xfId="10703"/>
    <cellStyle name="Comma 2 3 3 3 2 7" xfId="10704"/>
    <cellStyle name="Comma 2 3 3 3 2 8" xfId="10705"/>
    <cellStyle name="Comma 2 3 3 3 2 9" xfId="10706"/>
    <cellStyle name="Comma 2 3 3 3 3" xfId="10707"/>
    <cellStyle name="Comma 2 3 3 3 3 2" xfId="10708"/>
    <cellStyle name="Comma 2 3 3 3 3 2 2" xfId="10709"/>
    <cellStyle name="Comma 2 3 3 3 3 2 2 2" xfId="10710"/>
    <cellStyle name="Comma 2 3 3 3 3 2 2 3" xfId="10711"/>
    <cellStyle name="Comma 2 3 3 3 3 2 3" xfId="10712"/>
    <cellStyle name="Comma 2 3 3 3 3 2 4" xfId="10713"/>
    <cellStyle name="Comma 2 3 3 3 3 2 5" xfId="10714"/>
    <cellStyle name="Comma 2 3 3 3 3 2 6" xfId="10715"/>
    <cellStyle name="Comma 2 3 3 3 3 3" xfId="10716"/>
    <cellStyle name="Comma 2 3 3 3 3 3 2" xfId="10717"/>
    <cellStyle name="Comma 2 3 3 3 3 3 2 2" xfId="10718"/>
    <cellStyle name="Comma 2 3 3 3 3 3 3" xfId="10719"/>
    <cellStyle name="Comma 2 3 3 3 3 3 4" xfId="10720"/>
    <cellStyle name="Comma 2 3 3 3 3 3 5" xfId="10721"/>
    <cellStyle name="Comma 2 3 3 3 3 4" xfId="10722"/>
    <cellStyle name="Comma 2 3 3 3 3 4 2" xfId="10723"/>
    <cellStyle name="Comma 2 3 3 3 3 4 3" xfId="10724"/>
    <cellStyle name="Comma 2 3 3 3 3 4 4" xfId="10725"/>
    <cellStyle name="Comma 2 3 3 3 3 5" xfId="10726"/>
    <cellStyle name="Comma 2 3 3 3 3 5 2" xfId="10727"/>
    <cellStyle name="Comma 2 3 3 3 3 6" xfId="10728"/>
    <cellStyle name="Comma 2 3 3 3 3 7" xfId="10729"/>
    <cellStyle name="Comma 2 3 3 3 3 8" xfId="10730"/>
    <cellStyle name="Comma 2 3 3 3 3 9" xfId="10731"/>
    <cellStyle name="Comma 2 3 3 3 4" xfId="10732"/>
    <cellStyle name="Comma 2 3 3 3 4 2" xfId="10733"/>
    <cellStyle name="Comma 2 3 3 3 4 2 2" xfId="10734"/>
    <cellStyle name="Comma 2 3 3 3 4 2 3" xfId="10735"/>
    <cellStyle name="Comma 2 3 3 3 4 3" xfId="10736"/>
    <cellStyle name="Comma 2 3 3 3 4 4" xfId="10737"/>
    <cellStyle name="Comma 2 3 3 3 4 5" xfId="10738"/>
    <cellStyle name="Comma 2 3 3 3 4 6" xfId="10739"/>
    <cellStyle name="Comma 2 3 3 3 5" xfId="10740"/>
    <cellStyle name="Comma 2 3 3 3 5 2" xfId="10741"/>
    <cellStyle name="Comma 2 3 3 3 5 2 2" xfId="10742"/>
    <cellStyle name="Comma 2 3 3 3 5 3" xfId="10743"/>
    <cellStyle name="Comma 2 3 3 3 5 4" xfId="10744"/>
    <cellStyle name="Comma 2 3 3 3 5 5" xfId="10745"/>
    <cellStyle name="Comma 2 3 3 3 6" xfId="10746"/>
    <cellStyle name="Comma 2 3 3 3 6 2" xfId="10747"/>
    <cellStyle name="Comma 2 3 3 3 6 3" xfId="10748"/>
    <cellStyle name="Comma 2 3 3 3 6 4" xfId="10749"/>
    <cellStyle name="Comma 2 3 3 3 7" xfId="10750"/>
    <cellStyle name="Comma 2 3 3 3 7 2" xfId="10751"/>
    <cellStyle name="Comma 2 3 3 3 8" xfId="10752"/>
    <cellStyle name="Comma 2 3 3 3 9" xfId="10753"/>
    <cellStyle name="Comma 2 3 3 4" xfId="10754"/>
    <cellStyle name="Comma 2 3 3 4 10" xfId="10755"/>
    <cellStyle name="Comma 2 3 3 4 11" xfId="10756"/>
    <cellStyle name="Comma 2 3 3 4 2" xfId="10757"/>
    <cellStyle name="Comma 2 3 3 4 2 2" xfId="10758"/>
    <cellStyle name="Comma 2 3 3 4 2 2 2" xfId="10759"/>
    <cellStyle name="Comma 2 3 3 4 2 2 2 2" xfId="10760"/>
    <cellStyle name="Comma 2 3 3 4 2 2 2 3" xfId="10761"/>
    <cellStyle name="Comma 2 3 3 4 2 2 3" xfId="10762"/>
    <cellStyle name="Comma 2 3 3 4 2 2 4" xfId="10763"/>
    <cellStyle name="Comma 2 3 3 4 2 2 5" xfId="10764"/>
    <cellStyle name="Comma 2 3 3 4 2 2 6" xfId="10765"/>
    <cellStyle name="Comma 2 3 3 4 2 3" xfId="10766"/>
    <cellStyle name="Comma 2 3 3 4 2 3 2" xfId="10767"/>
    <cellStyle name="Comma 2 3 3 4 2 3 2 2" xfId="10768"/>
    <cellStyle name="Comma 2 3 3 4 2 3 3" xfId="10769"/>
    <cellStyle name="Comma 2 3 3 4 2 3 4" xfId="10770"/>
    <cellStyle name="Comma 2 3 3 4 2 3 5" xfId="10771"/>
    <cellStyle name="Comma 2 3 3 4 2 4" xfId="10772"/>
    <cellStyle name="Comma 2 3 3 4 2 4 2" xfId="10773"/>
    <cellStyle name="Comma 2 3 3 4 2 4 3" xfId="10774"/>
    <cellStyle name="Comma 2 3 3 4 2 4 4" xfId="10775"/>
    <cellStyle name="Comma 2 3 3 4 2 5" xfId="10776"/>
    <cellStyle name="Comma 2 3 3 4 2 5 2" xfId="10777"/>
    <cellStyle name="Comma 2 3 3 4 2 6" xfId="10778"/>
    <cellStyle name="Comma 2 3 3 4 2 7" xfId="10779"/>
    <cellStyle name="Comma 2 3 3 4 2 8" xfId="10780"/>
    <cellStyle name="Comma 2 3 3 4 2 9" xfId="10781"/>
    <cellStyle name="Comma 2 3 3 4 3" xfId="10782"/>
    <cellStyle name="Comma 2 3 3 4 3 2" xfId="10783"/>
    <cellStyle name="Comma 2 3 3 4 3 2 2" xfId="10784"/>
    <cellStyle name="Comma 2 3 3 4 3 2 2 2" xfId="10785"/>
    <cellStyle name="Comma 2 3 3 4 3 2 2 3" xfId="10786"/>
    <cellStyle name="Comma 2 3 3 4 3 2 3" xfId="10787"/>
    <cellStyle name="Comma 2 3 3 4 3 2 4" xfId="10788"/>
    <cellStyle name="Comma 2 3 3 4 3 2 5" xfId="10789"/>
    <cellStyle name="Comma 2 3 3 4 3 2 6" xfId="10790"/>
    <cellStyle name="Comma 2 3 3 4 3 3" xfId="10791"/>
    <cellStyle name="Comma 2 3 3 4 3 3 2" xfId="10792"/>
    <cellStyle name="Comma 2 3 3 4 3 3 2 2" xfId="10793"/>
    <cellStyle name="Comma 2 3 3 4 3 3 3" xfId="10794"/>
    <cellStyle name="Comma 2 3 3 4 3 3 4" xfId="10795"/>
    <cellStyle name="Comma 2 3 3 4 3 3 5" xfId="10796"/>
    <cellStyle name="Comma 2 3 3 4 3 4" xfId="10797"/>
    <cellStyle name="Comma 2 3 3 4 3 4 2" xfId="10798"/>
    <cellStyle name="Comma 2 3 3 4 3 4 3" xfId="10799"/>
    <cellStyle name="Comma 2 3 3 4 3 4 4" xfId="10800"/>
    <cellStyle name="Comma 2 3 3 4 3 5" xfId="10801"/>
    <cellStyle name="Comma 2 3 3 4 3 5 2" xfId="10802"/>
    <cellStyle name="Comma 2 3 3 4 3 6" xfId="10803"/>
    <cellStyle name="Comma 2 3 3 4 3 7" xfId="10804"/>
    <cellStyle name="Comma 2 3 3 4 3 8" xfId="10805"/>
    <cellStyle name="Comma 2 3 3 4 3 9" xfId="10806"/>
    <cellStyle name="Comma 2 3 3 4 4" xfId="10807"/>
    <cellStyle name="Comma 2 3 3 4 4 2" xfId="10808"/>
    <cellStyle name="Comma 2 3 3 4 4 2 2" xfId="10809"/>
    <cellStyle name="Comma 2 3 3 4 4 2 3" xfId="10810"/>
    <cellStyle name="Comma 2 3 3 4 4 3" xfId="10811"/>
    <cellStyle name="Comma 2 3 3 4 4 4" xfId="10812"/>
    <cellStyle name="Comma 2 3 3 4 4 5" xfId="10813"/>
    <cellStyle name="Comma 2 3 3 4 4 6" xfId="10814"/>
    <cellStyle name="Comma 2 3 3 4 5" xfId="10815"/>
    <cellStyle name="Comma 2 3 3 4 5 2" xfId="10816"/>
    <cellStyle name="Comma 2 3 3 4 5 2 2" xfId="10817"/>
    <cellStyle name="Comma 2 3 3 4 5 3" xfId="10818"/>
    <cellStyle name="Comma 2 3 3 4 5 4" xfId="10819"/>
    <cellStyle name="Comma 2 3 3 4 5 5" xfId="10820"/>
    <cellStyle name="Comma 2 3 3 4 6" xfId="10821"/>
    <cellStyle name="Comma 2 3 3 4 6 2" xfId="10822"/>
    <cellStyle name="Comma 2 3 3 4 6 3" xfId="10823"/>
    <cellStyle name="Comma 2 3 3 4 6 4" xfId="10824"/>
    <cellStyle name="Comma 2 3 3 4 7" xfId="10825"/>
    <cellStyle name="Comma 2 3 3 4 7 2" xfId="10826"/>
    <cellStyle name="Comma 2 3 3 4 8" xfId="10827"/>
    <cellStyle name="Comma 2 3 3 4 9" xfId="10828"/>
    <cellStyle name="Comma 2 3 3 5" xfId="10829"/>
    <cellStyle name="Comma 2 3 3 5 10" xfId="10830"/>
    <cellStyle name="Comma 2 3 3 5 11" xfId="10831"/>
    <cellStyle name="Comma 2 3 3 5 2" xfId="10832"/>
    <cellStyle name="Comma 2 3 3 5 2 2" xfId="10833"/>
    <cellStyle name="Comma 2 3 3 5 2 2 2" xfId="10834"/>
    <cellStyle name="Comma 2 3 3 5 2 2 2 2" xfId="10835"/>
    <cellStyle name="Comma 2 3 3 5 2 2 2 3" xfId="10836"/>
    <cellStyle name="Comma 2 3 3 5 2 2 3" xfId="10837"/>
    <cellStyle name="Comma 2 3 3 5 2 2 4" xfId="10838"/>
    <cellStyle name="Comma 2 3 3 5 2 2 5" xfId="10839"/>
    <cellStyle name="Comma 2 3 3 5 2 2 6" xfId="10840"/>
    <cellStyle name="Comma 2 3 3 5 2 3" xfId="10841"/>
    <cellStyle name="Comma 2 3 3 5 2 3 2" xfId="10842"/>
    <cellStyle name="Comma 2 3 3 5 2 3 2 2" xfId="10843"/>
    <cellStyle name="Comma 2 3 3 5 2 3 3" xfId="10844"/>
    <cellStyle name="Comma 2 3 3 5 2 3 4" xfId="10845"/>
    <cellStyle name="Comma 2 3 3 5 2 3 5" xfId="10846"/>
    <cellStyle name="Comma 2 3 3 5 2 4" xfId="10847"/>
    <cellStyle name="Comma 2 3 3 5 2 4 2" xfId="10848"/>
    <cellStyle name="Comma 2 3 3 5 2 4 3" xfId="10849"/>
    <cellStyle name="Comma 2 3 3 5 2 4 4" xfId="10850"/>
    <cellStyle name="Comma 2 3 3 5 2 5" xfId="10851"/>
    <cellStyle name="Comma 2 3 3 5 2 5 2" xfId="10852"/>
    <cellStyle name="Comma 2 3 3 5 2 6" xfId="10853"/>
    <cellStyle name="Comma 2 3 3 5 2 7" xfId="10854"/>
    <cellStyle name="Comma 2 3 3 5 2 8" xfId="10855"/>
    <cellStyle name="Comma 2 3 3 5 2 9" xfId="10856"/>
    <cellStyle name="Comma 2 3 3 5 3" xfId="10857"/>
    <cellStyle name="Comma 2 3 3 5 3 2" xfId="10858"/>
    <cellStyle name="Comma 2 3 3 5 3 2 2" xfId="10859"/>
    <cellStyle name="Comma 2 3 3 5 3 2 2 2" xfId="10860"/>
    <cellStyle name="Comma 2 3 3 5 3 2 2 3" xfId="10861"/>
    <cellStyle name="Comma 2 3 3 5 3 2 3" xfId="10862"/>
    <cellStyle name="Comma 2 3 3 5 3 2 4" xfId="10863"/>
    <cellStyle name="Comma 2 3 3 5 3 2 5" xfId="10864"/>
    <cellStyle name="Comma 2 3 3 5 3 2 6" xfId="10865"/>
    <cellStyle name="Comma 2 3 3 5 3 3" xfId="10866"/>
    <cellStyle name="Comma 2 3 3 5 3 3 2" xfId="10867"/>
    <cellStyle name="Comma 2 3 3 5 3 3 2 2" xfId="10868"/>
    <cellStyle name="Comma 2 3 3 5 3 3 3" xfId="10869"/>
    <cellStyle name="Comma 2 3 3 5 3 3 4" xfId="10870"/>
    <cellStyle name="Comma 2 3 3 5 3 3 5" xfId="10871"/>
    <cellStyle name="Comma 2 3 3 5 3 4" xfId="10872"/>
    <cellStyle name="Comma 2 3 3 5 3 4 2" xfId="10873"/>
    <cellStyle name="Comma 2 3 3 5 3 4 3" xfId="10874"/>
    <cellStyle name="Comma 2 3 3 5 3 4 4" xfId="10875"/>
    <cellStyle name="Comma 2 3 3 5 3 5" xfId="10876"/>
    <cellStyle name="Comma 2 3 3 5 3 5 2" xfId="10877"/>
    <cellStyle name="Comma 2 3 3 5 3 6" xfId="10878"/>
    <cellStyle name="Comma 2 3 3 5 3 7" xfId="10879"/>
    <cellStyle name="Comma 2 3 3 5 3 8" xfId="10880"/>
    <cellStyle name="Comma 2 3 3 5 3 9" xfId="10881"/>
    <cellStyle name="Comma 2 3 3 5 4" xfId="10882"/>
    <cellStyle name="Comma 2 3 3 5 4 2" xfId="10883"/>
    <cellStyle name="Comma 2 3 3 5 4 2 2" xfId="10884"/>
    <cellStyle name="Comma 2 3 3 5 4 2 3" xfId="10885"/>
    <cellStyle name="Comma 2 3 3 5 4 3" xfId="10886"/>
    <cellStyle name="Comma 2 3 3 5 4 4" xfId="10887"/>
    <cellStyle name="Comma 2 3 3 5 4 5" xfId="10888"/>
    <cellStyle name="Comma 2 3 3 5 4 6" xfId="10889"/>
    <cellStyle name="Comma 2 3 3 5 5" xfId="10890"/>
    <cellStyle name="Comma 2 3 3 5 5 2" xfId="10891"/>
    <cellStyle name="Comma 2 3 3 5 5 2 2" xfId="10892"/>
    <cellStyle name="Comma 2 3 3 5 5 3" xfId="10893"/>
    <cellStyle name="Comma 2 3 3 5 5 4" xfId="10894"/>
    <cellStyle name="Comma 2 3 3 5 5 5" xfId="10895"/>
    <cellStyle name="Comma 2 3 3 5 6" xfId="10896"/>
    <cellStyle name="Comma 2 3 3 5 6 2" xfId="10897"/>
    <cellStyle name="Comma 2 3 3 5 6 3" xfId="10898"/>
    <cellStyle name="Comma 2 3 3 5 6 4" xfId="10899"/>
    <cellStyle name="Comma 2 3 3 5 7" xfId="10900"/>
    <cellStyle name="Comma 2 3 3 5 7 2" xfId="10901"/>
    <cellStyle name="Comma 2 3 3 5 8" xfId="10902"/>
    <cellStyle name="Comma 2 3 3 5 9" xfId="10903"/>
    <cellStyle name="Comma 2 3 3 6" xfId="10904"/>
    <cellStyle name="Comma 2 3 3 6 10" xfId="10905"/>
    <cellStyle name="Comma 2 3 3 6 11" xfId="10906"/>
    <cellStyle name="Comma 2 3 3 6 2" xfId="10907"/>
    <cellStyle name="Comma 2 3 3 6 2 2" xfId="10908"/>
    <cellStyle name="Comma 2 3 3 6 2 2 2" xfId="10909"/>
    <cellStyle name="Comma 2 3 3 6 2 2 2 2" xfId="10910"/>
    <cellStyle name="Comma 2 3 3 6 2 2 2 3" xfId="10911"/>
    <cellStyle name="Comma 2 3 3 6 2 2 3" xfId="10912"/>
    <cellStyle name="Comma 2 3 3 6 2 2 4" xfId="10913"/>
    <cellStyle name="Comma 2 3 3 6 2 2 5" xfId="10914"/>
    <cellStyle name="Comma 2 3 3 6 2 2 6" xfId="10915"/>
    <cellStyle name="Comma 2 3 3 6 2 3" xfId="10916"/>
    <cellStyle name="Comma 2 3 3 6 2 3 2" xfId="10917"/>
    <cellStyle name="Comma 2 3 3 6 2 3 2 2" xfId="10918"/>
    <cellStyle name="Comma 2 3 3 6 2 3 3" xfId="10919"/>
    <cellStyle name="Comma 2 3 3 6 2 3 4" xfId="10920"/>
    <cellStyle name="Comma 2 3 3 6 2 3 5" xfId="10921"/>
    <cellStyle name="Comma 2 3 3 6 2 4" xfId="10922"/>
    <cellStyle name="Comma 2 3 3 6 2 4 2" xfId="10923"/>
    <cellStyle name="Comma 2 3 3 6 2 4 3" xfId="10924"/>
    <cellStyle name="Comma 2 3 3 6 2 4 4" xfId="10925"/>
    <cellStyle name="Comma 2 3 3 6 2 5" xfId="10926"/>
    <cellStyle name="Comma 2 3 3 6 2 5 2" xfId="10927"/>
    <cellStyle name="Comma 2 3 3 6 2 6" xfId="10928"/>
    <cellStyle name="Comma 2 3 3 6 2 7" xfId="10929"/>
    <cellStyle name="Comma 2 3 3 6 2 8" xfId="10930"/>
    <cellStyle name="Comma 2 3 3 6 2 9" xfId="10931"/>
    <cellStyle name="Comma 2 3 3 6 3" xfId="10932"/>
    <cellStyle name="Comma 2 3 3 6 3 2" xfId="10933"/>
    <cellStyle name="Comma 2 3 3 6 3 2 2" xfId="10934"/>
    <cellStyle name="Comma 2 3 3 6 3 2 2 2" xfId="10935"/>
    <cellStyle name="Comma 2 3 3 6 3 2 2 3" xfId="10936"/>
    <cellStyle name="Comma 2 3 3 6 3 2 3" xfId="10937"/>
    <cellStyle name="Comma 2 3 3 6 3 2 4" xfId="10938"/>
    <cellStyle name="Comma 2 3 3 6 3 2 5" xfId="10939"/>
    <cellStyle name="Comma 2 3 3 6 3 2 6" xfId="10940"/>
    <cellStyle name="Comma 2 3 3 6 3 3" xfId="10941"/>
    <cellStyle name="Comma 2 3 3 6 3 3 2" xfId="10942"/>
    <cellStyle name="Comma 2 3 3 6 3 3 2 2" xfId="10943"/>
    <cellStyle name="Comma 2 3 3 6 3 3 3" xfId="10944"/>
    <cellStyle name="Comma 2 3 3 6 3 3 4" xfId="10945"/>
    <cellStyle name="Comma 2 3 3 6 3 3 5" xfId="10946"/>
    <cellStyle name="Comma 2 3 3 6 3 4" xfId="10947"/>
    <cellStyle name="Comma 2 3 3 6 3 4 2" xfId="10948"/>
    <cellStyle name="Comma 2 3 3 6 3 4 3" xfId="10949"/>
    <cellStyle name="Comma 2 3 3 6 3 4 4" xfId="10950"/>
    <cellStyle name="Comma 2 3 3 6 3 5" xfId="10951"/>
    <cellStyle name="Comma 2 3 3 6 3 5 2" xfId="10952"/>
    <cellStyle name="Comma 2 3 3 6 3 6" xfId="10953"/>
    <cellStyle name="Comma 2 3 3 6 3 7" xfId="10954"/>
    <cellStyle name="Comma 2 3 3 6 3 8" xfId="10955"/>
    <cellStyle name="Comma 2 3 3 6 3 9" xfId="10956"/>
    <cellStyle name="Comma 2 3 3 6 4" xfId="10957"/>
    <cellStyle name="Comma 2 3 3 6 4 2" xfId="10958"/>
    <cellStyle name="Comma 2 3 3 6 4 2 2" xfId="10959"/>
    <cellStyle name="Comma 2 3 3 6 4 2 3" xfId="10960"/>
    <cellStyle name="Comma 2 3 3 6 4 3" xfId="10961"/>
    <cellStyle name="Comma 2 3 3 6 4 4" xfId="10962"/>
    <cellStyle name="Comma 2 3 3 6 4 5" xfId="10963"/>
    <cellStyle name="Comma 2 3 3 6 4 6" xfId="10964"/>
    <cellStyle name="Comma 2 3 3 6 5" xfId="10965"/>
    <cellStyle name="Comma 2 3 3 6 5 2" xfId="10966"/>
    <cellStyle name="Comma 2 3 3 6 5 2 2" xfId="10967"/>
    <cellStyle name="Comma 2 3 3 6 5 3" xfId="10968"/>
    <cellStyle name="Comma 2 3 3 6 5 4" xfId="10969"/>
    <cellStyle name="Comma 2 3 3 6 5 5" xfId="10970"/>
    <cellStyle name="Comma 2 3 3 6 6" xfId="10971"/>
    <cellStyle name="Comma 2 3 3 6 6 2" xfId="10972"/>
    <cellStyle name="Comma 2 3 3 6 6 3" xfId="10973"/>
    <cellStyle name="Comma 2 3 3 6 6 4" xfId="10974"/>
    <cellStyle name="Comma 2 3 3 6 7" xfId="10975"/>
    <cellStyle name="Comma 2 3 3 6 7 2" xfId="10976"/>
    <cellStyle name="Comma 2 3 3 6 8" xfId="10977"/>
    <cellStyle name="Comma 2 3 3 6 9" xfId="10978"/>
    <cellStyle name="Comma 2 3 3 7" xfId="10979"/>
    <cellStyle name="Comma 2 3 3 7 10" xfId="10980"/>
    <cellStyle name="Comma 2 3 3 7 11" xfId="10981"/>
    <cellStyle name="Comma 2 3 3 7 2" xfId="10982"/>
    <cellStyle name="Comma 2 3 3 7 2 2" xfId="10983"/>
    <cellStyle name="Comma 2 3 3 7 2 2 2" xfId="10984"/>
    <cellStyle name="Comma 2 3 3 7 2 2 2 2" xfId="10985"/>
    <cellStyle name="Comma 2 3 3 7 2 2 2 3" xfId="10986"/>
    <cellStyle name="Comma 2 3 3 7 2 2 3" xfId="10987"/>
    <cellStyle name="Comma 2 3 3 7 2 2 4" xfId="10988"/>
    <cellStyle name="Comma 2 3 3 7 2 2 5" xfId="10989"/>
    <cellStyle name="Comma 2 3 3 7 2 2 6" xfId="10990"/>
    <cellStyle name="Comma 2 3 3 7 2 3" xfId="10991"/>
    <cellStyle name="Comma 2 3 3 7 2 3 2" xfId="10992"/>
    <cellStyle name="Comma 2 3 3 7 2 3 2 2" xfId="10993"/>
    <cellStyle name="Comma 2 3 3 7 2 3 3" xfId="10994"/>
    <cellStyle name="Comma 2 3 3 7 2 3 4" xfId="10995"/>
    <cellStyle name="Comma 2 3 3 7 2 3 5" xfId="10996"/>
    <cellStyle name="Comma 2 3 3 7 2 4" xfId="10997"/>
    <cellStyle name="Comma 2 3 3 7 2 4 2" xfId="10998"/>
    <cellStyle name="Comma 2 3 3 7 2 4 3" xfId="10999"/>
    <cellStyle name="Comma 2 3 3 7 2 4 4" xfId="11000"/>
    <cellStyle name="Comma 2 3 3 7 2 5" xfId="11001"/>
    <cellStyle name="Comma 2 3 3 7 2 5 2" xfId="11002"/>
    <cellStyle name="Comma 2 3 3 7 2 6" xfId="11003"/>
    <cellStyle name="Comma 2 3 3 7 2 7" xfId="11004"/>
    <cellStyle name="Comma 2 3 3 7 2 8" xfId="11005"/>
    <cellStyle name="Comma 2 3 3 7 2 9" xfId="11006"/>
    <cellStyle name="Comma 2 3 3 7 3" xfId="11007"/>
    <cellStyle name="Comma 2 3 3 7 3 2" xfId="11008"/>
    <cellStyle name="Comma 2 3 3 7 3 2 2" xfId="11009"/>
    <cellStyle name="Comma 2 3 3 7 3 2 2 2" xfId="11010"/>
    <cellStyle name="Comma 2 3 3 7 3 2 2 3" xfId="11011"/>
    <cellStyle name="Comma 2 3 3 7 3 2 3" xfId="11012"/>
    <cellStyle name="Comma 2 3 3 7 3 2 4" xfId="11013"/>
    <cellStyle name="Comma 2 3 3 7 3 2 5" xfId="11014"/>
    <cellStyle name="Comma 2 3 3 7 3 2 6" xfId="11015"/>
    <cellStyle name="Comma 2 3 3 7 3 3" xfId="11016"/>
    <cellStyle name="Comma 2 3 3 7 3 3 2" xfId="11017"/>
    <cellStyle name="Comma 2 3 3 7 3 3 2 2" xfId="11018"/>
    <cellStyle name="Comma 2 3 3 7 3 3 3" xfId="11019"/>
    <cellStyle name="Comma 2 3 3 7 3 3 4" xfId="11020"/>
    <cellStyle name="Comma 2 3 3 7 3 3 5" xfId="11021"/>
    <cellStyle name="Comma 2 3 3 7 3 4" xfId="11022"/>
    <cellStyle name="Comma 2 3 3 7 3 4 2" xfId="11023"/>
    <cellStyle name="Comma 2 3 3 7 3 4 3" xfId="11024"/>
    <cellStyle name="Comma 2 3 3 7 3 4 4" xfId="11025"/>
    <cellStyle name="Comma 2 3 3 7 3 5" xfId="11026"/>
    <cellStyle name="Comma 2 3 3 7 3 5 2" xfId="11027"/>
    <cellStyle name="Comma 2 3 3 7 3 6" xfId="11028"/>
    <cellStyle name="Comma 2 3 3 7 3 7" xfId="11029"/>
    <cellStyle name="Comma 2 3 3 7 3 8" xfId="11030"/>
    <cellStyle name="Comma 2 3 3 7 3 9" xfId="11031"/>
    <cellStyle name="Comma 2 3 3 7 4" xfId="11032"/>
    <cellStyle name="Comma 2 3 3 7 4 2" xfId="11033"/>
    <cellStyle name="Comma 2 3 3 7 4 2 2" xfId="11034"/>
    <cellStyle name="Comma 2 3 3 7 4 2 3" xfId="11035"/>
    <cellStyle name="Comma 2 3 3 7 4 3" xfId="11036"/>
    <cellStyle name="Comma 2 3 3 7 4 4" xfId="11037"/>
    <cellStyle name="Comma 2 3 3 7 4 5" xfId="11038"/>
    <cellStyle name="Comma 2 3 3 7 4 6" xfId="11039"/>
    <cellStyle name="Comma 2 3 3 7 5" xfId="11040"/>
    <cellStyle name="Comma 2 3 3 7 5 2" xfId="11041"/>
    <cellStyle name="Comma 2 3 3 7 5 2 2" xfId="11042"/>
    <cellStyle name="Comma 2 3 3 7 5 3" xfId="11043"/>
    <cellStyle name="Comma 2 3 3 7 5 4" xfId="11044"/>
    <cellStyle name="Comma 2 3 3 7 5 5" xfId="11045"/>
    <cellStyle name="Comma 2 3 3 7 6" xfId="11046"/>
    <cellStyle name="Comma 2 3 3 7 6 2" xfId="11047"/>
    <cellStyle name="Comma 2 3 3 7 6 3" xfId="11048"/>
    <cellStyle name="Comma 2 3 3 7 6 4" xfId="11049"/>
    <cellStyle name="Comma 2 3 3 7 7" xfId="11050"/>
    <cellStyle name="Comma 2 3 3 7 7 2" xfId="11051"/>
    <cellStyle name="Comma 2 3 3 7 8" xfId="11052"/>
    <cellStyle name="Comma 2 3 3 7 9" xfId="11053"/>
    <cellStyle name="Comma 2 3 3 8" xfId="11054"/>
    <cellStyle name="Comma 2 3 3 8 10" xfId="11055"/>
    <cellStyle name="Comma 2 3 3 8 2" xfId="11056"/>
    <cellStyle name="Comma 2 3 3 8 2 2" xfId="11057"/>
    <cellStyle name="Comma 2 3 3 8 2 2 2" xfId="11058"/>
    <cellStyle name="Comma 2 3 3 8 2 2 3" xfId="11059"/>
    <cellStyle name="Comma 2 3 3 8 2 3" xfId="11060"/>
    <cellStyle name="Comma 2 3 3 8 2 4" xfId="11061"/>
    <cellStyle name="Comma 2 3 3 8 2 5" xfId="11062"/>
    <cellStyle name="Comma 2 3 3 8 2 6" xfId="11063"/>
    <cellStyle name="Comma 2 3 3 8 3" xfId="11064"/>
    <cellStyle name="Comma 2 3 3 8 3 2" xfId="11065"/>
    <cellStyle name="Comma 2 3 3 8 3 2 2" xfId="11066"/>
    <cellStyle name="Comma 2 3 3 8 3 2 3" xfId="11067"/>
    <cellStyle name="Comma 2 3 3 8 3 3" xfId="11068"/>
    <cellStyle name="Comma 2 3 3 8 3 4" xfId="11069"/>
    <cellStyle name="Comma 2 3 3 8 3 5" xfId="11070"/>
    <cellStyle name="Comma 2 3 3 8 3 6" xfId="11071"/>
    <cellStyle name="Comma 2 3 3 8 4" xfId="11072"/>
    <cellStyle name="Comma 2 3 3 8 4 2" xfId="11073"/>
    <cellStyle name="Comma 2 3 3 8 4 2 2" xfId="11074"/>
    <cellStyle name="Comma 2 3 3 8 4 3" xfId="11075"/>
    <cellStyle name="Comma 2 3 3 8 4 4" xfId="11076"/>
    <cellStyle name="Comma 2 3 3 8 4 5" xfId="11077"/>
    <cellStyle name="Comma 2 3 3 8 5" xfId="11078"/>
    <cellStyle name="Comma 2 3 3 8 5 2" xfId="11079"/>
    <cellStyle name="Comma 2 3 3 8 5 3" xfId="11080"/>
    <cellStyle name="Comma 2 3 3 8 5 4" xfId="11081"/>
    <cellStyle name="Comma 2 3 3 8 6" xfId="11082"/>
    <cellStyle name="Comma 2 3 3 8 6 2" xfId="11083"/>
    <cellStyle name="Comma 2 3 3 8 7" xfId="11084"/>
    <cellStyle name="Comma 2 3 3 8 8" xfId="11085"/>
    <cellStyle name="Comma 2 3 3 8 9" xfId="11086"/>
    <cellStyle name="Comma 2 3 3 9" xfId="11087"/>
    <cellStyle name="Comma 2 3 3 9 10" xfId="11088"/>
    <cellStyle name="Comma 2 3 3 9 2" xfId="11089"/>
    <cellStyle name="Comma 2 3 3 9 2 2" xfId="11090"/>
    <cellStyle name="Comma 2 3 3 9 2 2 2" xfId="11091"/>
    <cellStyle name="Comma 2 3 3 9 2 2 3" xfId="11092"/>
    <cellStyle name="Comma 2 3 3 9 2 3" xfId="11093"/>
    <cellStyle name="Comma 2 3 3 9 2 4" xfId="11094"/>
    <cellStyle name="Comma 2 3 3 9 2 5" xfId="11095"/>
    <cellStyle name="Comma 2 3 3 9 2 6" xfId="11096"/>
    <cellStyle name="Comma 2 3 3 9 3" xfId="11097"/>
    <cellStyle name="Comma 2 3 3 9 3 2" xfId="11098"/>
    <cellStyle name="Comma 2 3 3 9 3 2 2" xfId="11099"/>
    <cellStyle name="Comma 2 3 3 9 3 2 3" xfId="11100"/>
    <cellStyle name="Comma 2 3 3 9 3 3" xfId="11101"/>
    <cellStyle name="Comma 2 3 3 9 3 4" xfId="11102"/>
    <cellStyle name="Comma 2 3 3 9 3 5" xfId="11103"/>
    <cellStyle name="Comma 2 3 3 9 3 6" xfId="11104"/>
    <cellStyle name="Comma 2 3 3 9 4" xfId="11105"/>
    <cellStyle name="Comma 2 3 3 9 4 2" xfId="11106"/>
    <cellStyle name="Comma 2 3 3 9 4 2 2" xfId="11107"/>
    <cellStyle name="Comma 2 3 3 9 4 3" xfId="11108"/>
    <cellStyle name="Comma 2 3 3 9 4 4" xfId="11109"/>
    <cellStyle name="Comma 2 3 3 9 4 5" xfId="11110"/>
    <cellStyle name="Comma 2 3 3 9 5" xfId="11111"/>
    <cellStyle name="Comma 2 3 3 9 5 2" xfId="11112"/>
    <cellStyle name="Comma 2 3 3 9 5 3" xfId="11113"/>
    <cellStyle name="Comma 2 3 3 9 5 4" xfId="11114"/>
    <cellStyle name="Comma 2 3 3 9 6" xfId="11115"/>
    <cellStyle name="Comma 2 3 3 9 6 2" xfId="11116"/>
    <cellStyle name="Comma 2 3 3 9 7" xfId="11117"/>
    <cellStyle name="Comma 2 3 3 9 8" xfId="11118"/>
    <cellStyle name="Comma 2 3 3 9 9" xfId="11119"/>
    <cellStyle name="Comma 2 3 30" xfId="11120"/>
    <cellStyle name="Comma 2 3 30 2" xfId="11121"/>
    <cellStyle name="Comma 2 3 30 2 2" xfId="11122"/>
    <cellStyle name="Comma 2 3 30 2 2 2" xfId="11123"/>
    <cellStyle name="Comma 2 3 30 2 2 3" xfId="11124"/>
    <cellStyle name="Comma 2 3 30 2 3" xfId="11125"/>
    <cellStyle name="Comma 2 3 30 2 4" xfId="11126"/>
    <cellStyle name="Comma 2 3 30 2 5" xfId="11127"/>
    <cellStyle name="Comma 2 3 30 2 6" xfId="11128"/>
    <cellStyle name="Comma 2 3 30 3" xfId="11129"/>
    <cellStyle name="Comma 2 3 30 3 2" xfId="11130"/>
    <cellStyle name="Comma 2 3 30 3 2 2" xfId="11131"/>
    <cellStyle name="Comma 2 3 30 3 3" xfId="11132"/>
    <cellStyle name="Comma 2 3 30 3 4" xfId="11133"/>
    <cellStyle name="Comma 2 3 30 3 5" xfId="11134"/>
    <cellStyle name="Comma 2 3 30 4" xfId="11135"/>
    <cellStyle name="Comma 2 3 30 4 2" xfId="11136"/>
    <cellStyle name="Comma 2 3 30 4 3" xfId="11137"/>
    <cellStyle name="Comma 2 3 30 4 4" xfId="11138"/>
    <cellStyle name="Comma 2 3 30 5" xfId="11139"/>
    <cellStyle name="Comma 2 3 30 5 2" xfId="11140"/>
    <cellStyle name="Comma 2 3 30 6" xfId="11141"/>
    <cellStyle name="Comma 2 3 30 7" xfId="11142"/>
    <cellStyle name="Comma 2 3 30 8" xfId="11143"/>
    <cellStyle name="Comma 2 3 30 9" xfId="11144"/>
    <cellStyle name="Comma 2 3 31" xfId="11145"/>
    <cellStyle name="Comma 2 3 31 2" xfId="11146"/>
    <cellStyle name="Comma 2 3 31 2 2" xfId="11147"/>
    <cellStyle name="Comma 2 3 31 2 3" xfId="11148"/>
    <cellStyle name="Comma 2 3 31 3" xfId="11149"/>
    <cellStyle name="Comma 2 3 31 4" xfId="11150"/>
    <cellStyle name="Comma 2 3 31 5" xfId="11151"/>
    <cellStyle name="Comma 2 3 31 6" xfId="11152"/>
    <cellStyle name="Comma 2 3 32" xfId="11153"/>
    <cellStyle name="Comma 2 3 32 2" xfId="11154"/>
    <cellStyle name="Comma 2 3 32 2 2" xfId="11155"/>
    <cellStyle name="Comma 2 3 32 3" xfId="11156"/>
    <cellStyle name="Comma 2 3 32 4" xfId="11157"/>
    <cellStyle name="Comma 2 3 32 5" xfId="11158"/>
    <cellStyle name="Comma 2 3 33" xfId="11159"/>
    <cellStyle name="Comma 2 3 33 2" xfId="11160"/>
    <cellStyle name="Comma 2 3 33 2 2" xfId="11161"/>
    <cellStyle name="Comma 2 3 33 3" xfId="11162"/>
    <cellStyle name="Comma 2 3 33 4" xfId="11163"/>
    <cellStyle name="Comma 2 3 33 5" xfId="11164"/>
    <cellStyle name="Comma 2 3 34" xfId="11165"/>
    <cellStyle name="Comma 2 3 34 2" xfId="11166"/>
    <cellStyle name="Comma 2 3 35" xfId="11167"/>
    <cellStyle name="Comma 2 3 36" xfId="11168"/>
    <cellStyle name="Comma 2 3 37" xfId="11169"/>
    <cellStyle name="Comma 2 3 38" xfId="11170"/>
    <cellStyle name="Comma 2 3 4" xfId="11171"/>
    <cellStyle name="Comma 2 3 4 10" xfId="11172"/>
    <cellStyle name="Comma 2 3 4 11" xfId="11173"/>
    <cellStyle name="Comma 2 3 4 2" xfId="11174"/>
    <cellStyle name="Comma 2 3 4 2 2" xfId="11175"/>
    <cellStyle name="Comma 2 3 4 2 2 2" xfId="11176"/>
    <cellStyle name="Comma 2 3 4 2 2 2 2" xfId="11177"/>
    <cellStyle name="Comma 2 3 4 2 2 2 3" xfId="11178"/>
    <cellStyle name="Comma 2 3 4 2 2 3" xfId="11179"/>
    <cellStyle name="Comma 2 3 4 2 2 4" xfId="11180"/>
    <cellStyle name="Comma 2 3 4 2 2 5" xfId="11181"/>
    <cellStyle name="Comma 2 3 4 2 2 6" xfId="11182"/>
    <cellStyle name="Comma 2 3 4 2 3" xfId="11183"/>
    <cellStyle name="Comma 2 3 4 2 3 2" xfId="11184"/>
    <cellStyle name="Comma 2 3 4 2 3 2 2" xfId="11185"/>
    <cellStyle name="Comma 2 3 4 2 3 3" xfId="11186"/>
    <cellStyle name="Comma 2 3 4 2 3 4" xfId="11187"/>
    <cellStyle name="Comma 2 3 4 2 3 5" xfId="11188"/>
    <cellStyle name="Comma 2 3 4 2 4" xfId="11189"/>
    <cellStyle name="Comma 2 3 4 2 4 2" xfId="11190"/>
    <cellStyle name="Comma 2 3 4 2 4 3" xfId="11191"/>
    <cellStyle name="Comma 2 3 4 2 4 4" xfId="11192"/>
    <cellStyle name="Comma 2 3 4 2 5" xfId="11193"/>
    <cellStyle name="Comma 2 3 4 2 5 2" xfId="11194"/>
    <cellStyle name="Comma 2 3 4 2 6" xfId="11195"/>
    <cellStyle name="Comma 2 3 4 2 7" xfId="11196"/>
    <cellStyle name="Comma 2 3 4 2 8" xfId="11197"/>
    <cellStyle name="Comma 2 3 4 2 9" xfId="11198"/>
    <cellStyle name="Comma 2 3 4 3" xfId="11199"/>
    <cellStyle name="Comma 2 3 4 3 2" xfId="11200"/>
    <cellStyle name="Comma 2 3 4 3 2 2" xfId="11201"/>
    <cellStyle name="Comma 2 3 4 3 2 2 2" xfId="11202"/>
    <cellStyle name="Comma 2 3 4 3 2 2 3" xfId="11203"/>
    <cellStyle name="Comma 2 3 4 3 2 3" xfId="11204"/>
    <cellStyle name="Comma 2 3 4 3 2 4" xfId="11205"/>
    <cellStyle name="Comma 2 3 4 3 2 5" xfId="11206"/>
    <cellStyle name="Comma 2 3 4 3 2 6" xfId="11207"/>
    <cellStyle name="Comma 2 3 4 3 3" xfId="11208"/>
    <cellStyle name="Comma 2 3 4 3 3 2" xfId="11209"/>
    <cellStyle name="Comma 2 3 4 3 3 2 2" xfId="11210"/>
    <cellStyle name="Comma 2 3 4 3 3 3" xfId="11211"/>
    <cellStyle name="Comma 2 3 4 3 3 4" xfId="11212"/>
    <cellStyle name="Comma 2 3 4 3 3 5" xfId="11213"/>
    <cellStyle name="Comma 2 3 4 3 4" xfId="11214"/>
    <cellStyle name="Comma 2 3 4 3 4 2" xfId="11215"/>
    <cellStyle name="Comma 2 3 4 3 4 3" xfId="11216"/>
    <cellStyle name="Comma 2 3 4 3 4 4" xfId="11217"/>
    <cellStyle name="Comma 2 3 4 3 5" xfId="11218"/>
    <cellStyle name="Comma 2 3 4 3 5 2" xfId="11219"/>
    <cellStyle name="Comma 2 3 4 3 6" xfId="11220"/>
    <cellStyle name="Comma 2 3 4 3 7" xfId="11221"/>
    <cellStyle name="Comma 2 3 4 3 8" xfId="11222"/>
    <cellStyle name="Comma 2 3 4 3 9" xfId="11223"/>
    <cellStyle name="Comma 2 3 4 4" xfId="11224"/>
    <cellStyle name="Comma 2 3 4 4 2" xfId="11225"/>
    <cellStyle name="Comma 2 3 4 4 2 2" xfId="11226"/>
    <cellStyle name="Comma 2 3 4 4 2 3" xfId="11227"/>
    <cellStyle name="Comma 2 3 4 4 3" xfId="11228"/>
    <cellStyle name="Comma 2 3 4 4 4" xfId="11229"/>
    <cellStyle name="Comma 2 3 4 4 5" xfId="11230"/>
    <cellStyle name="Comma 2 3 4 4 6" xfId="11231"/>
    <cellStyle name="Comma 2 3 4 5" xfId="11232"/>
    <cellStyle name="Comma 2 3 4 5 2" xfId="11233"/>
    <cellStyle name="Comma 2 3 4 5 2 2" xfId="11234"/>
    <cellStyle name="Comma 2 3 4 5 3" xfId="11235"/>
    <cellStyle name="Comma 2 3 4 5 4" xfId="11236"/>
    <cellStyle name="Comma 2 3 4 5 5" xfId="11237"/>
    <cellStyle name="Comma 2 3 4 6" xfId="11238"/>
    <cellStyle name="Comma 2 3 4 6 2" xfId="11239"/>
    <cellStyle name="Comma 2 3 4 6 3" xfId="11240"/>
    <cellStyle name="Comma 2 3 4 6 4" xfId="11241"/>
    <cellStyle name="Comma 2 3 4 7" xfId="11242"/>
    <cellStyle name="Comma 2 3 4 7 2" xfId="11243"/>
    <cellStyle name="Comma 2 3 4 8" xfId="11244"/>
    <cellStyle name="Comma 2 3 4 9" xfId="11245"/>
    <cellStyle name="Comma 2 3 5" xfId="11246"/>
    <cellStyle name="Comma 2 3 5 10" xfId="11247"/>
    <cellStyle name="Comma 2 3 5 11" xfId="11248"/>
    <cellStyle name="Comma 2 3 5 2" xfId="11249"/>
    <cellStyle name="Comma 2 3 5 2 2" xfId="11250"/>
    <cellStyle name="Comma 2 3 5 2 2 2" xfId="11251"/>
    <cellStyle name="Comma 2 3 5 2 2 2 2" xfId="11252"/>
    <cellStyle name="Comma 2 3 5 2 2 2 3" xfId="11253"/>
    <cellStyle name="Comma 2 3 5 2 2 3" xfId="11254"/>
    <cellStyle name="Comma 2 3 5 2 2 4" xfId="11255"/>
    <cellStyle name="Comma 2 3 5 2 2 5" xfId="11256"/>
    <cellStyle name="Comma 2 3 5 2 2 6" xfId="11257"/>
    <cellStyle name="Comma 2 3 5 2 3" xfId="11258"/>
    <cellStyle name="Comma 2 3 5 2 3 2" xfId="11259"/>
    <cellStyle name="Comma 2 3 5 2 3 2 2" xfId="11260"/>
    <cellStyle name="Comma 2 3 5 2 3 3" xfId="11261"/>
    <cellStyle name="Comma 2 3 5 2 3 4" xfId="11262"/>
    <cellStyle name="Comma 2 3 5 2 3 5" xfId="11263"/>
    <cellStyle name="Comma 2 3 5 2 4" xfId="11264"/>
    <cellStyle name="Comma 2 3 5 2 4 2" xfId="11265"/>
    <cellStyle name="Comma 2 3 5 2 4 3" xfId="11266"/>
    <cellStyle name="Comma 2 3 5 2 4 4" xfId="11267"/>
    <cellStyle name="Comma 2 3 5 2 5" xfId="11268"/>
    <cellStyle name="Comma 2 3 5 2 5 2" xfId="11269"/>
    <cellStyle name="Comma 2 3 5 2 6" xfId="11270"/>
    <cellStyle name="Comma 2 3 5 2 7" xfId="11271"/>
    <cellStyle name="Comma 2 3 5 2 8" xfId="11272"/>
    <cellStyle name="Comma 2 3 5 2 9" xfId="11273"/>
    <cellStyle name="Comma 2 3 5 3" xfId="11274"/>
    <cellStyle name="Comma 2 3 5 3 2" xfId="11275"/>
    <cellStyle name="Comma 2 3 5 3 2 2" xfId="11276"/>
    <cellStyle name="Comma 2 3 5 3 2 2 2" xfId="11277"/>
    <cellStyle name="Comma 2 3 5 3 2 2 3" xfId="11278"/>
    <cellStyle name="Comma 2 3 5 3 2 3" xfId="11279"/>
    <cellStyle name="Comma 2 3 5 3 2 4" xfId="11280"/>
    <cellStyle name="Comma 2 3 5 3 2 5" xfId="11281"/>
    <cellStyle name="Comma 2 3 5 3 2 6" xfId="11282"/>
    <cellStyle name="Comma 2 3 5 3 3" xfId="11283"/>
    <cellStyle name="Comma 2 3 5 3 3 2" xfId="11284"/>
    <cellStyle name="Comma 2 3 5 3 3 2 2" xfId="11285"/>
    <cellStyle name="Comma 2 3 5 3 3 3" xfId="11286"/>
    <cellStyle name="Comma 2 3 5 3 3 4" xfId="11287"/>
    <cellStyle name="Comma 2 3 5 3 3 5" xfId="11288"/>
    <cellStyle name="Comma 2 3 5 3 4" xfId="11289"/>
    <cellStyle name="Comma 2 3 5 3 4 2" xfId="11290"/>
    <cellStyle name="Comma 2 3 5 3 4 3" xfId="11291"/>
    <cellStyle name="Comma 2 3 5 3 4 4" xfId="11292"/>
    <cellStyle name="Comma 2 3 5 3 5" xfId="11293"/>
    <cellStyle name="Comma 2 3 5 3 5 2" xfId="11294"/>
    <cellStyle name="Comma 2 3 5 3 6" xfId="11295"/>
    <cellStyle name="Comma 2 3 5 3 7" xfId="11296"/>
    <cellStyle name="Comma 2 3 5 3 8" xfId="11297"/>
    <cellStyle name="Comma 2 3 5 3 9" xfId="11298"/>
    <cellStyle name="Comma 2 3 5 4" xfId="11299"/>
    <cellStyle name="Comma 2 3 5 4 2" xfId="11300"/>
    <cellStyle name="Comma 2 3 5 4 2 2" xfId="11301"/>
    <cellStyle name="Comma 2 3 5 4 2 3" xfId="11302"/>
    <cellStyle name="Comma 2 3 5 4 3" xfId="11303"/>
    <cellStyle name="Comma 2 3 5 4 4" xfId="11304"/>
    <cellStyle name="Comma 2 3 5 4 5" xfId="11305"/>
    <cellStyle name="Comma 2 3 5 4 6" xfId="11306"/>
    <cellStyle name="Comma 2 3 5 5" xfId="11307"/>
    <cellStyle name="Comma 2 3 5 5 2" xfId="11308"/>
    <cellStyle name="Comma 2 3 5 5 2 2" xfId="11309"/>
    <cellStyle name="Comma 2 3 5 5 3" xfId="11310"/>
    <cellStyle name="Comma 2 3 5 5 4" xfId="11311"/>
    <cellStyle name="Comma 2 3 5 5 5" xfId="11312"/>
    <cellStyle name="Comma 2 3 5 6" xfId="11313"/>
    <cellStyle name="Comma 2 3 5 6 2" xfId="11314"/>
    <cellStyle name="Comma 2 3 5 6 3" xfId="11315"/>
    <cellStyle name="Comma 2 3 5 6 4" xfId="11316"/>
    <cellStyle name="Comma 2 3 5 7" xfId="11317"/>
    <cellStyle name="Comma 2 3 5 7 2" xfId="11318"/>
    <cellStyle name="Comma 2 3 5 8" xfId="11319"/>
    <cellStyle name="Comma 2 3 5 9" xfId="11320"/>
    <cellStyle name="Comma 2 3 6" xfId="11321"/>
    <cellStyle name="Comma 2 3 6 10" xfId="11322"/>
    <cellStyle name="Comma 2 3 6 11" xfId="11323"/>
    <cellStyle name="Comma 2 3 6 2" xfId="11324"/>
    <cellStyle name="Comma 2 3 6 2 2" xfId="11325"/>
    <cellStyle name="Comma 2 3 6 2 2 2" xfId="11326"/>
    <cellStyle name="Comma 2 3 6 2 2 2 2" xfId="11327"/>
    <cellStyle name="Comma 2 3 6 2 2 2 3" xfId="11328"/>
    <cellStyle name="Comma 2 3 6 2 2 3" xfId="11329"/>
    <cellStyle name="Comma 2 3 6 2 2 4" xfId="11330"/>
    <cellStyle name="Comma 2 3 6 2 2 5" xfId="11331"/>
    <cellStyle name="Comma 2 3 6 2 2 6" xfId="11332"/>
    <cellStyle name="Comma 2 3 6 2 3" xfId="11333"/>
    <cellStyle name="Comma 2 3 6 2 3 2" xfId="11334"/>
    <cellStyle name="Comma 2 3 6 2 3 2 2" xfId="11335"/>
    <cellStyle name="Comma 2 3 6 2 3 3" xfId="11336"/>
    <cellStyle name="Comma 2 3 6 2 3 4" xfId="11337"/>
    <cellStyle name="Comma 2 3 6 2 3 5" xfId="11338"/>
    <cellStyle name="Comma 2 3 6 2 4" xfId="11339"/>
    <cellStyle name="Comma 2 3 6 2 4 2" xfId="11340"/>
    <cellStyle name="Comma 2 3 6 2 4 3" xfId="11341"/>
    <cellStyle name="Comma 2 3 6 2 4 4" xfId="11342"/>
    <cellStyle name="Comma 2 3 6 2 5" xfId="11343"/>
    <cellStyle name="Comma 2 3 6 2 5 2" xfId="11344"/>
    <cellStyle name="Comma 2 3 6 2 6" xfId="11345"/>
    <cellStyle name="Comma 2 3 6 2 7" xfId="11346"/>
    <cellStyle name="Comma 2 3 6 2 8" xfId="11347"/>
    <cellStyle name="Comma 2 3 6 2 9" xfId="11348"/>
    <cellStyle name="Comma 2 3 6 3" xfId="11349"/>
    <cellStyle name="Comma 2 3 6 3 2" xfId="11350"/>
    <cellStyle name="Comma 2 3 6 3 2 2" xfId="11351"/>
    <cellStyle name="Comma 2 3 6 3 2 2 2" xfId="11352"/>
    <cellStyle name="Comma 2 3 6 3 2 2 3" xfId="11353"/>
    <cellStyle name="Comma 2 3 6 3 2 3" xfId="11354"/>
    <cellStyle name="Comma 2 3 6 3 2 4" xfId="11355"/>
    <cellStyle name="Comma 2 3 6 3 2 5" xfId="11356"/>
    <cellStyle name="Comma 2 3 6 3 2 6" xfId="11357"/>
    <cellStyle name="Comma 2 3 6 3 3" xfId="11358"/>
    <cellStyle name="Comma 2 3 6 3 3 2" xfId="11359"/>
    <cellStyle name="Comma 2 3 6 3 3 2 2" xfId="11360"/>
    <cellStyle name="Comma 2 3 6 3 3 3" xfId="11361"/>
    <cellStyle name="Comma 2 3 6 3 3 4" xfId="11362"/>
    <cellStyle name="Comma 2 3 6 3 3 5" xfId="11363"/>
    <cellStyle name="Comma 2 3 6 3 4" xfId="11364"/>
    <cellStyle name="Comma 2 3 6 3 4 2" xfId="11365"/>
    <cellStyle name="Comma 2 3 6 3 4 3" xfId="11366"/>
    <cellStyle name="Comma 2 3 6 3 4 4" xfId="11367"/>
    <cellStyle name="Comma 2 3 6 3 5" xfId="11368"/>
    <cellStyle name="Comma 2 3 6 3 5 2" xfId="11369"/>
    <cellStyle name="Comma 2 3 6 3 6" xfId="11370"/>
    <cellStyle name="Comma 2 3 6 3 7" xfId="11371"/>
    <cellStyle name="Comma 2 3 6 3 8" xfId="11372"/>
    <cellStyle name="Comma 2 3 6 3 9" xfId="11373"/>
    <cellStyle name="Comma 2 3 6 4" xfId="11374"/>
    <cellStyle name="Comma 2 3 6 4 2" xfId="11375"/>
    <cellStyle name="Comma 2 3 6 4 2 2" xfId="11376"/>
    <cellStyle name="Comma 2 3 6 4 2 3" xfId="11377"/>
    <cellStyle name="Comma 2 3 6 4 3" xfId="11378"/>
    <cellStyle name="Comma 2 3 6 4 4" xfId="11379"/>
    <cellStyle name="Comma 2 3 6 4 5" xfId="11380"/>
    <cellStyle name="Comma 2 3 6 4 6" xfId="11381"/>
    <cellStyle name="Comma 2 3 6 5" xfId="11382"/>
    <cellStyle name="Comma 2 3 6 5 2" xfId="11383"/>
    <cellStyle name="Comma 2 3 6 5 2 2" xfId="11384"/>
    <cellStyle name="Comma 2 3 6 5 3" xfId="11385"/>
    <cellStyle name="Comma 2 3 6 5 4" xfId="11386"/>
    <cellStyle name="Comma 2 3 6 5 5" xfId="11387"/>
    <cellStyle name="Comma 2 3 6 6" xfId="11388"/>
    <cellStyle name="Comma 2 3 6 6 2" xfId="11389"/>
    <cellStyle name="Comma 2 3 6 6 3" xfId="11390"/>
    <cellStyle name="Comma 2 3 6 6 4" xfId="11391"/>
    <cellStyle name="Comma 2 3 6 7" xfId="11392"/>
    <cellStyle name="Comma 2 3 6 7 2" xfId="11393"/>
    <cellStyle name="Comma 2 3 6 8" xfId="11394"/>
    <cellStyle name="Comma 2 3 6 9" xfId="11395"/>
    <cellStyle name="Comma 2 3 7" xfId="11396"/>
    <cellStyle name="Comma 2 3 7 10" xfId="11397"/>
    <cellStyle name="Comma 2 3 7 11" xfId="11398"/>
    <cellStyle name="Comma 2 3 7 2" xfId="11399"/>
    <cellStyle name="Comma 2 3 7 2 2" xfId="11400"/>
    <cellStyle name="Comma 2 3 7 2 2 2" xfId="11401"/>
    <cellStyle name="Comma 2 3 7 2 2 2 2" xfId="11402"/>
    <cellStyle name="Comma 2 3 7 2 2 2 3" xfId="11403"/>
    <cellStyle name="Comma 2 3 7 2 2 3" xfId="11404"/>
    <cellStyle name="Comma 2 3 7 2 2 4" xfId="11405"/>
    <cellStyle name="Comma 2 3 7 2 2 5" xfId="11406"/>
    <cellStyle name="Comma 2 3 7 2 2 6" xfId="11407"/>
    <cellStyle name="Comma 2 3 7 2 3" xfId="11408"/>
    <cellStyle name="Comma 2 3 7 2 3 2" xfId="11409"/>
    <cellStyle name="Comma 2 3 7 2 3 2 2" xfId="11410"/>
    <cellStyle name="Comma 2 3 7 2 3 3" xfId="11411"/>
    <cellStyle name="Comma 2 3 7 2 3 4" xfId="11412"/>
    <cellStyle name="Comma 2 3 7 2 3 5" xfId="11413"/>
    <cellStyle name="Comma 2 3 7 2 4" xfId="11414"/>
    <cellStyle name="Comma 2 3 7 2 4 2" xfId="11415"/>
    <cellStyle name="Comma 2 3 7 2 4 3" xfId="11416"/>
    <cellStyle name="Comma 2 3 7 2 4 4" xfId="11417"/>
    <cellStyle name="Comma 2 3 7 2 5" xfId="11418"/>
    <cellStyle name="Comma 2 3 7 2 5 2" xfId="11419"/>
    <cellStyle name="Comma 2 3 7 2 6" xfId="11420"/>
    <cellStyle name="Comma 2 3 7 2 7" xfId="11421"/>
    <cellStyle name="Comma 2 3 7 2 8" xfId="11422"/>
    <cellStyle name="Comma 2 3 7 2 9" xfId="11423"/>
    <cellStyle name="Comma 2 3 7 3" xfId="11424"/>
    <cellStyle name="Comma 2 3 7 3 2" xfId="11425"/>
    <cellStyle name="Comma 2 3 7 3 2 2" xfId="11426"/>
    <cellStyle name="Comma 2 3 7 3 2 2 2" xfId="11427"/>
    <cellStyle name="Comma 2 3 7 3 2 2 3" xfId="11428"/>
    <cellStyle name="Comma 2 3 7 3 2 3" xfId="11429"/>
    <cellStyle name="Comma 2 3 7 3 2 4" xfId="11430"/>
    <cellStyle name="Comma 2 3 7 3 2 5" xfId="11431"/>
    <cellStyle name="Comma 2 3 7 3 2 6" xfId="11432"/>
    <cellStyle name="Comma 2 3 7 3 3" xfId="11433"/>
    <cellStyle name="Comma 2 3 7 3 3 2" xfId="11434"/>
    <cellStyle name="Comma 2 3 7 3 3 2 2" xfId="11435"/>
    <cellStyle name="Comma 2 3 7 3 3 3" xfId="11436"/>
    <cellStyle name="Comma 2 3 7 3 3 4" xfId="11437"/>
    <cellStyle name="Comma 2 3 7 3 3 5" xfId="11438"/>
    <cellStyle name="Comma 2 3 7 3 4" xfId="11439"/>
    <cellStyle name="Comma 2 3 7 3 4 2" xfId="11440"/>
    <cellStyle name="Comma 2 3 7 3 4 3" xfId="11441"/>
    <cellStyle name="Comma 2 3 7 3 4 4" xfId="11442"/>
    <cellStyle name="Comma 2 3 7 3 5" xfId="11443"/>
    <cellStyle name="Comma 2 3 7 3 5 2" xfId="11444"/>
    <cellStyle name="Comma 2 3 7 3 6" xfId="11445"/>
    <cellStyle name="Comma 2 3 7 3 7" xfId="11446"/>
    <cellStyle name="Comma 2 3 7 3 8" xfId="11447"/>
    <cellStyle name="Comma 2 3 7 3 9" xfId="11448"/>
    <cellStyle name="Comma 2 3 7 4" xfId="11449"/>
    <cellStyle name="Comma 2 3 7 4 2" xfId="11450"/>
    <cellStyle name="Comma 2 3 7 4 2 2" xfId="11451"/>
    <cellStyle name="Comma 2 3 7 4 2 3" xfId="11452"/>
    <cellStyle name="Comma 2 3 7 4 3" xfId="11453"/>
    <cellStyle name="Comma 2 3 7 4 4" xfId="11454"/>
    <cellStyle name="Comma 2 3 7 4 5" xfId="11455"/>
    <cellStyle name="Comma 2 3 7 4 6" xfId="11456"/>
    <cellStyle name="Comma 2 3 7 5" xfId="11457"/>
    <cellStyle name="Comma 2 3 7 5 2" xfId="11458"/>
    <cellStyle name="Comma 2 3 7 5 2 2" xfId="11459"/>
    <cellStyle name="Comma 2 3 7 5 3" xfId="11460"/>
    <cellStyle name="Comma 2 3 7 5 4" xfId="11461"/>
    <cellStyle name="Comma 2 3 7 5 5" xfId="11462"/>
    <cellStyle name="Comma 2 3 7 6" xfId="11463"/>
    <cellStyle name="Comma 2 3 7 6 2" xfId="11464"/>
    <cellStyle name="Comma 2 3 7 6 3" xfId="11465"/>
    <cellStyle name="Comma 2 3 7 6 4" xfId="11466"/>
    <cellStyle name="Comma 2 3 7 7" xfId="11467"/>
    <cellStyle name="Comma 2 3 7 7 2" xfId="11468"/>
    <cellStyle name="Comma 2 3 7 8" xfId="11469"/>
    <cellStyle name="Comma 2 3 7 9" xfId="11470"/>
    <cellStyle name="Comma 2 3 8" xfId="11471"/>
    <cellStyle name="Comma 2 3 8 10" xfId="11472"/>
    <cellStyle name="Comma 2 3 8 11" xfId="11473"/>
    <cellStyle name="Comma 2 3 8 2" xfId="11474"/>
    <cellStyle name="Comma 2 3 8 2 2" xfId="11475"/>
    <cellStyle name="Comma 2 3 8 2 2 2" xfId="11476"/>
    <cellStyle name="Comma 2 3 8 2 2 2 2" xfId="11477"/>
    <cellStyle name="Comma 2 3 8 2 2 2 3" xfId="11478"/>
    <cellStyle name="Comma 2 3 8 2 2 3" xfId="11479"/>
    <cellStyle name="Comma 2 3 8 2 2 4" xfId="11480"/>
    <cellStyle name="Comma 2 3 8 2 2 5" xfId="11481"/>
    <cellStyle name="Comma 2 3 8 2 2 6" xfId="11482"/>
    <cellStyle name="Comma 2 3 8 2 3" xfId="11483"/>
    <cellStyle name="Comma 2 3 8 2 3 2" xfId="11484"/>
    <cellStyle name="Comma 2 3 8 2 3 2 2" xfId="11485"/>
    <cellStyle name="Comma 2 3 8 2 3 3" xfId="11486"/>
    <cellStyle name="Comma 2 3 8 2 3 4" xfId="11487"/>
    <cellStyle name="Comma 2 3 8 2 3 5" xfId="11488"/>
    <cellStyle name="Comma 2 3 8 2 4" xfId="11489"/>
    <cellStyle name="Comma 2 3 8 2 4 2" xfId="11490"/>
    <cellStyle name="Comma 2 3 8 2 4 3" xfId="11491"/>
    <cellStyle name="Comma 2 3 8 2 4 4" xfId="11492"/>
    <cellStyle name="Comma 2 3 8 2 5" xfId="11493"/>
    <cellStyle name="Comma 2 3 8 2 5 2" xfId="11494"/>
    <cellStyle name="Comma 2 3 8 2 6" xfId="11495"/>
    <cellStyle name="Comma 2 3 8 2 7" xfId="11496"/>
    <cellStyle name="Comma 2 3 8 2 8" xfId="11497"/>
    <cellStyle name="Comma 2 3 8 2 9" xfId="11498"/>
    <cellStyle name="Comma 2 3 8 3" xfId="11499"/>
    <cellStyle name="Comma 2 3 8 3 2" xfId="11500"/>
    <cellStyle name="Comma 2 3 8 3 2 2" xfId="11501"/>
    <cellStyle name="Comma 2 3 8 3 2 2 2" xfId="11502"/>
    <cellStyle name="Comma 2 3 8 3 2 2 3" xfId="11503"/>
    <cellStyle name="Comma 2 3 8 3 2 3" xfId="11504"/>
    <cellStyle name="Comma 2 3 8 3 2 4" xfId="11505"/>
    <cellStyle name="Comma 2 3 8 3 2 5" xfId="11506"/>
    <cellStyle name="Comma 2 3 8 3 2 6" xfId="11507"/>
    <cellStyle name="Comma 2 3 8 3 3" xfId="11508"/>
    <cellStyle name="Comma 2 3 8 3 3 2" xfId="11509"/>
    <cellStyle name="Comma 2 3 8 3 3 2 2" xfId="11510"/>
    <cellStyle name="Comma 2 3 8 3 3 3" xfId="11511"/>
    <cellStyle name="Comma 2 3 8 3 3 4" xfId="11512"/>
    <cellStyle name="Comma 2 3 8 3 3 5" xfId="11513"/>
    <cellStyle name="Comma 2 3 8 3 4" xfId="11514"/>
    <cellStyle name="Comma 2 3 8 3 4 2" xfId="11515"/>
    <cellStyle name="Comma 2 3 8 3 4 3" xfId="11516"/>
    <cellStyle name="Comma 2 3 8 3 4 4" xfId="11517"/>
    <cellStyle name="Comma 2 3 8 3 5" xfId="11518"/>
    <cellStyle name="Comma 2 3 8 3 5 2" xfId="11519"/>
    <cellStyle name="Comma 2 3 8 3 6" xfId="11520"/>
    <cellStyle name="Comma 2 3 8 3 7" xfId="11521"/>
    <cellStyle name="Comma 2 3 8 3 8" xfId="11522"/>
    <cellStyle name="Comma 2 3 8 3 9" xfId="11523"/>
    <cellStyle name="Comma 2 3 8 4" xfId="11524"/>
    <cellStyle name="Comma 2 3 8 4 2" xfId="11525"/>
    <cellStyle name="Comma 2 3 8 4 2 2" xfId="11526"/>
    <cellStyle name="Comma 2 3 8 4 2 3" xfId="11527"/>
    <cellStyle name="Comma 2 3 8 4 3" xfId="11528"/>
    <cellStyle name="Comma 2 3 8 4 4" xfId="11529"/>
    <cellStyle name="Comma 2 3 8 4 5" xfId="11530"/>
    <cellStyle name="Comma 2 3 8 4 6" xfId="11531"/>
    <cellStyle name="Comma 2 3 8 5" xfId="11532"/>
    <cellStyle name="Comma 2 3 8 5 2" xfId="11533"/>
    <cellStyle name="Comma 2 3 8 5 2 2" xfId="11534"/>
    <cellStyle name="Comma 2 3 8 5 3" xfId="11535"/>
    <cellStyle name="Comma 2 3 8 5 4" xfId="11536"/>
    <cellStyle name="Comma 2 3 8 5 5" xfId="11537"/>
    <cellStyle name="Comma 2 3 8 6" xfId="11538"/>
    <cellStyle name="Comma 2 3 8 6 2" xfId="11539"/>
    <cellStyle name="Comma 2 3 8 6 3" xfId="11540"/>
    <cellStyle name="Comma 2 3 8 6 4" xfId="11541"/>
    <cellStyle name="Comma 2 3 8 7" xfId="11542"/>
    <cellStyle name="Comma 2 3 8 7 2" xfId="11543"/>
    <cellStyle name="Comma 2 3 8 8" xfId="11544"/>
    <cellStyle name="Comma 2 3 8 9" xfId="11545"/>
    <cellStyle name="Comma 2 3 9" xfId="11546"/>
    <cellStyle name="Comma 2 3 9 10" xfId="11547"/>
    <cellStyle name="Comma 2 3 9 11" xfId="11548"/>
    <cellStyle name="Comma 2 3 9 2" xfId="11549"/>
    <cellStyle name="Comma 2 3 9 2 2" xfId="11550"/>
    <cellStyle name="Comma 2 3 9 2 2 2" xfId="11551"/>
    <cellStyle name="Comma 2 3 9 2 2 2 2" xfId="11552"/>
    <cellStyle name="Comma 2 3 9 2 2 2 3" xfId="11553"/>
    <cellStyle name="Comma 2 3 9 2 2 3" xfId="11554"/>
    <cellStyle name="Comma 2 3 9 2 2 4" xfId="11555"/>
    <cellStyle name="Comma 2 3 9 2 2 5" xfId="11556"/>
    <cellStyle name="Comma 2 3 9 2 2 6" xfId="11557"/>
    <cellStyle name="Comma 2 3 9 2 3" xfId="11558"/>
    <cellStyle name="Comma 2 3 9 2 3 2" xfId="11559"/>
    <cellStyle name="Comma 2 3 9 2 3 2 2" xfId="11560"/>
    <cellStyle name="Comma 2 3 9 2 3 3" xfId="11561"/>
    <cellStyle name="Comma 2 3 9 2 3 4" xfId="11562"/>
    <cellStyle name="Comma 2 3 9 2 3 5" xfId="11563"/>
    <cellStyle name="Comma 2 3 9 2 4" xfId="11564"/>
    <cellStyle name="Comma 2 3 9 2 4 2" xfId="11565"/>
    <cellStyle name="Comma 2 3 9 2 4 3" xfId="11566"/>
    <cellStyle name="Comma 2 3 9 2 4 4" xfId="11567"/>
    <cellStyle name="Comma 2 3 9 2 5" xfId="11568"/>
    <cellStyle name="Comma 2 3 9 2 5 2" xfId="11569"/>
    <cellStyle name="Comma 2 3 9 2 6" xfId="11570"/>
    <cellStyle name="Comma 2 3 9 2 7" xfId="11571"/>
    <cellStyle name="Comma 2 3 9 2 8" xfId="11572"/>
    <cellStyle name="Comma 2 3 9 2 9" xfId="11573"/>
    <cellStyle name="Comma 2 3 9 3" xfId="11574"/>
    <cellStyle name="Comma 2 3 9 3 2" xfId="11575"/>
    <cellStyle name="Comma 2 3 9 3 2 2" xfId="11576"/>
    <cellStyle name="Comma 2 3 9 3 2 2 2" xfId="11577"/>
    <cellStyle name="Comma 2 3 9 3 2 2 3" xfId="11578"/>
    <cellStyle name="Comma 2 3 9 3 2 3" xfId="11579"/>
    <cellStyle name="Comma 2 3 9 3 2 4" xfId="11580"/>
    <cellStyle name="Comma 2 3 9 3 2 5" xfId="11581"/>
    <cellStyle name="Comma 2 3 9 3 2 6" xfId="11582"/>
    <cellStyle name="Comma 2 3 9 3 3" xfId="11583"/>
    <cellStyle name="Comma 2 3 9 3 3 2" xfId="11584"/>
    <cellStyle name="Comma 2 3 9 3 3 2 2" xfId="11585"/>
    <cellStyle name="Comma 2 3 9 3 3 3" xfId="11586"/>
    <cellStyle name="Comma 2 3 9 3 3 4" xfId="11587"/>
    <cellStyle name="Comma 2 3 9 3 3 5" xfId="11588"/>
    <cellStyle name="Comma 2 3 9 3 4" xfId="11589"/>
    <cellStyle name="Comma 2 3 9 3 4 2" xfId="11590"/>
    <cellStyle name="Comma 2 3 9 3 4 3" xfId="11591"/>
    <cellStyle name="Comma 2 3 9 3 4 4" xfId="11592"/>
    <cellStyle name="Comma 2 3 9 3 5" xfId="11593"/>
    <cellStyle name="Comma 2 3 9 3 5 2" xfId="11594"/>
    <cellStyle name="Comma 2 3 9 3 6" xfId="11595"/>
    <cellStyle name="Comma 2 3 9 3 7" xfId="11596"/>
    <cellStyle name="Comma 2 3 9 3 8" xfId="11597"/>
    <cellStyle name="Comma 2 3 9 3 9" xfId="11598"/>
    <cellStyle name="Comma 2 3 9 4" xfId="11599"/>
    <cellStyle name="Comma 2 3 9 4 2" xfId="11600"/>
    <cellStyle name="Comma 2 3 9 4 2 2" xfId="11601"/>
    <cellStyle name="Comma 2 3 9 4 2 3" xfId="11602"/>
    <cellStyle name="Comma 2 3 9 4 3" xfId="11603"/>
    <cellStyle name="Comma 2 3 9 4 4" xfId="11604"/>
    <cellStyle name="Comma 2 3 9 4 5" xfId="11605"/>
    <cellStyle name="Comma 2 3 9 4 6" xfId="11606"/>
    <cellStyle name="Comma 2 3 9 5" xfId="11607"/>
    <cellStyle name="Comma 2 3 9 5 2" xfId="11608"/>
    <cellStyle name="Comma 2 3 9 5 2 2" xfId="11609"/>
    <cellStyle name="Comma 2 3 9 5 3" xfId="11610"/>
    <cellStyle name="Comma 2 3 9 5 4" xfId="11611"/>
    <cellStyle name="Comma 2 3 9 5 5" xfId="11612"/>
    <cellStyle name="Comma 2 3 9 6" xfId="11613"/>
    <cellStyle name="Comma 2 3 9 6 2" xfId="11614"/>
    <cellStyle name="Comma 2 3 9 6 3" xfId="11615"/>
    <cellStyle name="Comma 2 3 9 6 4" xfId="11616"/>
    <cellStyle name="Comma 2 3 9 7" xfId="11617"/>
    <cellStyle name="Comma 2 3 9 7 2" xfId="11618"/>
    <cellStyle name="Comma 2 3 9 8" xfId="11619"/>
    <cellStyle name="Comma 2 3 9 9" xfId="11620"/>
    <cellStyle name="Comma 2 30" xfId="11621"/>
    <cellStyle name="Comma 2 30 10" xfId="11622"/>
    <cellStyle name="Comma 2 30 2" xfId="11623"/>
    <cellStyle name="Comma 2 30 2 2" xfId="11624"/>
    <cellStyle name="Comma 2 30 2 2 2" xfId="11625"/>
    <cellStyle name="Comma 2 30 2 2 3" xfId="11626"/>
    <cellStyle name="Comma 2 30 2 3" xfId="11627"/>
    <cellStyle name="Comma 2 30 2 4" xfId="11628"/>
    <cellStyle name="Comma 2 30 2 5" xfId="11629"/>
    <cellStyle name="Comma 2 30 2 6" xfId="11630"/>
    <cellStyle name="Comma 2 30 3" xfId="11631"/>
    <cellStyle name="Comma 2 30 3 2" xfId="11632"/>
    <cellStyle name="Comma 2 30 3 2 2" xfId="11633"/>
    <cellStyle name="Comma 2 30 3 2 3" xfId="11634"/>
    <cellStyle name="Comma 2 30 3 3" xfId="11635"/>
    <cellStyle name="Comma 2 30 3 4" xfId="11636"/>
    <cellStyle name="Comma 2 30 3 5" xfId="11637"/>
    <cellStyle name="Comma 2 30 3 6" xfId="11638"/>
    <cellStyle name="Comma 2 30 4" xfId="11639"/>
    <cellStyle name="Comma 2 30 4 2" xfId="11640"/>
    <cellStyle name="Comma 2 30 4 2 2" xfId="11641"/>
    <cellStyle name="Comma 2 30 4 3" xfId="11642"/>
    <cellStyle name="Comma 2 30 4 4" xfId="11643"/>
    <cellStyle name="Comma 2 30 4 5" xfId="11644"/>
    <cellStyle name="Comma 2 30 4 6" xfId="11645"/>
    <cellStyle name="Comma 2 30 5" xfId="11646"/>
    <cellStyle name="Comma 2 30 5 2" xfId="11647"/>
    <cellStyle name="Comma 2 30 5 3" xfId="11648"/>
    <cellStyle name="Comma 2 30 5 4" xfId="11649"/>
    <cellStyle name="Comma 2 30 5 5" xfId="11650"/>
    <cellStyle name="Comma 2 30 6" xfId="11651"/>
    <cellStyle name="Comma 2 30 6 2" xfId="11652"/>
    <cellStyle name="Comma 2 30 6 3" xfId="11653"/>
    <cellStyle name="Comma 2 30 7" xfId="11654"/>
    <cellStyle name="Comma 2 30 7 2" xfId="11655"/>
    <cellStyle name="Comma 2 30 8" xfId="11656"/>
    <cellStyle name="Comma 2 30 9" xfId="11657"/>
    <cellStyle name="Comma 2 31" xfId="11658"/>
    <cellStyle name="Comma 2 31 10" xfId="11659"/>
    <cellStyle name="Comma 2 31 2" xfId="11660"/>
    <cellStyle name="Comma 2 31 2 2" xfId="11661"/>
    <cellStyle name="Comma 2 31 2 2 2" xfId="11662"/>
    <cellStyle name="Comma 2 31 2 2 3" xfId="11663"/>
    <cellStyle name="Comma 2 31 2 3" xfId="11664"/>
    <cellStyle name="Comma 2 31 2 4" xfId="11665"/>
    <cellStyle name="Comma 2 31 2 5" xfId="11666"/>
    <cellStyle name="Comma 2 31 2 6" xfId="11667"/>
    <cellStyle name="Comma 2 31 3" xfId="11668"/>
    <cellStyle name="Comma 2 31 3 2" xfId="11669"/>
    <cellStyle name="Comma 2 31 3 2 2" xfId="11670"/>
    <cellStyle name="Comma 2 31 3 2 3" xfId="11671"/>
    <cellStyle name="Comma 2 31 3 3" xfId="11672"/>
    <cellStyle name="Comma 2 31 3 4" xfId="11673"/>
    <cellStyle name="Comma 2 31 3 5" xfId="11674"/>
    <cellStyle name="Comma 2 31 3 6" xfId="11675"/>
    <cellStyle name="Comma 2 31 4" xfId="11676"/>
    <cellStyle name="Comma 2 31 4 2" xfId="11677"/>
    <cellStyle name="Comma 2 31 4 2 2" xfId="11678"/>
    <cellStyle name="Comma 2 31 4 3" xfId="11679"/>
    <cellStyle name="Comma 2 31 4 4" xfId="11680"/>
    <cellStyle name="Comma 2 31 4 5" xfId="11681"/>
    <cellStyle name="Comma 2 31 4 6" xfId="11682"/>
    <cellStyle name="Comma 2 31 5" xfId="11683"/>
    <cellStyle name="Comma 2 31 5 2" xfId="11684"/>
    <cellStyle name="Comma 2 31 5 3" xfId="11685"/>
    <cellStyle name="Comma 2 31 5 4" xfId="11686"/>
    <cellStyle name="Comma 2 31 5 5" xfId="11687"/>
    <cellStyle name="Comma 2 31 6" xfId="11688"/>
    <cellStyle name="Comma 2 31 6 2" xfId="11689"/>
    <cellStyle name="Comma 2 31 6 3" xfId="11690"/>
    <cellStyle name="Comma 2 31 7" xfId="11691"/>
    <cellStyle name="Comma 2 31 7 2" xfId="11692"/>
    <cellStyle name="Comma 2 31 8" xfId="11693"/>
    <cellStyle name="Comma 2 31 9" xfId="11694"/>
    <cellStyle name="Comma 2 32" xfId="11695"/>
    <cellStyle name="Comma 2 32 10" xfId="11696"/>
    <cellStyle name="Comma 2 32 2" xfId="11697"/>
    <cellStyle name="Comma 2 32 2 2" xfId="11698"/>
    <cellStyle name="Comma 2 32 2 2 2" xfId="11699"/>
    <cellStyle name="Comma 2 32 2 2 3" xfId="11700"/>
    <cellStyle name="Comma 2 32 2 3" xfId="11701"/>
    <cellStyle name="Comma 2 32 2 4" xfId="11702"/>
    <cellStyle name="Comma 2 32 2 5" xfId="11703"/>
    <cellStyle name="Comma 2 32 2 6" xfId="11704"/>
    <cellStyle name="Comma 2 32 3" xfId="11705"/>
    <cellStyle name="Comma 2 32 3 2" xfId="11706"/>
    <cellStyle name="Comma 2 32 3 2 2" xfId="11707"/>
    <cellStyle name="Comma 2 32 3 2 3" xfId="11708"/>
    <cellStyle name="Comma 2 32 3 3" xfId="11709"/>
    <cellStyle name="Comma 2 32 3 4" xfId="11710"/>
    <cellStyle name="Comma 2 32 3 5" xfId="11711"/>
    <cellStyle name="Comma 2 32 3 6" xfId="11712"/>
    <cellStyle name="Comma 2 32 4" xfId="11713"/>
    <cellStyle name="Comma 2 32 4 2" xfId="11714"/>
    <cellStyle name="Comma 2 32 4 2 2" xfId="11715"/>
    <cellStyle name="Comma 2 32 4 3" xfId="11716"/>
    <cellStyle name="Comma 2 32 4 4" xfId="11717"/>
    <cellStyle name="Comma 2 32 4 5" xfId="11718"/>
    <cellStyle name="Comma 2 32 4 6" xfId="11719"/>
    <cellStyle name="Comma 2 32 5" xfId="11720"/>
    <cellStyle name="Comma 2 32 5 2" xfId="11721"/>
    <cellStyle name="Comma 2 32 5 3" xfId="11722"/>
    <cellStyle name="Comma 2 32 5 4" xfId="11723"/>
    <cellStyle name="Comma 2 32 5 5" xfId="11724"/>
    <cellStyle name="Comma 2 32 6" xfId="11725"/>
    <cellStyle name="Comma 2 32 6 2" xfId="11726"/>
    <cellStyle name="Comma 2 32 6 3" xfId="11727"/>
    <cellStyle name="Comma 2 32 7" xfId="11728"/>
    <cellStyle name="Comma 2 32 7 2" xfId="11729"/>
    <cellStyle name="Comma 2 32 8" xfId="11730"/>
    <cellStyle name="Comma 2 32 9" xfId="11731"/>
    <cellStyle name="Comma 2 33" xfId="11732"/>
    <cellStyle name="Comma 2 33 10" xfId="11733"/>
    <cellStyle name="Comma 2 33 2" xfId="11734"/>
    <cellStyle name="Comma 2 33 2 2" xfId="11735"/>
    <cellStyle name="Comma 2 33 2 2 2" xfId="11736"/>
    <cellStyle name="Comma 2 33 2 2 3" xfId="11737"/>
    <cellStyle name="Comma 2 33 2 3" xfId="11738"/>
    <cellStyle name="Comma 2 33 2 4" xfId="11739"/>
    <cellStyle name="Comma 2 33 2 5" xfId="11740"/>
    <cellStyle name="Comma 2 33 2 6" xfId="11741"/>
    <cellStyle name="Comma 2 33 3" xfId="11742"/>
    <cellStyle name="Comma 2 33 3 2" xfId="11743"/>
    <cellStyle name="Comma 2 33 3 2 2" xfId="11744"/>
    <cellStyle name="Comma 2 33 3 2 3" xfId="11745"/>
    <cellStyle name="Comma 2 33 3 3" xfId="11746"/>
    <cellStyle name="Comma 2 33 3 4" xfId="11747"/>
    <cellStyle name="Comma 2 33 3 5" xfId="11748"/>
    <cellStyle name="Comma 2 33 3 6" xfId="11749"/>
    <cellStyle name="Comma 2 33 4" xfId="11750"/>
    <cellStyle name="Comma 2 33 4 2" xfId="11751"/>
    <cellStyle name="Comma 2 33 4 2 2" xfId="11752"/>
    <cellStyle name="Comma 2 33 4 3" xfId="11753"/>
    <cellStyle name="Comma 2 33 4 4" xfId="11754"/>
    <cellStyle name="Comma 2 33 4 5" xfId="11755"/>
    <cellStyle name="Comma 2 33 4 6" xfId="11756"/>
    <cellStyle name="Comma 2 33 5" xfId="11757"/>
    <cellStyle name="Comma 2 33 5 2" xfId="11758"/>
    <cellStyle name="Comma 2 33 5 3" xfId="11759"/>
    <cellStyle name="Comma 2 33 5 4" xfId="11760"/>
    <cellStyle name="Comma 2 33 5 5" xfId="11761"/>
    <cellStyle name="Comma 2 33 6" xfId="11762"/>
    <cellStyle name="Comma 2 33 6 2" xfId="11763"/>
    <cellStyle name="Comma 2 33 6 3" xfId="11764"/>
    <cellStyle name="Comma 2 33 7" xfId="11765"/>
    <cellStyle name="Comma 2 33 7 2" xfId="11766"/>
    <cellStyle name="Comma 2 33 8" xfId="11767"/>
    <cellStyle name="Comma 2 33 9" xfId="11768"/>
    <cellStyle name="Comma 2 34" xfId="11769"/>
    <cellStyle name="Comma 2 34 10" xfId="11770"/>
    <cellStyle name="Comma 2 34 2" xfId="11771"/>
    <cellStyle name="Comma 2 34 2 2" xfId="11772"/>
    <cellStyle name="Comma 2 34 2 2 2" xfId="11773"/>
    <cellStyle name="Comma 2 34 2 2 3" xfId="11774"/>
    <cellStyle name="Comma 2 34 2 3" xfId="11775"/>
    <cellStyle name="Comma 2 34 2 4" xfId="11776"/>
    <cellStyle name="Comma 2 34 2 5" xfId="11777"/>
    <cellStyle name="Comma 2 34 2 6" xfId="11778"/>
    <cellStyle name="Comma 2 34 3" xfId="11779"/>
    <cellStyle name="Comma 2 34 3 2" xfId="11780"/>
    <cellStyle name="Comma 2 34 3 2 2" xfId="11781"/>
    <cellStyle name="Comma 2 34 3 2 3" xfId="11782"/>
    <cellStyle name="Comma 2 34 3 3" xfId="11783"/>
    <cellStyle name="Comma 2 34 3 4" xfId="11784"/>
    <cellStyle name="Comma 2 34 3 5" xfId="11785"/>
    <cellStyle name="Comma 2 34 3 6" xfId="11786"/>
    <cellStyle name="Comma 2 34 4" xfId="11787"/>
    <cellStyle name="Comma 2 34 4 2" xfId="11788"/>
    <cellStyle name="Comma 2 34 4 2 2" xfId="11789"/>
    <cellStyle name="Comma 2 34 4 3" xfId="11790"/>
    <cellStyle name="Comma 2 34 4 4" xfId="11791"/>
    <cellStyle name="Comma 2 34 4 5" xfId="11792"/>
    <cellStyle name="Comma 2 34 4 6" xfId="11793"/>
    <cellStyle name="Comma 2 34 5" xfId="11794"/>
    <cellStyle name="Comma 2 34 5 2" xfId="11795"/>
    <cellStyle name="Comma 2 34 5 3" xfId="11796"/>
    <cellStyle name="Comma 2 34 5 4" xfId="11797"/>
    <cellStyle name="Comma 2 34 5 5" xfId="11798"/>
    <cellStyle name="Comma 2 34 6" xfId="11799"/>
    <cellStyle name="Comma 2 34 6 2" xfId="11800"/>
    <cellStyle name="Comma 2 34 6 3" xfId="11801"/>
    <cellStyle name="Comma 2 34 7" xfId="11802"/>
    <cellStyle name="Comma 2 34 7 2" xfId="11803"/>
    <cellStyle name="Comma 2 34 8" xfId="11804"/>
    <cellStyle name="Comma 2 34 9" xfId="11805"/>
    <cellStyle name="Comma 2 35" xfId="11806"/>
    <cellStyle name="Comma 2 35 10" xfId="11807"/>
    <cellStyle name="Comma 2 35 2" xfId="11808"/>
    <cellStyle name="Comma 2 35 2 2" xfId="11809"/>
    <cellStyle name="Comma 2 35 2 2 2" xfId="11810"/>
    <cellStyle name="Comma 2 35 2 2 3" xfId="11811"/>
    <cellStyle name="Comma 2 35 2 3" xfId="11812"/>
    <cellStyle name="Comma 2 35 2 4" xfId="11813"/>
    <cellStyle name="Comma 2 35 2 5" xfId="11814"/>
    <cellStyle name="Comma 2 35 2 6" xfId="11815"/>
    <cellStyle name="Comma 2 35 3" xfId="11816"/>
    <cellStyle name="Comma 2 35 3 2" xfId="11817"/>
    <cellStyle name="Comma 2 35 3 2 2" xfId="11818"/>
    <cellStyle name="Comma 2 35 3 3" xfId="11819"/>
    <cellStyle name="Comma 2 35 3 4" xfId="11820"/>
    <cellStyle name="Comma 2 35 3 5" xfId="11821"/>
    <cellStyle name="Comma 2 35 3 6" xfId="11822"/>
    <cellStyle name="Comma 2 35 4" xfId="11823"/>
    <cellStyle name="Comma 2 35 4 2" xfId="11824"/>
    <cellStyle name="Comma 2 35 4 3" xfId="11825"/>
    <cellStyle name="Comma 2 35 4 4" xfId="11826"/>
    <cellStyle name="Comma 2 35 4 5" xfId="11827"/>
    <cellStyle name="Comma 2 35 5" xfId="11828"/>
    <cellStyle name="Comma 2 35 5 2" xfId="11829"/>
    <cellStyle name="Comma 2 35 5 3" xfId="11830"/>
    <cellStyle name="Comma 2 35 6" xfId="11831"/>
    <cellStyle name="Comma 2 35 6 2" xfId="11832"/>
    <cellStyle name="Comma 2 35 7" xfId="11833"/>
    <cellStyle name="Comma 2 35 7 2" xfId="11834"/>
    <cellStyle name="Comma 2 35 8" xfId="11835"/>
    <cellStyle name="Comma 2 35 9" xfId="11836"/>
    <cellStyle name="Comma 2 36" xfId="11837"/>
    <cellStyle name="Comma 2 36 10" xfId="11838"/>
    <cellStyle name="Comma 2 36 2" xfId="11839"/>
    <cellStyle name="Comma 2 36 2 2" xfId="11840"/>
    <cellStyle name="Comma 2 36 2 2 2" xfId="11841"/>
    <cellStyle name="Comma 2 36 2 2 3" xfId="11842"/>
    <cellStyle name="Comma 2 36 2 3" xfId="11843"/>
    <cellStyle name="Comma 2 36 2 4" xfId="11844"/>
    <cellStyle name="Comma 2 36 2 5" xfId="11845"/>
    <cellStyle name="Comma 2 36 2 6" xfId="11846"/>
    <cellStyle name="Comma 2 36 3" xfId="11847"/>
    <cellStyle name="Comma 2 36 3 2" xfId="11848"/>
    <cellStyle name="Comma 2 36 3 2 2" xfId="11849"/>
    <cellStyle name="Comma 2 36 3 3" xfId="11850"/>
    <cellStyle name="Comma 2 36 3 4" xfId="11851"/>
    <cellStyle name="Comma 2 36 3 5" xfId="11852"/>
    <cellStyle name="Comma 2 36 3 6" xfId="11853"/>
    <cellStyle name="Comma 2 36 4" xfId="11854"/>
    <cellStyle name="Comma 2 36 4 2" xfId="11855"/>
    <cellStyle name="Comma 2 36 4 3" xfId="11856"/>
    <cellStyle name="Comma 2 36 4 4" xfId="11857"/>
    <cellStyle name="Comma 2 36 4 5" xfId="11858"/>
    <cellStyle name="Comma 2 36 5" xfId="11859"/>
    <cellStyle name="Comma 2 36 5 2" xfId="11860"/>
    <cellStyle name="Comma 2 36 5 3" xfId="11861"/>
    <cellStyle name="Comma 2 36 6" xfId="11862"/>
    <cellStyle name="Comma 2 36 6 2" xfId="11863"/>
    <cellStyle name="Comma 2 36 7" xfId="11864"/>
    <cellStyle name="Comma 2 36 7 2" xfId="11865"/>
    <cellStyle name="Comma 2 36 8" xfId="11866"/>
    <cellStyle name="Comma 2 36 9" xfId="11867"/>
    <cellStyle name="Comma 2 37" xfId="11868"/>
    <cellStyle name="Comma 2 37 10" xfId="11869"/>
    <cellStyle name="Comma 2 37 2" xfId="11870"/>
    <cellStyle name="Comma 2 37 2 2" xfId="11871"/>
    <cellStyle name="Comma 2 37 2 2 2" xfId="11872"/>
    <cellStyle name="Comma 2 37 2 2 3" xfId="11873"/>
    <cellStyle name="Comma 2 37 2 3" xfId="11874"/>
    <cellStyle name="Comma 2 37 2 4" xfId="11875"/>
    <cellStyle name="Comma 2 37 2 5" xfId="11876"/>
    <cellStyle name="Comma 2 37 2 6" xfId="11877"/>
    <cellStyle name="Comma 2 37 3" xfId="11878"/>
    <cellStyle name="Comma 2 37 3 2" xfId="11879"/>
    <cellStyle name="Comma 2 37 3 3" xfId="11880"/>
    <cellStyle name="Comma 2 37 3 4" xfId="11881"/>
    <cellStyle name="Comma 2 37 3 5" xfId="11882"/>
    <cellStyle name="Comma 2 37 4" xfId="11883"/>
    <cellStyle name="Comma 2 37 4 2" xfId="11884"/>
    <cellStyle name="Comma 2 37 4 3" xfId="11885"/>
    <cellStyle name="Comma 2 37 5" xfId="11886"/>
    <cellStyle name="Comma 2 37 5 2" xfId="11887"/>
    <cellStyle name="Comma 2 37 6" xfId="11888"/>
    <cellStyle name="Comma 2 37 6 2" xfId="11889"/>
    <cellStyle name="Comma 2 37 7" xfId="11890"/>
    <cellStyle name="Comma 2 37 7 2" xfId="11891"/>
    <cellStyle name="Comma 2 37 8" xfId="11892"/>
    <cellStyle name="Comma 2 37 9" xfId="11893"/>
    <cellStyle name="Comma 2 38" xfId="11894"/>
    <cellStyle name="Comma 2 38 10" xfId="11895"/>
    <cellStyle name="Comma 2 38 2" xfId="11896"/>
    <cellStyle name="Comma 2 38 2 2" xfId="11897"/>
    <cellStyle name="Comma 2 38 2 2 2" xfId="11898"/>
    <cellStyle name="Comma 2 38 2 3" xfId="11899"/>
    <cellStyle name="Comma 2 38 2 4" xfId="11900"/>
    <cellStyle name="Comma 2 38 2 5" xfId="11901"/>
    <cellStyle name="Comma 2 38 3" xfId="11902"/>
    <cellStyle name="Comma 2 38 3 2" xfId="11903"/>
    <cellStyle name="Comma 2 38 3 3" xfId="11904"/>
    <cellStyle name="Comma 2 38 4" xfId="11905"/>
    <cellStyle name="Comma 2 38 4 2" xfId="11906"/>
    <cellStyle name="Comma 2 38 5" xfId="11907"/>
    <cellStyle name="Comma 2 38 5 2" xfId="11908"/>
    <cellStyle name="Comma 2 38 6" xfId="11909"/>
    <cellStyle name="Comma 2 38 6 2" xfId="11910"/>
    <cellStyle name="Comma 2 38 7" xfId="11911"/>
    <cellStyle name="Comma 2 38 8" xfId="11912"/>
    <cellStyle name="Comma 2 38 9" xfId="11913"/>
    <cellStyle name="Comma 2 39" xfId="11914"/>
    <cellStyle name="Comma 2 39 10" xfId="11915"/>
    <cellStyle name="Comma 2 39 2" xfId="11916"/>
    <cellStyle name="Comma 2 39 2 2" xfId="11917"/>
    <cellStyle name="Comma 2 39 2 2 2" xfId="11918"/>
    <cellStyle name="Comma 2 39 2 3" xfId="11919"/>
    <cellStyle name="Comma 2 39 2 4" xfId="11920"/>
    <cellStyle name="Comma 2 39 3" xfId="11921"/>
    <cellStyle name="Comma 2 39 3 2" xfId="11922"/>
    <cellStyle name="Comma 2 39 4" xfId="11923"/>
    <cellStyle name="Comma 2 39 4 2" xfId="11924"/>
    <cellStyle name="Comma 2 39 5" xfId="11925"/>
    <cellStyle name="Comma 2 39 6" xfId="11926"/>
    <cellStyle name="Comma 2 39 7" xfId="11927"/>
    <cellStyle name="Comma 2 39 8" xfId="11928"/>
    <cellStyle name="Comma 2 39 9" xfId="11929"/>
    <cellStyle name="Comma 2 4" xfId="11930"/>
    <cellStyle name="Comma 2 4 10" xfId="11931"/>
    <cellStyle name="Comma 2 4 10 10" xfId="11932"/>
    <cellStyle name="Comma 2 4 10 2" xfId="11933"/>
    <cellStyle name="Comma 2 4 10 2 2" xfId="11934"/>
    <cellStyle name="Comma 2 4 10 2 2 2" xfId="11935"/>
    <cellStyle name="Comma 2 4 10 2 2 3" xfId="11936"/>
    <cellStyle name="Comma 2 4 10 2 3" xfId="11937"/>
    <cellStyle name="Comma 2 4 10 2 4" xfId="11938"/>
    <cellStyle name="Comma 2 4 10 2 5" xfId="11939"/>
    <cellStyle name="Comma 2 4 10 2 6" xfId="11940"/>
    <cellStyle name="Comma 2 4 10 3" xfId="11941"/>
    <cellStyle name="Comma 2 4 10 3 2" xfId="11942"/>
    <cellStyle name="Comma 2 4 10 3 2 2" xfId="11943"/>
    <cellStyle name="Comma 2 4 10 3 2 3" xfId="11944"/>
    <cellStyle name="Comma 2 4 10 3 3" xfId="11945"/>
    <cellStyle name="Comma 2 4 10 3 4" xfId="11946"/>
    <cellStyle name="Comma 2 4 10 3 5" xfId="11947"/>
    <cellStyle name="Comma 2 4 10 3 6" xfId="11948"/>
    <cellStyle name="Comma 2 4 10 4" xfId="11949"/>
    <cellStyle name="Comma 2 4 10 4 2" xfId="11950"/>
    <cellStyle name="Comma 2 4 10 4 2 2" xfId="11951"/>
    <cellStyle name="Comma 2 4 10 4 3" xfId="11952"/>
    <cellStyle name="Comma 2 4 10 4 4" xfId="11953"/>
    <cellStyle name="Comma 2 4 10 4 5" xfId="11954"/>
    <cellStyle name="Comma 2 4 10 5" xfId="11955"/>
    <cellStyle name="Comma 2 4 10 5 2" xfId="11956"/>
    <cellStyle name="Comma 2 4 10 5 3" xfId="11957"/>
    <cellStyle name="Comma 2 4 10 5 4" xfId="11958"/>
    <cellStyle name="Comma 2 4 10 6" xfId="11959"/>
    <cellStyle name="Comma 2 4 10 6 2" xfId="11960"/>
    <cellStyle name="Comma 2 4 10 7" xfId="11961"/>
    <cellStyle name="Comma 2 4 10 8" xfId="11962"/>
    <cellStyle name="Comma 2 4 10 9" xfId="11963"/>
    <cellStyle name="Comma 2 4 11" xfId="11964"/>
    <cellStyle name="Comma 2 4 11 10" xfId="11965"/>
    <cellStyle name="Comma 2 4 11 2" xfId="11966"/>
    <cellStyle name="Comma 2 4 11 2 2" xfId="11967"/>
    <cellStyle name="Comma 2 4 11 2 2 2" xfId="11968"/>
    <cellStyle name="Comma 2 4 11 2 2 3" xfId="11969"/>
    <cellStyle name="Comma 2 4 11 2 3" xfId="11970"/>
    <cellStyle name="Comma 2 4 11 2 4" xfId="11971"/>
    <cellStyle name="Comma 2 4 11 2 5" xfId="11972"/>
    <cellStyle name="Comma 2 4 11 2 6" xfId="11973"/>
    <cellStyle name="Comma 2 4 11 3" xfId="11974"/>
    <cellStyle name="Comma 2 4 11 3 2" xfId="11975"/>
    <cellStyle name="Comma 2 4 11 3 2 2" xfId="11976"/>
    <cellStyle name="Comma 2 4 11 3 2 3" xfId="11977"/>
    <cellStyle name="Comma 2 4 11 3 3" xfId="11978"/>
    <cellStyle name="Comma 2 4 11 3 4" xfId="11979"/>
    <cellStyle name="Comma 2 4 11 3 5" xfId="11980"/>
    <cellStyle name="Comma 2 4 11 3 6" xfId="11981"/>
    <cellStyle name="Comma 2 4 11 4" xfId="11982"/>
    <cellStyle name="Comma 2 4 11 4 2" xfId="11983"/>
    <cellStyle name="Comma 2 4 11 4 2 2" xfId="11984"/>
    <cellStyle name="Comma 2 4 11 4 3" xfId="11985"/>
    <cellStyle name="Comma 2 4 11 4 4" xfId="11986"/>
    <cellStyle name="Comma 2 4 11 4 5" xfId="11987"/>
    <cellStyle name="Comma 2 4 11 5" xfId="11988"/>
    <cellStyle name="Comma 2 4 11 5 2" xfId="11989"/>
    <cellStyle name="Comma 2 4 11 5 3" xfId="11990"/>
    <cellStyle name="Comma 2 4 11 5 4" xfId="11991"/>
    <cellStyle name="Comma 2 4 11 6" xfId="11992"/>
    <cellStyle name="Comma 2 4 11 6 2" xfId="11993"/>
    <cellStyle name="Comma 2 4 11 7" xfId="11994"/>
    <cellStyle name="Comma 2 4 11 8" xfId="11995"/>
    <cellStyle name="Comma 2 4 11 9" xfId="11996"/>
    <cellStyle name="Comma 2 4 12" xfId="11997"/>
    <cellStyle name="Comma 2 4 12 10" xfId="11998"/>
    <cellStyle name="Comma 2 4 12 2" xfId="11999"/>
    <cellStyle name="Comma 2 4 12 2 2" xfId="12000"/>
    <cellStyle name="Comma 2 4 12 2 2 2" xfId="12001"/>
    <cellStyle name="Comma 2 4 12 2 2 3" xfId="12002"/>
    <cellStyle name="Comma 2 4 12 2 3" xfId="12003"/>
    <cellStyle name="Comma 2 4 12 2 4" xfId="12004"/>
    <cellStyle name="Comma 2 4 12 2 5" xfId="12005"/>
    <cellStyle name="Comma 2 4 12 2 6" xfId="12006"/>
    <cellStyle name="Comma 2 4 12 3" xfId="12007"/>
    <cellStyle name="Comma 2 4 12 3 2" xfId="12008"/>
    <cellStyle name="Comma 2 4 12 3 2 2" xfId="12009"/>
    <cellStyle name="Comma 2 4 12 3 2 3" xfId="12010"/>
    <cellStyle name="Comma 2 4 12 3 3" xfId="12011"/>
    <cellStyle name="Comma 2 4 12 3 4" xfId="12012"/>
    <cellStyle name="Comma 2 4 12 3 5" xfId="12013"/>
    <cellStyle name="Comma 2 4 12 3 6" xfId="12014"/>
    <cellStyle name="Comma 2 4 12 4" xfId="12015"/>
    <cellStyle name="Comma 2 4 12 4 2" xfId="12016"/>
    <cellStyle name="Comma 2 4 12 4 2 2" xfId="12017"/>
    <cellStyle name="Comma 2 4 12 4 3" xfId="12018"/>
    <cellStyle name="Comma 2 4 12 4 4" xfId="12019"/>
    <cellStyle name="Comma 2 4 12 4 5" xfId="12020"/>
    <cellStyle name="Comma 2 4 12 5" xfId="12021"/>
    <cellStyle name="Comma 2 4 12 5 2" xfId="12022"/>
    <cellStyle name="Comma 2 4 12 5 3" xfId="12023"/>
    <cellStyle name="Comma 2 4 12 5 4" xfId="12024"/>
    <cellStyle name="Comma 2 4 12 6" xfId="12025"/>
    <cellStyle name="Comma 2 4 12 6 2" xfId="12026"/>
    <cellStyle name="Comma 2 4 12 7" xfId="12027"/>
    <cellStyle name="Comma 2 4 12 8" xfId="12028"/>
    <cellStyle name="Comma 2 4 12 9" xfId="12029"/>
    <cellStyle name="Comma 2 4 13" xfId="12030"/>
    <cellStyle name="Comma 2 4 13 10" xfId="12031"/>
    <cellStyle name="Comma 2 4 13 2" xfId="12032"/>
    <cellStyle name="Comma 2 4 13 2 2" xfId="12033"/>
    <cellStyle name="Comma 2 4 13 2 2 2" xfId="12034"/>
    <cellStyle name="Comma 2 4 13 2 2 3" xfId="12035"/>
    <cellStyle name="Comma 2 4 13 2 3" xfId="12036"/>
    <cellStyle name="Comma 2 4 13 2 4" xfId="12037"/>
    <cellStyle name="Comma 2 4 13 2 5" xfId="12038"/>
    <cellStyle name="Comma 2 4 13 2 6" xfId="12039"/>
    <cellStyle name="Comma 2 4 13 3" xfId="12040"/>
    <cellStyle name="Comma 2 4 13 3 2" xfId="12041"/>
    <cellStyle name="Comma 2 4 13 3 2 2" xfId="12042"/>
    <cellStyle name="Comma 2 4 13 3 2 3" xfId="12043"/>
    <cellStyle name="Comma 2 4 13 3 3" xfId="12044"/>
    <cellStyle name="Comma 2 4 13 3 4" xfId="12045"/>
    <cellStyle name="Comma 2 4 13 3 5" xfId="12046"/>
    <cellStyle name="Comma 2 4 13 3 6" xfId="12047"/>
    <cellStyle name="Comma 2 4 13 4" xfId="12048"/>
    <cellStyle name="Comma 2 4 13 4 2" xfId="12049"/>
    <cellStyle name="Comma 2 4 13 4 2 2" xfId="12050"/>
    <cellStyle name="Comma 2 4 13 4 3" xfId="12051"/>
    <cellStyle name="Comma 2 4 13 4 4" xfId="12052"/>
    <cellStyle name="Comma 2 4 13 4 5" xfId="12053"/>
    <cellStyle name="Comma 2 4 13 5" xfId="12054"/>
    <cellStyle name="Comma 2 4 13 5 2" xfId="12055"/>
    <cellStyle name="Comma 2 4 13 5 3" xfId="12056"/>
    <cellStyle name="Comma 2 4 13 5 4" xfId="12057"/>
    <cellStyle name="Comma 2 4 13 6" xfId="12058"/>
    <cellStyle name="Comma 2 4 13 6 2" xfId="12059"/>
    <cellStyle name="Comma 2 4 13 7" xfId="12060"/>
    <cellStyle name="Comma 2 4 13 8" xfId="12061"/>
    <cellStyle name="Comma 2 4 13 9" xfId="12062"/>
    <cellStyle name="Comma 2 4 14" xfId="12063"/>
    <cellStyle name="Comma 2 4 14 10" xfId="12064"/>
    <cellStyle name="Comma 2 4 14 2" xfId="12065"/>
    <cellStyle name="Comma 2 4 14 2 2" xfId="12066"/>
    <cellStyle name="Comma 2 4 14 2 2 2" xfId="12067"/>
    <cellStyle name="Comma 2 4 14 2 2 3" xfId="12068"/>
    <cellStyle name="Comma 2 4 14 2 3" xfId="12069"/>
    <cellStyle name="Comma 2 4 14 2 4" xfId="12070"/>
    <cellStyle name="Comma 2 4 14 2 5" xfId="12071"/>
    <cellStyle name="Comma 2 4 14 2 6" xfId="12072"/>
    <cellStyle name="Comma 2 4 14 3" xfId="12073"/>
    <cellStyle name="Comma 2 4 14 3 2" xfId="12074"/>
    <cellStyle name="Comma 2 4 14 3 2 2" xfId="12075"/>
    <cellStyle name="Comma 2 4 14 3 2 3" xfId="12076"/>
    <cellStyle name="Comma 2 4 14 3 3" xfId="12077"/>
    <cellStyle name="Comma 2 4 14 3 4" xfId="12078"/>
    <cellStyle name="Comma 2 4 14 3 5" xfId="12079"/>
    <cellStyle name="Comma 2 4 14 3 6" xfId="12080"/>
    <cellStyle name="Comma 2 4 14 4" xfId="12081"/>
    <cellStyle name="Comma 2 4 14 4 2" xfId="12082"/>
    <cellStyle name="Comma 2 4 14 4 2 2" xfId="12083"/>
    <cellStyle name="Comma 2 4 14 4 3" xfId="12084"/>
    <cellStyle name="Comma 2 4 14 4 4" xfId="12085"/>
    <cellStyle name="Comma 2 4 14 4 5" xfId="12086"/>
    <cellStyle name="Comma 2 4 14 5" xfId="12087"/>
    <cellStyle name="Comma 2 4 14 5 2" xfId="12088"/>
    <cellStyle name="Comma 2 4 14 5 3" xfId="12089"/>
    <cellStyle name="Comma 2 4 14 5 4" xfId="12090"/>
    <cellStyle name="Comma 2 4 14 6" xfId="12091"/>
    <cellStyle name="Comma 2 4 14 6 2" xfId="12092"/>
    <cellStyle name="Comma 2 4 14 7" xfId="12093"/>
    <cellStyle name="Comma 2 4 14 8" xfId="12094"/>
    <cellStyle name="Comma 2 4 14 9" xfId="12095"/>
    <cellStyle name="Comma 2 4 15" xfId="12096"/>
    <cellStyle name="Comma 2 4 15 10" xfId="12097"/>
    <cellStyle name="Comma 2 4 15 2" xfId="12098"/>
    <cellStyle name="Comma 2 4 15 2 2" xfId="12099"/>
    <cellStyle name="Comma 2 4 15 2 2 2" xfId="12100"/>
    <cellStyle name="Comma 2 4 15 2 2 3" xfId="12101"/>
    <cellStyle name="Comma 2 4 15 2 3" xfId="12102"/>
    <cellStyle name="Comma 2 4 15 2 4" xfId="12103"/>
    <cellStyle name="Comma 2 4 15 2 5" xfId="12104"/>
    <cellStyle name="Comma 2 4 15 2 6" xfId="12105"/>
    <cellStyle name="Comma 2 4 15 3" xfId="12106"/>
    <cellStyle name="Comma 2 4 15 3 2" xfId="12107"/>
    <cellStyle name="Comma 2 4 15 3 2 2" xfId="12108"/>
    <cellStyle name="Comma 2 4 15 3 2 3" xfId="12109"/>
    <cellStyle name="Comma 2 4 15 3 3" xfId="12110"/>
    <cellStyle name="Comma 2 4 15 3 4" xfId="12111"/>
    <cellStyle name="Comma 2 4 15 3 5" xfId="12112"/>
    <cellStyle name="Comma 2 4 15 3 6" xfId="12113"/>
    <cellStyle name="Comma 2 4 15 4" xfId="12114"/>
    <cellStyle name="Comma 2 4 15 4 2" xfId="12115"/>
    <cellStyle name="Comma 2 4 15 4 2 2" xfId="12116"/>
    <cellStyle name="Comma 2 4 15 4 3" xfId="12117"/>
    <cellStyle name="Comma 2 4 15 4 4" xfId="12118"/>
    <cellStyle name="Comma 2 4 15 4 5" xfId="12119"/>
    <cellStyle name="Comma 2 4 15 5" xfId="12120"/>
    <cellStyle name="Comma 2 4 15 5 2" xfId="12121"/>
    <cellStyle name="Comma 2 4 15 5 3" xfId="12122"/>
    <cellStyle name="Comma 2 4 15 5 4" xfId="12123"/>
    <cellStyle name="Comma 2 4 15 6" xfId="12124"/>
    <cellStyle name="Comma 2 4 15 6 2" xfId="12125"/>
    <cellStyle name="Comma 2 4 15 7" xfId="12126"/>
    <cellStyle name="Comma 2 4 15 8" xfId="12127"/>
    <cellStyle name="Comma 2 4 15 9" xfId="12128"/>
    <cellStyle name="Comma 2 4 16" xfId="12129"/>
    <cellStyle name="Comma 2 4 16 10" xfId="12130"/>
    <cellStyle name="Comma 2 4 16 2" xfId="12131"/>
    <cellStyle name="Comma 2 4 16 2 2" xfId="12132"/>
    <cellStyle name="Comma 2 4 16 2 2 2" xfId="12133"/>
    <cellStyle name="Comma 2 4 16 2 2 3" xfId="12134"/>
    <cellStyle name="Comma 2 4 16 2 3" xfId="12135"/>
    <cellStyle name="Comma 2 4 16 2 4" xfId="12136"/>
    <cellStyle name="Comma 2 4 16 2 5" xfId="12137"/>
    <cellStyle name="Comma 2 4 16 2 6" xfId="12138"/>
    <cellStyle name="Comma 2 4 16 3" xfId="12139"/>
    <cellStyle name="Comma 2 4 16 3 2" xfId="12140"/>
    <cellStyle name="Comma 2 4 16 3 2 2" xfId="12141"/>
    <cellStyle name="Comma 2 4 16 3 2 3" xfId="12142"/>
    <cellStyle name="Comma 2 4 16 3 3" xfId="12143"/>
    <cellStyle name="Comma 2 4 16 3 4" xfId="12144"/>
    <cellStyle name="Comma 2 4 16 3 5" xfId="12145"/>
    <cellStyle name="Comma 2 4 16 3 6" xfId="12146"/>
    <cellStyle name="Comma 2 4 16 4" xfId="12147"/>
    <cellStyle name="Comma 2 4 16 4 2" xfId="12148"/>
    <cellStyle name="Comma 2 4 16 4 2 2" xfId="12149"/>
    <cellStyle name="Comma 2 4 16 4 3" xfId="12150"/>
    <cellStyle name="Comma 2 4 16 4 4" xfId="12151"/>
    <cellStyle name="Comma 2 4 16 4 5" xfId="12152"/>
    <cellStyle name="Comma 2 4 16 5" xfId="12153"/>
    <cellStyle name="Comma 2 4 16 5 2" xfId="12154"/>
    <cellStyle name="Comma 2 4 16 5 3" xfId="12155"/>
    <cellStyle name="Comma 2 4 16 5 4" xfId="12156"/>
    <cellStyle name="Comma 2 4 16 6" xfId="12157"/>
    <cellStyle name="Comma 2 4 16 6 2" xfId="12158"/>
    <cellStyle name="Comma 2 4 16 7" xfId="12159"/>
    <cellStyle name="Comma 2 4 16 8" xfId="12160"/>
    <cellStyle name="Comma 2 4 16 9" xfId="12161"/>
    <cellStyle name="Comma 2 4 17" xfId="12162"/>
    <cellStyle name="Comma 2 4 17 10" xfId="12163"/>
    <cellStyle name="Comma 2 4 17 2" xfId="12164"/>
    <cellStyle name="Comma 2 4 17 2 2" xfId="12165"/>
    <cellStyle name="Comma 2 4 17 2 2 2" xfId="12166"/>
    <cellStyle name="Comma 2 4 17 2 2 3" xfId="12167"/>
    <cellStyle name="Comma 2 4 17 2 3" xfId="12168"/>
    <cellStyle name="Comma 2 4 17 2 4" xfId="12169"/>
    <cellStyle name="Comma 2 4 17 2 5" xfId="12170"/>
    <cellStyle name="Comma 2 4 17 2 6" xfId="12171"/>
    <cellStyle name="Comma 2 4 17 3" xfId="12172"/>
    <cellStyle name="Comma 2 4 17 3 2" xfId="12173"/>
    <cellStyle name="Comma 2 4 17 3 2 2" xfId="12174"/>
    <cellStyle name="Comma 2 4 17 3 2 3" xfId="12175"/>
    <cellStyle name="Comma 2 4 17 3 3" xfId="12176"/>
    <cellStyle name="Comma 2 4 17 3 4" xfId="12177"/>
    <cellStyle name="Comma 2 4 17 3 5" xfId="12178"/>
    <cellStyle name="Comma 2 4 17 3 6" xfId="12179"/>
    <cellStyle name="Comma 2 4 17 4" xfId="12180"/>
    <cellStyle name="Comma 2 4 17 4 2" xfId="12181"/>
    <cellStyle name="Comma 2 4 17 4 2 2" xfId="12182"/>
    <cellStyle name="Comma 2 4 17 4 3" xfId="12183"/>
    <cellStyle name="Comma 2 4 17 4 4" xfId="12184"/>
    <cellStyle name="Comma 2 4 17 4 5" xfId="12185"/>
    <cellStyle name="Comma 2 4 17 5" xfId="12186"/>
    <cellStyle name="Comma 2 4 17 5 2" xfId="12187"/>
    <cellStyle name="Comma 2 4 17 5 3" xfId="12188"/>
    <cellStyle name="Comma 2 4 17 5 4" xfId="12189"/>
    <cellStyle name="Comma 2 4 17 6" xfId="12190"/>
    <cellStyle name="Comma 2 4 17 6 2" xfId="12191"/>
    <cellStyle name="Comma 2 4 17 7" xfId="12192"/>
    <cellStyle name="Comma 2 4 17 8" xfId="12193"/>
    <cellStyle name="Comma 2 4 17 9" xfId="12194"/>
    <cellStyle name="Comma 2 4 18" xfId="12195"/>
    <cellStyle name="Comma 2 4 18 10" xfId="12196"/>
    <cellStyle name="Comma 2 4 18 2" xfId="12197"/>
    <cellStyle name="Comma 2 4 18 2 2" xfId="12198"/>
    <cellStyle name="Comma 2 4 18 2 2 2" xfId="12199"/>
    <cellStyle name="Comma 2 4 18 2 2 3" xfId="12200"/>
    <cellStyle name="Comma 2 4 18 2 3" xfId="12201"/>
    <cellStyle name="Comma 2 4 18 2 4" xfId="12202"/>
    <cellStyle name="Comma 2 4 18 2 5" xfId="12203"/>
    <cellStyle name="Comma 2 4 18 2 6" xfId="12204"/>
    <cellStyle name="Comma 2 4 18 3" xfId="12205"/>
    <cellStyle name="Comma 2 4 18 3 2" xfId="12206"/>
    <cellStyle name="Comma 2 4 18 3 2 2" xfId="12207"/>
    <cellStyle name="Comma 2 4 18 3 2 3" xfId="12208"/>
    <cellStyle name="Comma 2 4 18 3 3" xfId="12209"/>
    <cellStyle name="Comma 2 4 18 3 4" xfId="12210"/>
    <cellStyle name="Comma 2 4 18 3 5" xfId="12211"/>
    <cellStyle name="Comma 2 4 18 3 6" xfId="12212"/>
    <cellStyle name="Comma 2 4 18 4" xfId="12213"/>
    <cellStyle name="Comma 2 4 18 4 2" xfId="12214"/>
    <cellStyle name="Comma 2 4 18 4 2 2" xfId="12215"/>
    <cellStyle name="Comma 2 4 18 4 3" xfId="12216"/>
    <cellStyle name="Comma 2 4 18 4 4" xfId="12217"/>
    <cellStyle name="Comma 2 4 18 4 5" xfId="12218"/>
    <cellStyle name="Comma 2 4 18 5" xfId="12219"/>
    <cellStyle name="Comma 2 4 18 5 2" xfId="12220"/>
    <cellStyle name="Comma 2 4 18 5 3" xfId="12221"/>
    <cellStyle name="Comma 2 4 18 5 4" xfId="12222"/>
    <cellStyle name="Comma 2 4 18 6" xfId="12223"/>
    <cellStyle name="Comma 2 4 18 6 2" xfId="12224"/>
    <cellStyle name="Comma 2 4 18 7" xfId="12225"/>
    <cellStyle name="Comma 2 4 18 8" xfId="12226"/>
    <cellStyle name="Comma 2 4 18 9" xfId="12227"/>
    <cellStyle name="Comma 2 4 19" xfId="12228"/>
    <cellStyle name="Comma 2 4 19 10" xfId="12229"/>
    <cellStyle name="Comma 2 4 19 2" xfId="12230"/>
    <cellStyle name="Comma 2 4 19 2 2" xfId="12231"/>
    <cellStyle name="Comma 2 4 19 2 2 2" xfId="12232"/>
    <cellStyle name="Comma 2 4 19 2 2 3" xfId="12233"/>
    <cellStyle name="Comma 2 4 19 2 3" xfId="12234"/>
    <cellStyle name="Comma 2 4 19 2 4" xfId="12235"/>
    <cellStyle name="Comma 2 4 19 2 5" xfId="12236"/>
    <cellStyle name="Comma 2 4 19 2 6" xfId="12237"/>
    <cellStyle name="Comma 2 4 19 3" xfId="12238"/>
    <cellStyle name="Comma 2 4 19 3 2" xfId="12239"/>
    <cellStyle name="Comma 2 4 19 3 2 2" xfId="12240"/>
    <cellStyle name="Comma 2 4 19 3 2 3" xfId="12241"/>
    <cellStyle name="Comma 2 4 19 3 3" xfId="12242"/>
    <cellStyle name="Comma 2 4 19 3 4" xfId="12243"/>
    <cellStyle name="Comma 2 4 19 3 5" xfId="12244"/>
    <cellStyle name="Comma 2 4 19 3 6" xfId="12245"/>
    <cellStyle name="Comma 2 4 19 4" xfId="12246"/>
    <cellStyle name="Comma 2 4 19 4 2" xfId="12247"/>
    <cellStyle name="Comma 2 4 19 4 2 2" xfId="12248"/>
    <cellStyle name="Comma 2 4 19 4 3" xfId="12249"/>
    <cellStyle name="Comma 2 4 19 4 4" xfId="12250"/>
    <cellStyle name="Comma 2 4 19 4 5" xfId="12251"/>
    <cellStyle name="Comma 2 4 19 5" xfId="12252"/>
    <cellStyle name="Comma 2 4 19 5 2" xfId="12253"/>
    <cellStyle name="Comma 2 4 19 5 3" xfId="12254"/>
    <cellStyle name="Comma 2 4 19 5 4" xfId="12255"/>
    <cellStyle name="Comma 2 4 19 6" xfId="12256"/>
    <cellStyle name="Comma 2 4 19 6 2" xfId="12257"/>
    <cellStyle name="Comma 2 4 19 7" xfId="12258"/>
    <cellStyle name="Comma 2 4 19 8" xfId="12259"/>
    <cellStyle name="Comma 2 4 19 9" xfId="12260"/>
    <cellStyle name="Comma 2 4 2" xfId="12261"/>
    <cellStyle name="Comma 2 4 2 10" xfId="12262"/>
    <cellStyle name="Comma 2 4 2 10 10" xfId="12263"/>
    <cellStyle name="Comma 2 4 2 10 2" xfId="12264"/>
    <cellStyle name="Comma 2 4 2 10 2 2" xfId="12265"/>
    <cellStyle name="Comma 2 4 2 10 2 2 2" xfId="12266"/>
    <cellStyle name="Comma 2 4 2 10 2 2 3" xfId="12267"/>
    <cellStyle name="Comma 2 4 2 10 2 3" xfId="12268"/>
    <cellStyle name="Comma 2 4 2 10 2 4" xfId="12269"/>
    <cellStyle name="Comma 2 4 2 10 2 5" xfId="12270"/>
    <cellStyle name="Comma 2 4 2 10 2 6" xfId="12271"/>
    <cellStyle name="Comma 2 4 2 10 3" xfId="12272"/>
    <cellStyle name="Comma 2 4 2 10 3 2" xfId="12273"/>
    <cellStyle name="Comma 2 4 2 10 3 2 2" xfId="12274"/>
    <cellStyle name="Comma 2 4 2 10 3 2 3" xfId="12275"/>
    <cellStyle name="Comma 2 4 2 10 3 3" xfId="12276"/>
    <cellStyle name="Comma 2 4 2 10 3 4" xfId="12277"/>
    <cellStyle name="Comma 2 4 2 10 3 5" xfId="12278"/>
    <cellStyle name="Comma 2 4 2 10 3 6" xfId="12279"/>
    <cellStyle name="Comma 2 4 2 10 4" xfId="12280"/>
    <cellStyle name="Comma 2 4 2 10 4 2" xfId="12281"/>
    <cellStyle name="Comma 2 4 2 10 4 2 2" xfId="12282"/>
    <cellStyle name="Comma 2 4 2 10 4 3" xfId="12283"/>
    <cellStyle name="Comma 2 4 2 10 4 4" xfId="12284"/>
    <cellStyle name="Comma 2 4 2 10 4 5" xfId="12285"/>
    <cellStyle name="Comma 2 4 2 10 5" xfId="12286"/>
    <cellStyle name="Comma 2 4 2 10 5 2" xfId="12287"/>
    <cellStyle name="Comma 2 4 2 10 5 3" xfId="12288"/>
    <cellStyle name="Comma 2 4 2 10 5 4" xfId="12289"/>
    <cellStyle name="Comma 2 4 2 10 6" xfId="12290"/>
    <cellStyle name="Comma 2 4 2 10 6 2" xfId="12291"/>
    <cellStyle name="Comma 2 4 2 10 7" xfId="12292"/>
    <cellStyle name="Comma 2 4 2 10 8" xfId="12293"/>
    <cellStyle name="Comma 2 4 2 10 9" xfId="12294"/>
    <cellStyle name="Comma 2 4 2 11" xfId="12295"/>
    <cellStyle name="Comma 2 4 2 11 10" xfId="12296"/>
    <cellStyle name="Comma 2 4 2 11 2" xfId="12297"/>
    <cellStyle name="Comma 2 4 2 11 2 2" xfId="12298"/>
    <cellStyle name="Comma 2 4 2 11 2 2 2" xfId="12299"/>
    <cellStyle name="Comma 2 4 2 11 2 2 3" xfId="12300"/>
    <cellStyle name="Comma 2 4 2 11 2 3" xfId="12301"/>
    <cellStyle name="Comma 2 4 2 11 2 4" xfId="12302"/>
    <cellStyle name="Comma 2 4 2 11 2 5" xfId="12303"/>
    <cellStyle name="Comma 2 4 2 11 2 6" xfId="12304"/>
    <cellStyle name="Comma 2 4 2 11 3" xfId="12305"/>
    <cellStyle name="Comma 2 4 2 11 3 2" xfId="12306"/>
    <cellStyle name="Comma 2 4 2 11 3 2 2" xfId="12307"/>
    <cellStyle name="Comma 2 4 2 11 3 2 3" xfId="12308"/>
    <cellStyle name="Comma 2 4 2 11 3 3" xfId="12309"/>
    <cellStyle name="Comma 2 4 2 11 3 4" xfId="12310"/>
    <cellStyle name="Comma 2 4 2 11 3 5" xfId="12311"/>
    <cellStyle name="Comma 2 4 2 11 3 6" xfId="12312"/>
    <cellStyle name="Comma 2 4 2 11 4" xfId="12313"/>
    <cellStyle name="Comma 2 4 2 11 4 2" xfId="12314"/>
    <cellStyle name="Comma 2 4 2 11 4 2 2" xfId="12315"/>
    <cellStyle name="Comma 2 4 2 11 4 3" xfId="12316"/>
    <cellStyle name="Comma 2 4 2 11 4 4" xfId="12317"/>
    <cellStyle name="Comma 2 4 2 11 4 5" xfId="12318"/>
    <cellStyle name="Comma 2 4 2 11 5" xfId="12319"/>
    <cellStyle name="Comma 2 4 2 11 5 2" xfId="12320"/>
    <cellStyle name="Comma 2 4 2 11 5 3" xfId="12321"/>
    <cellStyle name="Comma 2 4 2 11 5 4" xfId="12322"/>
    <cellStyle name="Comma 2 4 2 11 6" xfId="12323"/>
    <cellStyle name="Comma 2 4 2 11 6 2" xfId="12324"/>
    <cellStyle name="Comma 2 4 2 11 7" xfId="12325"/>
    <cellStyle name="Comma 2 4 2 11 8" xfId="12326"/>
    <cellStyle name="Comma 2 4 2 11 9" xfId="12327"/>
    <cellStyle name="Comma 2 4 2 12" xfId="12328"/>
    <cellStyle name="Comma 2 4 2 12 10" xfId="12329"/>
    <cellStyle name="Comma 2 4 2 12 2" xfId="12330"/>
    <cellStyle name="Comma 2 4 2 12 2 2" xfId="12331"/>
    <cellStyle name="Comma 2 4 2 12 2 2 2" xfId="12332"/>
    <cellStyle name="Comma 2 4 2 12 2 2 3" xfId="12333"/>
    <cellStyle name="Comma 2 4 2 12 2 3" xfId="12334"/>
    <cellStyle name="Comma 2 4 2 12 2 4" xfId="12335"/>
    <cellStyle name="Comma 2 4 2 12 2 5" xfId="12336"/>
    <cellStyle name="Comma 2 4 2 12 2 6" xfId="12337"/>
    <cellStyle name="Comma 2 4 2 12 3" xfId="12338"/>
    <cellStyle name="Comma 2 4 2 12 3 2" xfId="12339"/>
    <cellStyle name="Comma 2 4 2 12 3 2 2" xfId="12340"/>
    <cellStyle name="Comma 2 4 2 12 3 2 3" xfId="12341"/>
    <cellStyle name="Comma 2 4 2 12 3 3" xfId="12342"/>
    <cellStyle name="Comma 2 4 2 12 3 4" xfId="12343"/>
    <cellStyle name="Comma 2 4 2 12 3 5" xfId="12344"/>
    <cellStyle name="Comma 2 4 2 12 3 6" xfId="12345"/>
    <cellStyle name="Comma 2 4 2 12 4" xfId="12346"/>
    <cellStyle name="Comma 2 4 2 12 4 2" xfId="12347"/>
    <cellStyle name="Comma 2 4 2 12 4 2 2" xfId="12348"/>
    <cellStyle name="Comma 2 4 2 12 4 3" xfId="12349"/>
    <cellStyle name="Comma 2 4 2 12 4 4" xfId="12350"/>
    <cellStyle name="Comma 2 4 2 12 4 5" xfId="12351"/>
    <cellStyle name="Comma 2 4 2 12 5" xfId="12352"/>
    <cellStyle name="Comma 2 4 2 12 5 2" xfId="12353"/>
    <cellStyle name="Comma 2 4 2 12 5 3" xfId="12354"/>
    <cellStyle name="Comma 2 4 2 12 5 4" xfId="12355"/>
    <cellStyle name="Comma 2 4 2 12 6" xfId="12356"/>
    <cellStyle name="Comma 2 4 2 12 6 2" xfId="12357"/>
    <cellStyle name="Comma 2 4 2 12 7" xfId="12358"/>
    <cellStyle name="Comma 2 4 2 12 8" xfId="12359"/>
    <cellStyle name="Comma 2 4 2 12 9" xfId="12360"/>
    <cellStyle name="Comma 2 4 2 13" xfId="12361"/>
    <cellStyle name="Comma 2 4 2 13 2" xfId="12362"/>
    <cellStyle name="Comma 2 4 2 13 2 2" xfId="12363"/>
    <cellStyle name="Comma 2 4 2 13 2 2 2" xfId="12364"/>
    <cellStyle name="Comma 2 4 2 13 2 2 3" xfId="12365"/>
    <cellStyle name="Comma 2 4 2 13 2 3" xfId="12366"/>
    <cellStyle name="Comma 2 4 2 13 2 4" xfId="12367"/>
    <cellStyle name="Comma 2 4 2 13 2 5" xfId="12368"/>
    <cellStyle name="Comma 2 4 2 13 2 6" xfId="12369"/>
    <cellStyle name="Comma 2 4 2 13 3" xfId="12370"/>
    <cellStyle name="Comma 2 4 2 13 3 2" xfId="12371"/>
    <cellStyle name="Comma 2 4 2 13 3 2 2" xfId="12372"/>
    <cellStyle name="Comma 2 4 2 13 3 3" xfId="12373"/>
    <cellStyle name="Comma 2 4 2 13 3 4" xfId="12374"/>
    <cellStyle name="Comma 2 4 2 13 3 5" xfId="12375"/>
    <cellStyle name="Comma 2 4 2 13 4" xfId="12376"/>
    <cellStyle name="Comma 2 4 2 13 4 2" xfId="12377"/>
    <cellStyle name="Comma 2 4 2 13 4 3" xfId="12378"/>
    <cellStyle name="Comma 2 4 2 13 4 4" xfId="12379"/>
    <cellStyle name="Comma 2 4 2 13 5" xfId="12380"/>
    <cellStyle name="Comma 2 4 2 13 5 2" xfId="12381"/>
    <cellStyle name="Comma 2 4 2 13 6" xfId="12382"/>
    <cellStyle name="Comma 2 4 2 13 7" xfId="12383"/>
    <cellStyle name="Comma 2 4 2 13 8" xfId="12384"/>
    <cellStyle name="Comma 2 4 2 13 9" xfId="12385"/>
    <cellStyle name="Comma 2 4 2 14" xfId="12386"/>
    <cellStyle name="Comma 2 4 2 14 2" xfId="12387"/>
    <cellStyle name="Comma 2 4 2 14 2 2" xfId="12388"/>
    <cellStyle name="Comma 2 4 2 14 2 2 2" xfId="12389"/>
    <cellStyle name="Comma 2 4 2 14 2 2 3" xfId="12390"/>
    <cellStyle name="Comma 2 4 2 14 2 3" xfId="12391"/>
    <cellStyle name="Comma 2 4 2 14 2 4" xfId="12392"/>
    <cellStyle name="Comma 2 4 2 14 2 5" xfId="12393"/>
    <cellStyle name="Comma 2 4 2 14 2 6" xfId="12394"/>
    <cellStyle name="Comma 2 4 2 14 3" xfId="12395"/>
    <cellStyle name="Comma 2 4 2 14 3 2" xfId="12396"/>
    <cellStyle name="Comma 2 4 2 14 3 2 2" xfId="12397"/>
    <cellStyle name="Comma 2 4 2 14 3 3" xfId="12398"/>
    <cellStyle name="Comma 2 4 2 14 3 4" xfId="12399"/>
    <cellStyle name="Comma 2 4 2 14 3 5" xfId="12400"/>
    <cellStyle name="Comma 2 4 2 14 4" xfId="12401"/>
    <cellStyle name="Comma 2 4 2 14 4 2" xfId="12402"/>
    <cellStyle name="Comma 2 4 2 14 4 3" xfId="12403"/>
    <cellStyle name="Comma 2 4 2 14 4 4" xfId="12404"/>
    <cellStyle name="Comma 2 4 2 14 5" xfId="12405"/>
    <cellStyle name="Comma 2 4 2 14 5 2" xfId="12406"/>
    <cellStyle name="Comma 2 4 2 14 6" xfId="12407"/>
    <cellStyle name="Comma 2 4 2 14 7" xfId="12408"/>
    <cellStyle name="Comma 2 4 2 14 8" xfId="12409"/>
    <cellStyle name="Comma 2 4 2 14 9" xfId="12410"/>
    <cellStyle name="Comma 2 4 2 15" xfId="12411"/>
    <cellStyle name="Comma 2 4 2 15 2" xfId="12412"/>
    <cellStyle name="Comma 2 4 2 15 2 2" xfId="12413"/>
    <cellStyle name="Comma 2 4 2 15 2 3" xfId="12414"/>
    <cellStyle name="Comma 2 4 2 15 3" xfId="12415"/>
    <cellStyle name="Comma 2 4 2 15 4" xfId="12416"/>
    <cellStyle name="Comma 2 4 2 15 5" xfId="12417"/>
    <cellStyle name="Comma 2 4 2 15 6" xfId="12418"/>
    <cellStyle name="Comma 2 4 2 16" xfId="12419"/>
    <cellStyle name="Comma 2 4 2 16 2" xfId="12420"/>
    <cellStyle name="Comma 2 4 2 16 2 2" xfId="12421"/>
    <cellStyle name="Comma 2 4 2 16 3" xfId="12422"/>
    <cellStyle name="Comma 2 4 2 16 4" xfId="12423"/>
    <cellStyle name="Comma 2 4 2 16 5" xfId="12424"/>
    <cellStyle name="Comma 2 4 2 17" xfId="12425"/>
    <cellStyle name="Comma 2 4 2 17 2" xfId="12426"/>
    <cellStyle name="Comma 2 4 2 17 2 2" xfId="12427"/>
    <cellStyle name="Comma 2 4 2 17 3" xfId="12428"/>
    <cellStyle name="Comma 2 4 2 17 4" xfId="12429"/>
    <cellStyle name="Comma 2 4 2 17 5" xfId="12430"/>
    <cellStyle name="Comma 2 4 2 18" xfId="12431"/>
    <cellStyle name="Comma 2 4 2 18 2" xfId="12432"/>
    <cellStyle name="Comma 2 4 2 19" xfId="12433"/>
    <cellStyle name="Comma 2 4 2 2" xfId="12434"/>
    <cellStyle name="Comma 2 4 2 2 10" xfId="12435"/>
    <cellStyle name="Comma 2 4 2 2 11" xfId="12436"/>
    <cellStyle name="Comma 2 4 2 2 2" xfId="12437"/>
    <cellStyle name="Comma 2 4 2 2 2 2" xfId="12438"/>
    <cellStyle name="Comma 2 4 2 2 2 2 2" xfId="12439"/>
    <cellStyle name="Comma 2 4 2 2 2 2 2 2" xfId="12440"/>
    <cellStyle name="Comma 2 4 2 2 2 2 2 3" xfId="12441"/>
    <cellStyle name="Comma 2 4 2 2 2 2 3" xfId="12442"/>
    <cellStyle name="Comma 2 4 2 2 2 2 4" xfId="12443"/>
    <cellStyle name="Comma 2 4 2 2 2 2 5" xfId="12444"/>
    <cellStyle name="Comma 2 4 2 2 2 2 6" xfId="12445"/>
    <cellStyle name="Comma 2 4 2 2 2 3" xfId="12446"/>
    <cellStyle name="Comma 2 4 2 2 2 3 2" xfId="12447"/>
    <cellStyle name="Comma 2 4 2 2 2 3 2 2" xfId="12448"/>
    <cellStyle name="Comma 2 4 2 2 2 3 3" xfId="12449"/>
    <cellStyle name="Comma 2 4 2 2 2 3 4" xfId="12450"/>
    <cellStyle name="Comma 2 4 2 2 2 3 5" xfId="12451"/>
    <cellStyle name="Comma 2 4 2 2 2 4" xfId="12452"/>
    <cellStyle name="Comma 2 4 2 2 2 4 2" xfId="12453"/>
    <cellStyle name="Comma 2 4 2 2 2 4 3" xfId="12454"/>
    <cellStyle name="Comma 2 4 2 2 2 4 4" xfId="12455"/>
    <cellStyle name="Comma 2 4 2 2 2 5" xfId="12456"/>
    <cellStyle name="Comma 2 4 2 2 2 5 2" xfId="12457"/>
    <cellStyle name="Comma 2 4 2 2 2 6" xfId="12458"/>
    <cellStyle name="Comma 2 4 2 2 2 7" xfId="12459"/>
    <cellStyle name="Comma 2 4 2 2 2 8" xfId="12460"/>
    <cellStyle name="Comma 2 4 2 2 2 9" xfId="12461"/>
    <cellStyle name="Comma 2 4 2 2 3" xfId="12462"/>
    <cellStyle name="Comma 2 4 2 2 3 2" xfId="12463"/>
    <cellStyle name="Comma 2 4 2 2 3 2 2" xfId="12464"/>
    <cellStyle name="Comma 2 4 2 2 3 2 2 2" xfId="12465"/>
    <cellStyle name="Comma 2 4 2 2 3 2 2 3" xfId="12466"/>
    <cellStyle name="Comma 2 4 2 2 3 2 3" xfId="12467"/>
    <cellStyle name="Comma 2 4 2 2 3 2 4" xfId="12468"/>
    <cellStyle name="Comma 2 4 2 2 3 2 5" xfId="12469"/>
    <cellStyle name="Comma 2 4 2 2 3 2 6" xfId="12470"/>
    <cellStyle name="Comma 2 4 2 2 3 3" xfId="12471"/>
    <cellStyle name="Comma 2 4 2 2 3 3 2" xfId="12472"/>
    <cellStyle name="Comma 2 4 2 2 3 3 2 2" xfId="12473"/>
    <cellStyle name="Comma 2 4 2 2 3 3 3" xfId="12474"/>
    <cellStyle name="Comma 2 4 2 2 3 3 4" xfId="12475"/>
    <cellStyle name="Comma 2 4 2 2 3 3 5" xfId="12476"/>
    <cellStyle name="Comma 2 4 2 2 3 4" xfId="12477"/>
    <cellStyle name="Comma 2 4 2 2 3 4 2" xfId="12478"/>
    <cellStyle name="Comma 2 4 2 2 3 4 3" xfId="12479"/>
    <cellStyle name="Comma 2 4 2 2 3 4 4" xfId="12480"/>
    <cellStyle name="Comma 2 4 2 2 3 5" xfId="12481"/>
    <cellStyle name="Comma 2 4 2 2 3 5 2" xfId="12482"/>
    <cellStyle name="Comma 2 4 2 2 3 6" xfId="12483"/>
    <cellStyle name="Comma 2 4 2 2 3 7" xfId="12484"/>
    <cellStyle name="Comma 2 4 2 2 3 8" xfId="12485"/>
    <cellStyle name="Comma 2 4 2 2 3 9" xfId="12486"/>
    <cellStyle name="Comma 2 4 2 2 4" xfId="12487"/>
    <cellStyle name="Comma 2 4 2 2 4 2" xfId="12488"/>
    <cellStyle name="Comma 2 4 2 2 4 2 2" xfId="12489"/>
    <cellStyle name="Comma 2 4 2 2 4 2 3" xfId="12490"/>
    <cellStyle name="Comma 2 4 2 2 4 3" xfId="12491"/>
    <cellStyle name="Comma 2 4 2 2 4 4" xfId="12492"/>
    <cellStyle name="Comma 2 4 2 2 4 5" xfId="12493"/>
    <cellStyle name="Comma 2 4 2 2 4 6" xfId="12494"/>
    <cellStyle name="Comma 2 4 2 2 5" xfId="12495"/>
    <cellStyle name="Comma 2 4 2 2 5 2" xfId="12496"/>
    <cellStyle name="Comma 2 4 2 2 5 2 2" xfId="12497"/>
    <cellStyle name="Comma 2 4 2 2 5 3" xfId="12498"/>
    <cellStyle name="Comma 2 4 2 2 5 4" xfId="12499"/>
    <cellStyle name="Comma 2 4 2 2 5 5" xfId="12500"/>
    <cellStyle name="Comma 2 4 2 2 6" xfId="12501"/>
    <cellStyle name="Comma 2 4 2 2 6 2" xfId="12502"/>
    <cellStyle name="Comma 2 4 2 2 6 3" xfId="12503"/>
    <cellStyle name="Comma 2 4 2 2 6 4" xfId="12504"/>
    <cellStyle name="Comma 2 4 2 2 7" xfId="12505"/>
    <cellStyle name="Comma 2 4 2 2 7 2" xfId="12506"/>
    <cellStyle name="Comma 2 4 2 2 8" xfId="12507"/>
    <cellStyle name="Comma 2 4 2 2 9" xfId="12508"/>
    <cellStyle name="Comma 2 4 2 20" xfId="12509"/>
    <cellStyle name="Comma 2 4 2 21" xfId="12510"/>
    <cellStyle name="Comma 2 4 2 22" xfId="12511"/>
    <cellStyle name="Comma 2 4 2 3" xfId="12512"/>
    <cellStyle name="Comma 2 4 2 3 10" xfId="12513"/>
    <cellStyle name="Comma 2 4 2 3 11" xfId="12514"/>
    <cellStyle name="Comma 2 4 2 3 2" xfId="12515"/>
    <cellStyle name="Comma 2 4 2 3 2 2" xfId="12516"/>
    <cellStyle name="Comma 2 4 2 3 2 2 2" xfId="12517"/>
    <cellStyle name="Comma 2 4 2 3 2 2 2 2" xfId="12518"/>
    <cellStyle name="Comma 2 4 2 3 2 2 2 3" xfId="12519"/>
    <cellStyle name="Comma 2 4 2 3 2 2 3" xfId="12520"/>
    <cellStyle name="Comma 2 4 2 3 2 2 4" xfId="12521"/>
    <cellStyle name="Comma 2 4 2 3 2 2 5" xfId="12522"/>
    <cellStyle name="Comma 2 4 2 3 2 2 6" xfId="12523"/>
    <cellStyle name="Comma 2 4 2 3 2 3" xfId="12524"/>
    <cellStyle name="Comma 2 4 2 3 2 3 2" xfId="12525"/>
    <cellStyle name="Comma 2 4 2 3 2 3 2 2" xfId="12526"/>
    <cellStyle name="Comma 2 4 2 3 2 3 3" xfId="12527"/>
    <cellStyle name="Comma 2 4 2 3 2 3 4" xfId="12528"/>
    <cellStyle name="Comma 2 4 2 3 2 3 5" xfId="12529"/>
    <cellStyle name="Comma 2 4 2 3 2 4" xfId="12530"/>
    <cellStyle name="Comma 2 4 2 3 2 4 2" xfId="12531"/>
    <cellStyle name="Comma 2 4 2 3 2 4 3" xfId="12532"/>
    <cellStyle name="Comma 2 4 2 3 2 4 4" xfId="12533"/>
    <cellStyle name="Comma 2 4 2 3 2 5" xfId="12534"/>
    <cellStyle name="Comma 2 4 2 3 2 5 2" xfId="12535"/>
    <cellStyle name="Comma 2 4 2 3 2 6" xfId="12536"/>
    <cellStyle name="Comma 2 4 2 3 2 7" xfId="12537"/>
    <cellStyle name="Comma 2 4 2 3 2 8" xfId="12538"/>
    <cellStyle name="Comma 2 4 2 3 2 9" xfId="12539"/>
    <cellStyle name="Comma 2 4 2 3 3" xfId="12540"/>
    <cellStyle name="Comma 2 4 2 3 3 2" xfId="12541"/>
    <cellStyle name="Comma 2 4 2 3 3 2 2" xfId="12542"/>
    <cellStyle name="Comma 2 4 2 3 3 2 2 2" xfId="12543"/>
    <cellStyle name="Comma 2 4 2 3 3 2 2 3" xfId="12544"/>
    <cellStyle name="Comma 2 4 2 3 3 2 3" xfId="12545"/>
    <cellStyle name="Comma 2 4 2 3 3 2 4" xfId="12546"/>
    <cellStyle name="Comma 2 4 2 3 3 2 5" xfId="12547"/>
    <cellStyle name="Comma 2 4 2 3 3 2 6" xfId="12548"/>
    <cellStyle name="Comma 2 4 2 3 3 3" xfId="12549"/>
    <cellStyle name="Comma 2 4 2 3 3 3 2" xfId="12550"/>
    <cellStyle name="Comma 2 4 2 3 3 3 2 2" xfId="12551"/>
    <cellStyle name="Comma 2 4 2 3 3 3 3" xfId="12552"/>
    <cellStyle name="Comma 2 4 2 3 3 3 4" xfId="12553"/>
    <cellStyle name="Comma 2 4 2 3 3 3 5" xfId="12554"/>
    <cellStyle name="Comma 2 4 2 3 3 4" xfId="12555"/>
    <cellStyle name="Comma 2 4 2 3 3 4 2" xfId="12556"/>
    <cellStyle name="Comma 2 4 2 3 3 4 3" xfId="12557"/>
    <cellStyle name="Comma 2 4 2 3 3 4 4" xfId="12558"/>
    <cellStyle name="Comma 2 4 2 3 3 5" xfId="12559"/>
    <cellStyle name="Comma 2 4 2 3 3 5 2" xfId="12560"/>
    <cellStyle name="Comma 2 4 2 3 3 6" xfId="12561"/>
    <cellStyle name="Comma 2 4 2 3 3 7" xfId="12562"/>
    <cellStyle name="Comma 2 4 2 3 3 8" xfId="12563"/>
    <cellStyle name="Comma 2 4 2 3 3 9" xfId="12564"/>
    <cellStyle name="Comma 2 4 2 3 4" xfId="12565"/>
    <cellStyle name="Comma 2 4 2 3 4 2" xfId="12566"/>
    <cellStyle name="Comma 2 4 2 3 4 2 2" xfId="12567"/>
    <cellStyle name="Comma 2 4 2 3 4 2 3" xfId="12568"/>
    <cellStyle name="Comma 2 4 2 3 4 3" xfId="12569"/>
    <cellStyle name="Comma 2 4 2 3 4 4" xfId="12570"/>
    <cellStyle name="Comma 2 4 2 3 4 5" xfId="12571"/>
    <cellStyle name="Comma 2 4 2 3 4 6" xfId="12572"/>
    <cellStyle name="Comma 2 4 2 3 5" xfId="12573"/>
    <cellStyle name="Comma 2 4 2 3 5 2" xfId="12574"/>
    <cellStyle name="Comma 2 4 2 3 5 2 2" xfId="12575"/>
    <cellStyle name="Comma 2 4 2 3 5 3" xfId="12576"/>
    <cellStyle name="Comma 2 4 2 3 5 4" xfId="12577"/>
    <cellStyle name="Comma 2 4 2 3 5 5" xfId="12578"/>
    <cellStyle name="Comma 2 4 2 3 6" xfId="12579"/>
    <cellStyle name="Comma 2 4 2 3 6 2" xfId="12580"/>
    <cellStyle name="Comma 2 4 2 3 6 3" xfId="12581"/>
    <cellStyle name="Comma 2 4 2 3 6 4" xfId="12582"/>
    <cellStyle name="Comma 2 4 2 3 7" xfId="12583"/>
    <cellStyle name="Comma 2 4 2 3 7 2" xfId="12584"/>
    <cellStyle name="Comma 2 4 2 3 8" xfId="12585"/>
    <cellStyle name="Comma 2 4 2 3 9" xfId="12586"/>
    <cellStyle name="Comma 2 4 2 4" xfId="12587"/>
    <cellStyle name="Comma 2 4 2 4 10" xfId="12588"/>
    <cellStyle name="Comma 2 4 2 4 11" xfId="12589"/>
    <cellStyle name="Comma 2 4 2 4 2" xfId="12590"/>
    <cellStyle name="Comma 2 4 2 4 2 2" xfId="12591"/>
    <cellStyle name="Comma 2 4 2 4 2 2 2" xfId="12592"/>
    <cellStyle name="Comma 2 4 2 4 2 2 2 2" xfId="12593"/>
    <cellStyle name="Comma 2 4 2 4 2 2 2 3" xfId="12594"/>
    <cellStyle name="Comma 2 4 2 4 2 2 3" xfId="12595"/>
    <cellStyle name="Comma 2 4 2 4 2 2 4" xfId="12596"/>
    <cellStyle name="Comma 2 4 2 4 2 2 5" xfId="12597"/>
    <cellStyle name="Comma 2 4 2 4 2 2 6" xfId="12598"/>
    <cellStyle name="Comma 2 4 2 4 2 3" xfId="12599"/>
    <cellStyle name="Comma 2 4 2 4 2 3 2" xfId="12600"/>
    <cellStyle name="Comma 2 4 2 4 2 3 2 2" xfId="12601"/>
    <cellStyle name="Comma 2 4 2 4 2 3 3" xfId="12602"/>
    <cellStyle name="Comma 2 4 2 4 2 3 4" xfId="12603"/>
    <cellStyle name="Comma 2 4 2 4 2 3 5" xfId="12604"/>
    <cellStyle name="Comma 2 4 2 4 2 4" xfId="12605"/>
    <cellStyle name="Comma 2 4 2 4 2 4 2" xfId="12606"/>
    <cellStyle name="Comma 2 4 2 4 2 4 3" xfId="12607"/>
    <cellStyle name="Comma 2 4 2 4 2 4 4" xfId="12608"/>
    <cellStyle name="Comma 2 4 2 4 2 5" xfId="12609"/>
    <cellStyle name="Comma 2 4 2 4 2 5 2" xfId="12610"/>
    <cellStyle name="Comma 2 4 2 4 2 6" xfId="12611"/>
    <cellStyle name="Comma 2 4 2 4 2 7" xfId="12612"/>
    <cellStyle name="Comma 2 4 2 4 2 8" xfId="12613"/>
    <cellStyle name="Comma 2 4 2 4 2 9" xfId="12614"/>
    <cellStyle name="Comma 2 4 2 4 3" xfId="12615"/>
    <cellStyle name="Comma 2 4 2 4 3 2" xfId="12616"/>
    <cellStyle name="Comma 2 4 2 4 3 2 2" xfId="12617"/>
    <cellStyle name="Comma 2 4 2 4 3 2 2 2" xfId="12618"/>
    <cellStyle name="Comma 2 4 2 4 3 2 2 3" xfId="12619"/>
    <cellStyle name="Comma 2 4 2 4 3 2 3" xfId="12620"/>
    <cellStyle name="Comma 2 4 2 4 3 2 4" xfId="12621"/>
    <cellStyle name="Comma 2 4 2 4 3 2 5" xfId="12622"/>
    <cellStyle name="Comma 2 4 2 4 3 2 6" xfId="12623"/>
    <cellStyle name="Comma 2 4 2 4 3 3" xfId="12624"/>
    <cellStyle name="Comma 2 4 2 4 3 3 2" xfId="12625"/>
    <cellStyle name="Comma 2 4 2 4 3 3 2 2" xfId="12626"/>
    <cellStyle name="Comma 2 4 2 4 3 3 3" xfId="12627"/>
    <cellStyle name="Comma 2 4 2 4 3 3 4" xfId="12628"/>
    <cellStyle name="Comma 2 4 2 4 3 3 5" xfId="12629"/>
    <cellStyle name="Comma 2 4 2 4 3 4" xfId="12630"/>
    <cellStyle name="Comma 2 4 2 4 3 4 2" xfId="12631"/>
    <cellStyle name="Comma 2 4 2 4 3 4 3" xfId="12632"/>
    <cellStyle name="Comma 2 4 2 4 3 4 4" xfId="12633"/>
    <cellStyle name="Comma 2 4 2 4 3 5" xfId="12634"/>
    <cellStyle name="Comma 2 4 2 4 3 5 2" xfId="12635"/>
    <cellStyle name="Comma 2 4 2 4 3 6" xfId="12636"/>
    <cellStyle name="Comma 2 4 2 4 3 7" xfId="12637"/>
    <cellStyle name="Comma 2 4 2 4 3 8" xfId="12638"/>
    <cellStyle name="Comma 2 4 2 4 3 9" xfId="12639"/>
    <cellStyle name="Comma 2 4 2 4 4" xfId="12640"/>
    <cellStyle name="Comma 2 4 2 4 4 2" xfId="12641"/>
    <cellStyle name="Comma 2 4 2 4 4 2 2" xfId="12642"/>
    <cellStyle name="Comma 2 4 2 4 4 2 3" xfId="12643"/>
    <cellStyle name="Comma 2 4 2 4 4 3" xfId="12644"/>
    <cellStyle name="Comma 2 4 2 4 4 4" xfId="12645"/>
    <cellStyle name="Comma 2 4 2 4 4 5" xfId="12646"/>
    <cellStyle name="Comma 2 4 2 4 4 6" xfId="12647"/>
    <cellStyle name="Comma 2 4 2 4 5" xfId="12648"/>
    <cellStyle name="Comma 2 4 2 4 5 2" xfId="12649"/>
    <cellStyle name="Comma 2 4 2 4 5 2 2" xfId="12650"/>
    <cellStyle name="Comma 2 4 2 4 5 3" xfId="12651"/>
    <cellStyle name="Comma 2 4 2 4 5 4" xfId="12652"/>
    <cellStyle name="Comma 2 4 2 4 5 5" xfId="12653"/>
    <cellStyle name="Comma 2 4 2 4 6" xfId="12654"/>
    <cellStyle name="Comma 2 4 2 4 6 2" xfId="12655"/>
    <cellStyle name="Comma 2 4 2 4 6 3" xfId="12656"/>
    <cellStyle name="Comma 2 4 2 4 6 4" xfId="12657"/>
    <cellStyle name="Comma 2 4 2 4 7" xfId="12658"/>
    <cellStyle name="Comma 2 4 2 4 7 2" xfId="12659"/>
    <cellStyle name="Comma 2 4 2 4 8" xfId="12660"/>
    <cellStyle name="Comma 2 4 2 4 9" xfId="12661"/>
    <cellStyle name="Comma 2 4 2 5" xfId="12662"/>
    <cellStyle name="Comma 2 4 2 5 10" xfId="12663"/>
    <cellStyle name="Comma 2 4 2 5 11" xfId="12664"/>
    <cellStyle name="Comma 2 4 2 5 2" xfId="12665"/>
    <cellStyle name="Comma 2 4 2 5 2 2" xfId="12666"/>
    <cellStyle name="Comma 2 4 2 5 2 2 2" xfId="12667"/>
    <cellStyle name="Comma 2 4 2 5 2 2 2 2" xfId="12668"/>
    <cellStyle name="Comma 2 4 2 5 2 2 2 3" xfId="12669"/>
    <cellStyle name="Comma 2 4 2 5 2 2 3" xfId="12670"/>
    <cellStyle name="Comma 2 4 2 5 2 2 4" xfId="12671"/>
    <cellStyle name="Comma 2 4 2 5 2 2 5" xfId="12672"/>
    <cellStyle name="Comma 2 4 2 5 2 2 6" xfId="12673"/>
    <cellStyle name="Comma 2 4 2 5 2 3" xfId="12674"/>
    <cellStyle name="Comma 2 4 2 5 2 3 2" xfId="12675"/>
    <cellStyle name="Comma 2 4 2 5 2 3 2 2" xfId="12676"/>
    <cellStyle name="Comma 2 4 2 5 2 3 3" xfId="12677"/>
    <cellStyle name="Comma 2 4 2 5 2 3 4" xfId="12678"/>
    <cellStyle name="Comma 2 4 2 5 2 3 5" xfId="12679"/>
    <cellStyle name="Comma 2 4 2 5 2 4" xfId="12680"/>
    <cellStyle name="Comma 2 4 2 5 2 4 2" xfId="12681"/>
    <cellStyle name="Comma 2 4 2 5 2 4 3" xfId="12682"/>
    <cellStyle name="Comma 2 4 2 5 2 4 4" xfId="12683"/>
    <cellStyle name="Comma 2 4 2 5 2 5" xfId="12684"/>
    <cellStyle name="Comma 2 4 2 5 2 5 2" xfId="12685"/>
    <cellStyle name="Comma 2 4 2 5 2 6" xfId="12686"/>
    <cellStyle name="Comma 2 4 2 5 2 7" xfId="12687"/>
    <cellStyle name="Comma 2 4 2 5 2 8" xfId="12688"/>
    <cellStyle name="Comma 2 4 2 5 2 9" xfId="12689"/>
    <cellStyle name="Comma 2 4 2 5 3" xfId="12690"/>
    <cellStyle name="Comma 2 4 2 5 3 2" xfId="12691"/>
    <cellStyle name="Comma 2 4 2 5 3 2 2" xfId="12692"/>
    <cellStyle name="Comma 2 4 2 5 3 2 2 2" xfId="12693"/>
    <cellStyle name="Comma 2 4 2 5 3 2 2 3" xfId="12694"/>
    <cellStyle name="Comma 2 4 2 5 3 2 3" xfId="12695"/>
    <cellStyle name="Comma 2 4 2 5 3 2 4" xfId="12696"/>
    <cellStyle name="Comma 2 4 2 5 3 2 5" xfId="12697"/>
    <cellStyle name="Comma 2 4 2 5 3 2 6" xfId="12698"/>
    <cellStyle name="Comma 2 4 2 5 3 3" xfId="12699"/>
    <cellStyle name="Comma 2 4 2 5 3 3 2" xfId="12700"/>
    <cellStyle name="Comma 2 4 2 5 3 3 2 2" xfId="12701"/>
    <cellStyle name="Comma 2 4 2 5 3 3 3" xfId="12702"/>
    <cellStyle name="Comma 2 4 2 5 3 3 4" xfId="12703"/>
    <cellStyle name="Comma 2 4 2 5 3 3 5" xfId="12704"/>
    <cellStyle name="Comma 2 4 2 5 3 4" xfId="12705"/>
    <cellStyle name="Comma 2 4 2 5 3 4 2" xfId="12706"/>
    <cellStyle name="Comma 2 4 2 5 3 4 3" xfId="12707"/>
    <cellStyle name="Comma 2 4 2 5 3 4 4" xfId="12708"/>
    <cellStyle name="Comma 2 4 2 5 3 5" xfId="12709"/>
    <cellStyle name="Comma 2 4 2 5 3 5 2" xfId="12710"/>
    <cellStyle name="Comma 2 4 2 5 3 6" xfId="12711"/>
    <cellStyle name="Comma 2 4 2 5 3 7" xfId="12712"/>
    <cellStyle name="Comma 2 4 2 5 3 8" xfId="12713"/>
    <cellStyle name="Comma 2 4 2 5 3 9" xfId="12714"/>
    <cellStyle name="Comma 2 4 2 5 4" xfId="12715"/>
    <cellStyle name="Comma 2 4 2 5 4 2" xfId="12716"/>
    <cellStyle name="Comma 2 4 2 5 4 2 2" xfId="12717"/>
    <cellStyle name="Comma 2 4 2 5 4 2 3" xfId="12718"/>
    <cellStyle name="Comma 2 4 2 5 4 3" xfId="12719"/>
    <cellStyle name="Comma 2 4 2 5 4 4" xfId="12720"/>
    <cellStyle name="Comma 2 4 2 5 4 5" xfId="12721"/>
    <cellStyle name="Comma 2 4 2 5 4 6" xfId="12722"/>
    <cellStyle name="Comma 2 4 2 5 5" xfId="12723"/>
    <cellStyle name="Comma 2 4 2 5 5 2" xfId="12724"/>
    <cellStyle name="Comma 2 4 2 5 5 2 2" xfId="12725"/>
    <cellStyle name="Comma 2 4 2 5 5 3" xfId="12726"/>
    <cellStyle name="Comma 2 4 2 5 5 4" xfId="12727"/>
    <cellStyle name="Comma 2 4 2 5 5 5" xfId="12728"/>
    <cellStyle name="Comma 2 4 2 5 6" xfId="12729"/>
    <cellStyle name="Comma 2 4 2 5 6 2" xfId="12730"/>
    <cellStyle name="Comma 2 4 2 5 6 3" xfId="12731"/>
    <cellStyle name="Comma 2 4 2 5 6 4" xfId="12732"/>
    <cellStyle name="Comma 2 4 2 5 7" xfId="12733"/>
    <cellStyle name="Comma 2 4 2 5 7 2" xfId="12734"/>
    <cellStyle name="Comma 2 4 2 5 8" xfId="12735"/>
    <cellStyle name="Comma 2 4 2 5 9" xfId="12736"/>
    <cellStyle name="Comma 2 4 2 6" xfId="12737"/>
    <cellStyle name="Comma 2 4 2 6 10" xfId="12738"/>
    <cellStyle name="Comma 2 4 2 6 11" xfId="12739"/>
    <cellStyle name="Comma 2 4 2 6 2" xfId="12740"/>
    <cellStyle name="Comma 2 4 2 6 2 2" xfId="12741"/>
    <cellStyle name="Comma 2 4 2 6 2 2 2" xfId="12742"/>
    <cellStyle name="Comma 2 4 2 6 2 2 2 2" xfId="12743"/>
    <cellStyle name="Comma 2 4 2 6 2 2 2 3" xfId="12744"/>
    <cellStyle name="Comma 2 4 2 6 2 2 3" xfId="12745"/>
    <cellStyle name="Comma 2 4 2 6 2 2 4" xfId="12746"/>
    <cellStyle name="Comma 2 4 2 6 2 2 5" xfId="12747"/>
    <cellStyle name="Comma 2 4 2 6 2 2 6" xfId="12748"/>
    <cellStyle name="Comma 2 4 2 6 2 3" xfId="12749"/>
    <cellStyle name="Comma 2 4 2 6 2 3 2" xfId="12750"/>
    <cellStyle name="Comma 2 4 2 6 2 3 2 2" xfId="12751"/>
    <cellStyle name="Comma 2 4 2 6 2 3 3" xfId="12752"/>
    <cellStyle name="Comma 2 4 2 6 2 3 4" xfId="12753"/>
    <cellStyle name="Comma 2 4 2 6 2 3 5" xfId="12754"/>
    <cellStyle name="Comma 2 4 2 6 2 4" xfId="12755"/>
    <cellStyle name="Comma 2 4 2 6 2 4 2" xfId="12756"/>
    <cellStyle name="Comma 2 4 2 6 2 4 3" xfId="12757"/>
    <cellStyle name="Comma 2 4 2 6 2 4 4" xfId="12758"/>
    <cellStyle name="Comma 2 4 2 6 2 5" xfId="12759"/>
    <cellStyle name="Comma 2 4 2 6 2 5 2" xfId="12760"/>
    <cellStyle name="Comma 2 4 2 6 2 6" xfId="12761"/>
    <cellStyle name="Comma 2 4 2 6 2 7" xfId="12762"/>
    <cellStyle name="Comma 2 4 2 6 2 8" xfId="12763"/>
    <cellStyle name="Comma 2 4 2 6 2 9" xfId="12764"/>
    <cellStyle name="Comma 2 4 2 6 3" xfId="12765"/>
    <cellStyle name="Comma 2 4 2 6 3 2" xfId="12766"/>
    <cellStyle name="Comma 2 4 2 6 3 2 2" xfId="12767"/>
    <cellStyle name="Comma 2 4 2 6 3 2 2 2" xfId="12768"/>
    <cellStyle name="Comma 2 4 2 6 3 2 2 3" xfId="12769"/>
    <cellStyle name="Comma 2 4 2 6 3 2 3" xfId="12770"/>
    <cellStyle name="Comma 2 4 2 6 3 2 4" xfId="12771"/>
    <cellStyle name="Comma 2 4 2 6 3 2 5" xfId="12772"/>
    <cellStyle name="Comma 2 4 2 6 3 2 6" xfId="12773"/>
    <cellStyle name="Comma 2 4 2 6 3 3" xfId="12774"/>
    <cellStyle name="Comma 2 4 2 6 3 3 2" xfId="12775"/>
    <cellStyle name="Comma 2 4 2 6 3 3 2 2" xfId="12776"/>
    <cellStyle name="Comma 2 4 2 6 3 3 3" xfId="12777"/>
    <cellStyle name="Comma 2 4 2 6 3 3 4" xfId="12778"/>
    <cellStyle name="Comma 2 4 2 6 3 3 5" xfId="12779"/>
    <cellStyle name="Comma 2 4 2 6 3 4" xfId="12780"/>
    <cellStyle name="Comma 2 4 2 6 3 4 2" xfId="12781"/>
    <cellStyle name="Comma 2 4 2 6 3 4 3" xfId="12782"/>
    <cellStyle name="Comma 2 4 2 6 3 4 4" xfId="12783"/>
    <cellStyle name="Comma 2 4 2 6 3 5" xfId="12784"/>
    <cellStyle name="Comma 2 4 2 6 3 5 2" xfId="12785"/>
    <cellStyle name="Comma 2 4 2 6 3 6" xfId="12786"/>
    <cellStyle name="Comma 2 4 2 6 3 7" xfId="12787"/>
    <cellStyle name="Comma 2 4 2 6 3 8" xfId="12788"/>
    <cellStyle name="Comma 2 4 2 6 3 9" xfId="12789"/>
    <cellStyle name="Comma 2 4 2 6 4" xfId="12790"/>
    <cellStyle name="Comma 2 4 2 6 4 2" xfId="12791"/>
    <cellStyle name="Comma 2 4 2 6 4 2 2" xfId="12792"/>
    <cellStyle name="Comma 2 4 2 6 4 2 3" xfId="12793"/>
    <cellStyle name="Comma 2 4 2 6 4 3" xfId="12794"/>
    <cellStyle name="Comma 2 4 2 6 4 4" xfId="12795"/>
    <cellStyle name="Comma 2 4 2 6 4 5" xfId="12796"/>
    <cellStyle name="Comma 2 4 2 6 4 6" xfId="12797"/>
    <cellStyle name="Comma 2 4 2 6 5" xfId="12798"/>
    <cellStyle name="Comma 2 4 2 6 5 2" xfId="12799"/>
    <cellStyle name="Comma 2 4 2 6 5 2 2" xfId="12800"/>
    <cellStyle name="Comma 2 4 2 6 5 3" xfId="12801"/>
    <cellStyle name="Comma 2 4 2 6 5 4" xfId="12802"/>
    <cellStyle name="Comma 2 4 2 6 5 5" xfId="12803"/>
    <cellStyle name="Comma 2 4 2 6 6" xfId="12804"/>
    <cellStyle name="Comma 2 4 2 6 6 2" xfId="12805"/>
    <cellStyle name="Comma 2 4 2 6 6 3" xfId="12806"/>
    <cellStyle name="Comma 2 4 2 6 6 4" xfId="12807"/>
    <cellStyle name="Comma 2 4 2 6 7" xfId="12808"/>
    <cellStyle name="Comma 2 4 2 6 7 2" xfId="12809"/>
    <cellStyle name="Comma 2 4 2 6 8" xfId="12810"/>
    <cellStyle name="Comma 2 4 2 6 9" xfId="12811"/>
    <cellStyle name="Comma 2 4 2 7" xfId="12812"/>
    <cellStyle name="Comma 2 4 2 7 10" xfId="12813"/>
    <cellStyle name="Comma 2 4 2 7 11" xfId="12814"/>
    <cellStyle name="Comma 2 4 2 7 2" xfId="12815"/>
    <cellStyle name="Comma 2 4 2 7 2 2" xfId="12816"/>
    <cellStyle name="Comma 2 4 2 7 2 2 2" xfId="12817"/>
    <cellStyle name="Comma 2 4 2 7 2 2 2 2" xfId="12818"/>
    <cellStyle name="Comma 2 4 2 7 2 2 2 3" xfId="12819"/>
    <cellStyle name="Comma 2 4 2 7 2 2 3" xfId="12820"/>
    <cellStyle name="Comma 2 4 2 7 2 2 4" xfId="12821"/>
    <cellStyle name="Comma 2 4 2 7 2 2 5" xfId="12822"/>
    <cellStyle name="Comma 2 4 2 7 2 2 6" xfId="12823"/>
    <cellStyle name="Comma 2 4 2 7 2 3" xfId="12824"/>
    <cellStyle name="Comma 2 4 2 7 2 3 2" xfId="12825"/>
    <cellStyle name="Comma 2 4 2 7 2 3 2 2" xfId="12826"/>
    <cellStyle name="Comma 2 4 2 7 2 3 3" xfId="12827"/>
    <cellStyle name="Comma 2 4 2 7 2 3 4" xfId="12828"/>
    <cellStyle name="Comma 2 4 2 7 2 3 5" xfId="12829"/>
    <cellStyle name="Comma 2 4 2 7 2 4" xfId="12830"/>
    <cellStyle name="Comma 2 4 2 7 2 4 2" xfId="12831"/>
    <cellStyle name="Comma 2 4 2 7 2 4 3" xfId="12832"/>
    <cellStyle name="Comma 2 4 2 7 2 4 4" xfId="12833"/>
    <cellStyle name="Comma 2 4 2 7 2 5" xfId="12834"/>
    <cellStyle name="Comma 2 4 2 7 2 5 2" xfId="12835"/>
    <cellStyle name="Comma 2 4 2 7 2 6" xfId="12836"/>
    <cellStyle name="Comma 2 4 2 7 2 7" xfId="12837"/>
    <cellStyle name="Comma 2 4 2 7 2 8" xfId="12838"/>
    <cellStyle name="Comma 2 4 2 7 2 9" xfId="12839"/>
    <cellStyle name="Comma 2 4 2 7 3" xfId="12840"/>
    <cellStyle name="Comma 2 4 2 7 3 2" xfId="12841"/>
    <cellStyle name="Comma 2 4 2 7 3 2 2" xfId="12842"/>
    <cellStyle name="Comma 2 4 2 7 3 2 2 2" xfId="12843"/>
    <cellStyle name="Comma 2 4 2 7 3 2 2 3" xfId="12844"/>
    <cellStyle name="Comma 2 4 2 7 3 2 3" xfId="12845"/>
    <cellStyle name="Comma 2 4 2 7 3 2 4" xfId="12846"/>
    <cellStyle name="Comma 2 4 2 7 3 2 5" xfId="12847"/>
    <cellStyle name="Comma 2 4 2 7 3 2 6" xfId="12848"/>
    <cellStyle name="Comma 2 4 2 7 3 3" xfId="12849"/>
    <cellStyle name="Comma 2 4 2 7 3 3 2" xfId="12850"/>
    <cellStyle name="Comma 2 4 2 7 3 3 2 2" xfId="12851"/>
    <cellStyle name="Comma 2 4 2 7 3 3 3" xfId="12852"/>
    <cellStyle name="Comma 2 4 2 7 3 3 4" xfId="12853"/>
    <cellStyle name="Comma 2 4 2 7 3 3 5" xfId="12854"/>
    <cellStyle name="Comma 2 4 2 7 3 4" xfId="12855"/>
    <cellStyle name="Comma 2 4 2 7 3 4 2" xfId="12856"/>
    <cellStyle name="Comma 2 4 2 7 3 4 3" xfId="12857"/>
    <cellStyle name="Comma 2 4 2 7 3 4 4" xfId="12858"/>
    <cellStyle name="Comma 2 4 2 7 3 5" xfId="12859"/>
    <cellStyle name="Comma 2 4 2 7 3 5 2" xfId="12860"/>
    <cellStyle name="Comma 2 4 2 7 3 6" xfId="12861"/>
    <cellStyle name="Comma 2 4 2 7 3 7" xfId="12862"/>
    <cellStyle name="Comma 2 4 2 7 3 8" xfId="12863"/>
    <cellStyle name="Comma 2 4 2 7 3 9" xfId="12864"/>
    <cellStyle name="Comma 2 4 2 7 4" xfId="12865"/>
    <cellStyle name="Comma 2 4 2 7 4 2" xfId="12866"/>
    <cellStyle name="Comma 2 4 2 7 4 2 2" xfId="12867"/>
    <cellStyle name="Comma 2 4 2 7 4 2 3" xfId="12868"/>
    <cellStyle name="Comma 2 4 2 7 4 3" xfId="12869"/>
    <cellStyle name="Comma 2 4 2 7 4 4" xfId="12870"/>
    <cellStyle name="Comma 2 4 2 7 4 5" xfId="12871"/>
    <cellStyle name="Comma 2 4 2 7 4 6" xfId="12872"/>
    <cellStyle name="Comma 2 4 2 7 5" xfId="12873"/>
    <cellStyle name="Comma 2 4 2 7 5 2" xfId="12874"/>
    <cellStyle name="Comma 2 4 2 7 5 2 2" xfId="12875"/>
    <cellStyle name="Comma 2 4 2 7 5 3" xfId="12876"/>
    <cellStyle name="Comma 2 4 2 7 5 4" xfId="12877"/>
    <cellStyle name="Comma 2 4 2 7 5 5" xfId="12878"/>
    <cellStyle name="Comma 2 4 2 7 6" xfId="12879"/>
    <cellStyle name="Comma 2 4 2 7 6 2" xfId="12880"/>
    <cellStyle name="Comma 2 4 2 7 6 3" xfId="12881"/>
    <cellStyle name="Comma 2 4 2 7 6 4" xfId="12882"/>
    <cellStyle name="Comma 2 4 2 7 7" xfId="12883"/>
    <cellStyle name="Comma 2 4 2 7 7 2" xfId="12884"/>
    <cellStyle name="Comma 2 4 2 7 8" xfId="12885"/>
    <cellStyle name="Comma 2 4 2 7 9" xfId="12886"/>
    <cellStyle name="Comma 2 4 2 8" xfId="12887"/>
    <cellStyle name="Comma 2 4 2 8 10" xfId="12888"/>
    <cellStyle name="Comma 2 4 2 8 2" xfId="12889"/>
    <cellStyle name="Comma 2 4 2 8 2 2" xfId="12890"/>
    <cellStyle name="Comma 2 4 2 8 2 2 2" xfId="12891"/>
    <cellStyle name="Comma 2 4 2 8 2 2 3" xfId="12892"/>
    <cellStyle name="Comma 2 4 2 8 2 3" xfId="12893"/>
    <cellStyle name="Comma 2 4 2 8 2 4" xfId="12894"/>
    <cellStyle name="Comma 2 4 2 8 2 5" xfId="12895"/>
    <cellStyle name="Comma 2 4 2 8 2 6" xfId="12896"/>
    <cellStyle name="Comma 2 4 2 8 3" xfId="12897"/>
    <cellStyle name="Comma 2 4 2 8 3 2" xfId="12898"/>
    <cellStyle name="Comma 2 4 2 8 3 2 2" xfId="12899"/>
    <cellStyle name="Comma 2 4 2 8 3 2 3" xfId="12900"/>
    <cellStyle name="Comma 2 4 2 8 3 3" xfId="12901"/>
    <cellStyle name="Comma 2 4 2 8 3 4" xfId="12902"/>
    <cellStyle name="Comma 2 4 2 8 3 5" xfId="12903"/>
    <cellStyle name="Comma 2 4 2 8 3 6" xfId="12904"/>
    <cellStyle name="Comma 2 4 2 8 4" xfId="12905"/>
    <cellStyle name="Comma 2 4 2 8 4 2" xfId="12906"/>
    <cellStyle name="Comma 2 4 2 8 4 2 2" xfId="12907"/>
    <cellStyle name="Comma 2 4 2 8 4 3" xfId="12908"/>
    <cellStyle name="Comma 2 4 2 8 4 4" xfId="12909"/>
    <cellStyle name="Comma 2 4 2 8 4 5" xfId="12910"/>
    <cellStyle name="Comma 2 4 2 8 5" xfId="12911"/>
    <cellStyle name="Comma 2 4 2 8 5 2" xfId="12912"/>
    <cellStyle name="Comma 2 4 2 8 5 3" xfId="12913"/>
    <cellStyle name="Comma 2 4 2 8 5 4" xfId="12914"/>
    <cellStyle name="Comma 2 4 2 8 6" xfId="12915"/>
    <cellStyle name="Comma 2 4 2 8 6 2" xfId="12916"/>
    <cellStyle name="Comma 2 4 2 8 7" xfId="12917"/>
    <cellStyle name="Comma 2 4 2 8 8" xfId="12918"/>
    <cellStyle name="Comma 2 4 2 8 9" xfId="12919"/>
    <cellStyle name="Comma 2 4 2 9" xfId="12920"/>
    <cellStyle name="Comma 2 4 2 9 10" xfId="12921"/>
    <cellStyle name="Comma 2 4 2 9 2" xfId="12922"/>
    <cellStyle name="Comma 2 4 2 9 2 2" xfId="12923"/>
    <cellStyle name="Comma 2 4 2 9 2 2 2" xfId="12924"/>
    <cellStyle name="Comma 2 4 2 9 2 2 3" xfId="12925"/>
    <cellStyle name="Comma 2 4 2 9 2 3" xfId="12926"/>
    <cellStyle name="Comma 2 4 2 9 2 4" xfId="12927"/>
    <cellStyle name="Comma 2 4 2 9 2 5" xfId="12928"/>
    <cellStyle name="Comma 2 4 2 9 2 6" xfId="12929"/>
    <cellStyle name="Comma 2 4 2 9 3" xfId="12930"/>
    <cellStyle name="Comma 2 4 2 9 3 2" xfId="12931"/>
    <cellStyle name="Comma 2 4 2 9 3 2 2" xfId="12932"/>
    <cellStyle name="Comma 2 4 2 9 3 2 3" xfId="12933"/>
    <cellStyle name="Comma 2 4 2 9 3 3" xfId="12934"/>
    <cellStyle name="Comma 2 4 2 9 3 4" xfId="12935"/>
    <cellStyle name="Comma 2 4 2 9 3 5" xfId="12936"/>
    <cellStyle name="Comma 2 4 2 9 3 6" xfId="12937"/>
    <cellStyle name="Comma 2 4 2 9 4" xfId="12938"/>
    <cellStyle name="Comma 2 4 2 9 4 2" xfId="12939"/>
    <cellStyle name="Comma 2 4 2 9 4 2 2" xfId="12940"/>
    <cellStyle name="Comma 2 4 2 9 4 3" xfId="12941"/>
    <cellStyle name="Comma 2 4 2 9 4 4" xfId="12942"/>
    <cellStyle name="Comma 2 4 2 9 4 5" xfId="12943"/>
    <cellStyle name="Comma 2 4 2 9 5" xfId="12944"/>
    <cellStyle name="Comma 2 4 2 9 5 2" xfId="12945"/>
    <cellStyle name="Comma 2 4 2 9 5 3" xfId="12946"/>
    <cellStyle name="Comma 2 4 2 9 5 4" xfId="12947"/>
    <cellStyle name="Comma 2 4 2 9 6" xfId="12948"/>
    <cellStyle name="Comma 2 4 2 9 6 2" xfId="12949"/>
    <cellStyle name="Comma 2 4 2 9 7" xfId="12950"/>
    <cellStyle name="Comma 2 4 2 9 8" xfId="12951"/>
    <cellStyle name="Comma 2 4 2 9 9" xfId="12952"/>
    <cellStyle name="Comma 2 4 20" xfId="12953"/>
    <cellStyle name="Comma 2 4 20 10" xfId="12954"/>
    <cellStyle name="Comma 2 4 20 2" xfId="12955"/>
    <cellStyle name="Comma 2 4 20 2 2" xfId="12956"/>
    <cellStyle name="Comma 2 4 20 2 2 2" xfId="12957"/>
    <cellStyle name="Comma 2 4 20 2 2 3" xfId="12958"/>
    <cellStyle name="Comma 2 4 20 2 3" xfId="12959"/>
    <cellStyle name="Comma 2 4 20 2 4" xfId="12960"/>
    <cellStyle name="Comma 2 4 20 2 5" xfId="12961"/>
    <cellStyle name="Comma 2 4 20 2 6" xfId="12962"/>
    <cellStyle name="Comma 2 4 20 3" xfId="12963"/>
    <cellStyle name="Comma 2 4 20 3 2" xfId="12964"/>
    <cellStyle name="Comma 2 4 20 3 2 2" xfId="12965"/>
    <cellStyle name="Comma 2 4 20 3 2 3" xfId="12966"/>
    <cellStyle name="Comma 2 4 20 3 3" xfId="12967"/>
    <cellStyle name="Comma 2 4 20 3 4" xfId="12968"/>
    <cellStyle name="Comma 2 4 20 3 5" xfId="12969"/>
    <cellStyle name="Comma 2 4 20 3 6" xfId="12970"/>
    <cellStyle name="Comma 2 4 20 4" xfId="12971"/>
    <cellStyle name="Comma 2 4 20 4 2" xfId="12972"/>
    <cellStyle name="Comma 2 4 20 4 2 2" xfId="12973"/>
    <cellStyle name="Comma 2 4 20 4 3" xfId="12974"/>
    <cellStyle name="Comma 2 4 20 4 4" xfId="12975"/>
    <cellStyle name="Comma 2 4 20 4 5" xfId="12976"/>
    <cellStyle name="Comma 2 4 20 5" xfId="12977"/>
    <cellStyle name="Comma 2 4 20 5 2" xfId="12978"/>
    <cellStyle name="Comma 2 4 20 5 3" xfId="12979"/>
    <cellStyle name="Comma 2 4 20 5 4" xfId="12980"/>
    <cellStyle name="Comma 2 4 20 6" xfId="12981"/>
    <cellStyle name="Comma 2 4 20 6 2" xfId="12982"/>
    <cellStyle name="Comma 2 4 20 7" xfId="12983"/>
    <cellStyle name="Comma 2 4 20 8" xfId="12984"/>
    <cellStyle name="Comma 2 4 20 9" xfId="12985"/>
    <cellStyle name="Comma 2 4 21" xfId="12986"/>
    <cellStyle name="Comma 2 4 21 10" xfId="12987"/>
    <cellStyle name="Comma 2 4 21 2" xfId="12988"/>
    <cellStyle name="Comma 2 4 21 2 2" xfId="12989"/>
    <cellStyle name="Comma 2 4 21 2 2 2" xfId="12990"/>
    <cellStyle name="Comma 2 4 21 2 2 3" xfId="12991"/>
    <cellStyle name="Comma 2 4 21 2 3" xfId="12992"/>
    <cellStyle name="Comma 2 4 21 2 4" xfId="12993"/>
    <cellStyle name="Comma 2 4 21 2 5" xfId="12994"/>
    <cellStyle name="Comma 2 4 21 2 6" xfId="12995"/>
    <cellStyle name="Comma 2 4 21 3" xfId="12996"/>
    <cellStyle name="Comma 2 4 21 3 2" xfId="12997"/>
    <cellStyle name="Comma 2 4 21 3 2 2" xfId="12998"/>
    <cellStyle name="Comma 2 4 21 3 2 3" xfId="12999"/>
    <cellStyle name="Comma 2 4 21 3 3" xfId="13000"/>
    <cellStyle name="Comma 2 4 21 3 4" xfId="13001"/>
    <cellStyle name="Comma 2 4 21 3 5" xfId="13002"/>
    <cellStyle name="Comma 2 4 21 3 6" xfId="13003"/>
    <cellStyle name="Comma 2 4 21 4" xfId="13004"/>
    <cellStyle name="Comma 2 4 21 4 2" xfId="13005"/>
    <cellStyle name="Comma 2 4 21 4 2 2" xfId="13006"/>
    <cellStyle name="Comma 2 4 21 4 3" xfId="13007"/>
    <cellStyle name="Comma 2 4 21 4 4" xfId="13008"/>
    <cellStyle name="Comma 2 4 21 4 5" xfId="13009"/>
    <cellStyle name="Comma 2 4 21 5" xfId="13010"/>
    <cellStyle name="Comma 2 4 21 5 2" xfId="13011"/>
    <cellStyle name="Comma 2 4 21 5 3" xfId="13012"/>
    <cellStyle name="Comma 2 4 21 5 4" xfId="13013"/>
    <cellStyle name="Comma 2 4 21 6" xfId="13014"/>
    <cellStyle name="Comma 2 4 21 6 2" xfId="13015"/>
    <cellStyle name="Comma 2 4 21 7" xfId="13016"/>
    <cellStyle name="Comma 2 4 21 8" xfId="13017"/>
    <cellStyle name="Comma 2 4 21 9" xfId="13018"/>
    <cellStyle name="Comma 2 4 22" xfId="13019"/>
    <cellStyle name="Comma 2 4 22 10" xfId="13020"/>
    <cellStyle name="Comma 2 4 22 2" xfId="13021"/>
    <cellStyle name="Comma 2 4 22 2 2" xfId="13022"/>
    <cellStyle name="Comma 2 4 22 2 2 2" xfId="13023"/>
    <cellStyle name="Comma 2 4 22 2 2 3" xfId="13024"/>
    <cellStyle name="Comma 2 4 22 2 3" xfId="13025"/>
    <cellStyle name="Comma 2 4 22 2 4" xfId="13026"/>
    <cellStyle name="Comma 2 4 22 2 5" xfId="13027"/>
    <cellStyle name="Comma 2 4 22 2 6" xfId="13028"/>
    <cellStyle name="Comma 2 4 22 3" xfId="13029"/>
    <cellStyle name="Comma 2 4 22 3 2" xfId="13030"/>
    <cellStyle name="Comma 2 4 22 3 2 2" xfId="13031"/>
    <cellStyle name="Comma 2 4 22 3 2 3" xfId="13032"/>
    <cellStyle name="Comma 2 4 22 3 3" xfId="13033"/>
    <cellStyle name="Comma 2 4 22 3 4" xfId="13034"/>
    <cellStyle name="Comma 2 4 22 3 5" xfId="13035"/>
    <cellStyle name="Comma 2 4 22 3 6" xfId="13036"/>
    <cellStyle name="Comma 2 4 22 4" xfId="13037"/>
    <cellStyle name="Comma 2 4 22 4 2" xfId="13038"/>
    <cellStyle name="Comma 2 4 22 4 2 2" xfId="13039"/>
    <cellStyle name="Comma 2 4 22 4 3" xfId="13040"/>
    <cellStyle name="Comma 2 4 22 4 4" xfId="13041"/>
    <cellStyle name="Comma 2 4 22 4 5" xfId="13042"/>
    <cellStyle name="Comma 2 4 22 5" xfId="13043"/>
    <cellStyle name="Comma 2 4 22 5 2" xfId="13044"/>
    <cellStyle name="Comma 2 4 22 5 3" xfId="13045"/>
    <cellStyle name="Comma 2 4 22 5 4" xfId="13046"/>
    <cellStyle name="Comma 2 4 22 6" xfId="13047"/>
    <cellStyle name="Comma 2 4 22 6 2" xfId="13048"/>
    <cellStyle name="Comma 2 4 22 7" xfId="13049"/>
    <cellStyle name="Comma 2 4 22 8" xfId="13050"/>
    <cellStyle name="Comma 2 4 22 9" xfId="13051"/>
    <cellStyle name="Comma 2 4 23" xfId="13052"/>
    <cellStyle name="Comma 2 4 23 10" xfId="13053"/>
    <cellStyle name="Comma 2 4 23 2" xfId="13054"/>
    <cellStyle name="Comma 2 4 23 2 2" xfId="13055"/>
    <cellStyle name="Comma 2 4 23 2 2 2" xfId="13056"/>
    <cellStyle name="Comma 2 4 23 2 2 3" xfId="13057"/>
    <cellStyle name="Comma 2 4 23 2 3" xfId="13058"/>
    <cellStyle name="Comma 2 4 23 2 4" xfId="13059"/>
    <cellStyle name="Comma 2 4 23 2 5" xfId="13060"/>
    <cellStyle name="Comma 2 4 23 2 6" xfId="13061"/>
    <cellStyle name="Comma 2 4 23 3" xfId="13062"/>
    <cellStyle name="Comma 2 4 23 3 2" xfId="13063"/>
    <cellStyle name="Comma 2 4 23 3 2 2" xfId="13064"/>
    <cellStyle name="Comma 2 4 23 3 2 3" xfId="13065"/>
    <cellStyle name="Comma 2 4 23 3 3" xfId="13066"/>
    <cellStyle name="Comma 2 4 23 3 4" xfId="13067"/>
    <cellStyle name="Comma 2 4 23 3 5" xfId="13068"/>
    <cellStyle name="Comma 2 4 23 3 6" xfId="13069"/>
    <cellStyle name="Comma 2 4 23 4" xfId="13070"/>
    <cellStyle name="Comma 2 4 23 4 2" xfId="13071"/>
    <cellStyle name="Comma 2 4 23 4 2 2" xfId="13072"/>
    <cellStyle name="Comma 2 4 23 4 3" xfId="13073"/>
    <cellStyle name="Comma 2 4 23 4 4" xfId="13074"/>
    <cellStyle name="Comma 2 4 23 4 5" xfId="13075"/>
    <cellStyle name="Comma 2 4 23 5" xfId="13076"/>
    <cellStyle name="Comma 2 4 23 5 2" xfId="13077"/>
    <cellStyle name="Comma 2 4 23 5 3" xfId="13078"/>
    <cellStyle name="Comma 2 4 23 5 4" xfId="13079"/>
    <cellStyle name="Comma 2 4 23 6" xfId="13080"/>
    <cellStyle name="Comma 2 4 23 6 2" xfId="13081"/>
    <cellStyle name="Comma 2 4 23 7" xfId="13082"/>
    <cellStyle name="Comma 2 4 23 8" xfId="13083"/>
    <cellStyle name="Comma 2 4 23 9" xfId="13084"/>
    <cellStyle name="Comma 2 4 24" xfId="13085"/>
    <cellStyle name="Comma 2 4 24 10" xfId="13086"/>
    <cellStyle name="Comma 2 4 24 2" xfId="13087"/>
    <cellStyle name="Comma 2 4 24 2 2" xfId="13088"/>
    <cellStyle name="Comma 2 4 24 2 2 2" xfId="13089"/>
    <cellStyle name="Comma 2 4 24 2 2 3" xfId="13090"/>
    <cellStyle name="Comma 2 4 24 2 3" xfId="13091"/>
    <cellStyle name="Comma 2 4 24 2 4" xfId="13092"/>
    <cellStyle name="Comma 2 4 24 2 5" xfId="13093"/>
    <cellStyle name="Comma 2 4 24 2 6" xfId="13094"/>
    <cellStyle name="Comma 2 4 24 3" xfId="13095"/>
    <cellStyle name="Comma 2 4 24 3 2" xfId="13096"/>
    <cellStyle name="Comma 2 4 24 3 2 2" xfId="13097"/>
    <cellStyle name="Comma 2 4 24 3 2 3" xfId="13098"/>
    <cellStyle name="Comma 2 4 24 3 3" xfId="13099"/>
    <cellStyle name="Comma 2 4 24 3 4" xfId="13100"/>
    <cellStyle name="Comma 2 4 24 3 5" xfId="13101"/>
    <cellStyle name="Comma 2 4 24 3 6" xfId="13102"/>
    <cellStyle name="Comma 2 4 24 4" xfId="13103"/>
    <cellStyle name="Comma 2 4 24 4 2" xfId="13104"/>
    <cellStyle name="Comma 2 4 24 4 2 2" xfId="13105"/>
    <cellStyle name="Comma 2 4 24 4 3" xfId="13106"/>
    <cellStyle name="Comma 2 4 24 4 4" xfId="13107"/>
    <cellStyle name="Comma 2 4 24 4 5" xfId="13108"/>
    <cellStyle name="Comma 2 4 24 5" xfId="13109"/>
    <cellStyle name="Comma 2 4 24 5 2" xfId="13110"/>
    <cellStyle name="Comma 2 4 24 5 3" xfId="13111"/>
    <cellStyle name="Comma 2 4 24 5 4" xfId="13112"/>
    <cellStyle name="Comma 2 4 24 6" xfId="13113"/>
    <cellStyle name="Comma 2 4 24 6 2" xfId="13114"/>
    <cellStyle name="Comma 2 4 24 7" xfId="13115"/>
    <cellStyle name="Comma 2 4 24 8" xfId="13116"/>
    <cellStyle name="Comma 2 4 24 9" xfId="13117"/>
    <cellStyle name="Comma 2 4 25" xfId="13118"/>
    <cellStyle name="Comma 2 4 25 10" xfId="13119"/>
    <cellStyle name="Comma 2 4 25 2" xfId="13120"/>
    <cellStyle name="Comma 2 4 25 2 2" xfId="13121"/>
    <cellStyle name="Comma 2 4 25 2 2 2" xfId="13122"/>
    <cellStyle name="Comma 2 4 25 2 2 3" xfId="13123"/>
    <cellStyle name="Comma 2 4 25 2 3" xfId="13124"/>
    <cellStyle name="Comma 2 4 25 2 4" xfId="13125"/>
    <cellStyle name="Comma 2 4 25 2 5" xfId="13126"/>
    <cellStyle name="Comma 2 4 25 2 6" xfId="13127"/>
    <cellStyle name="Comma 2 4 25 3" xfId="13128"/>
    <cellStyle name="Comma 2 4 25 3 2" xfId="13129"/>
    <cellStyle name="Comma 2 4 25 3 2 2" xfId="13130"/>
    <cellStyle name="Comma 2 4 25 3 2 3" xfId="13131"/>
    <cellStyle name="Comma 2 4 25 3 3" xfId="13132"/>
    <cellStyle name="Comma 2 4 25 3 4" xfId="13133"/>
    <cellStyle name="Comma 2 4 25 3 5" xfId="13134"/>
    <cellStyle name="Comma 2 4 25 3 6" xfId="13135"/>
    <cellStyle name="Comma 2 4 25 4" xfId="13136"/>
    <cellStyle name="Comma 2 4 25 4 2" xfId="13137"/>
    <cellStyle name="Comma 2 4 25 4 2 2" xfId="13138"/>
    <cellStyle name="Comma 2 4 25 4 3" xfId="13139"/>
    <cellStyle name="Comma 2 4 25 4 4" xfId="13140"/>
    <cellStyle name="Comma 2 4 25 4 5" xfId="13141"/>
    <cellStyle name="Comma 2 4 25 5" xfId="13142"/>
    <cellStyle name="Comma 2 4 25 5 2" xfId="13143"/>
    <cellStyle name="Comma 2 4 25 5 3" xfId="13144"/>
    <cellStyle name="Comma 2 4 25 5 4" xfId="13145"/>
    <cellStyle name="Comma 2 4 25 6" xfId="13146"/>
    <cellStyle name="Comma 2 4 25 6 2" xfId="13147"/>
    <cellStyle name="Comma 2 4 25 7" xfId="13148"/>
    <cellStyle name="Comma 2 4 25 8" xfId="13149"/>
    <cellStyle name="Comma 2 4 25 9" xfId="13150"/>
    <cellStyle name="Comma 2 4 26" xfId="13151"/>
    <cellStyle name="Comma 2 4 26 10" xfId="13152"/>
    <cellStyle name="Comma 2 4 26 2" xfId="13153"/>
    <cellStyle name="Comma 2 4 26 2 2" xfId="13154"/>
    <cellStyle name="Comma 2 4 26 2 2 2" xfId="13155"/>
    <cellStyle name="Comma 2 4 26 2 2 3" xfId="13156"/>
    <cellStyle name="Comma 2 4 26 2 3" xfId="13157"/>
    <cellStyle name="Comma 2 4 26 2 4" xfId="13158"/>
    <cellStyle name="Comma 2 4 26 2 5" xfId="13159"/>
    <cellStyle name="Comma 2 4 26 2 6" xfId="13160"/>
    <cellStyle name="Comma 2 4 26 3" xfId="13161"/>
    <cellStyle name="Comma 2 4 26 3 2" xfId="13162"/>
    <cellStyle name="Comma 2 4 26 3 2 2" xfId="13163"/>
    <cellStyle name="Comma 2 4 26 3 2 3" xfId="13164"/>
    <cellStyle name="Comma 2 4 26 3 3" xfId="13165"/>
    <cellStyle name="Comma 2 4 26 3 4" xfId="13166"/>
    <cellStyle name="Comma 2 4 26 3 5" xfId="13167"/>
    <cellStyle name="Comma 2 4 26 3 6" xfId="13168"/>
    <cellStyle name="Comma 2 4 26 4" xfId="13169"/>
    <cellStyle name="Comma 2 4 26 4 2" xfId="13170"/>
    <cellStyle name="Comma 2 4 26 4 2 2" xfId="13171"/>
    <cellStyle name="Comma 2 4 26 4 3" xfId="13172"/>
    <cellStyle name="Comma 2 4 26 4 4" xfId="13173"/>
    <cellStyle name="Comma 2 4 26 4 5" xfId="13174"/>
    <cellStyle name="Comma 2 4 26 5" xfId="13175"/>
    <cellStyle name="Comma 2 4 26 5 2" xfId="13176"/>
    <cellStyle name="Comma 2 4 26 5 3" xfId="13177"/>
    <cellStyle name="Comma 2 4 26 5 4" xfId="13178"/>
    <cellStyle name="Comma 2 4 26 6" xfId="13179"/>
    <cellStyle name="Comma 2 4 26 6 2" xfId="13180"/>
    <cellStyle name="Comma 2 4 26 7" xfId="13181"/>
    <cellStyle name="Comma 2 4 26 8" xfId="13182"/>
    <cellStyle name="Comma 2 4 26 9" xfId="13183"/>
    <cellStyle name="Comma 2 4 27" xfId="13184"/>
    <cellStyle name="Comma 2 4 27 10" xfId="13185"/>
    <cellStyle name="Comma 2 4 27 2" xfId="13186"/>
    <cellStyle name="Comma 2 4 27 2 2" xfId="13187"/>
    <cellStyle name="Comma 2 4 27 2 2 2" xfId="13188"/>
    <cellStyle name="Comma 2 4 27 2 2 3" xfId="13189"/>
    <cellStyle name="Comma 2 4 27 2 3" xfId="13190"/>
    <cellStyle name="Comma 2 4 27 2 4" xfId="13191"/>
    <cellStyle name="Comma 2 4 27 2 5" xfId="13192"/>
    <cellStyle name="Comma 2 4 27 2 6" xfId="13193"/>
    <cellStyle name="Comma 2 4 27 3" xfId="13194"/>
    <cellStyle name="Comma 2 4 27 3 2" xfId="13195"/>
    <cellStyle name="Comma 2 4 27 3 2 2" xfId="13196"/>
    <cellStyle name="Comma 2 4 27 3 2 3" xfId="13197"/>
    <cellStyle name="Comma 2 4 27 3 3" xfId="13198"/>
    <cellStyle name="Comma 2 4 27 3 4" xfId="13199"/>
    <cellStyle name="Comma 2 4 27 3 5" xfId="13200"/>
    <cellStyle name="Comma 2 4 27 3 6" xfId="13201"/>
    <cellStyle name="Comma 2 4 27 4" xfId="13202"/>
    <cellStyle name="Comma 2 4 27 4 2" xfId="13203"/>
    <cellStyle name="Comma 2 4 27 4 2 2" xfId="13204"/>
    <cellStyle name="Comma 2 4 27 4 3" xfId="13205"/>
    <cellStyle name="Comma 2 4 27 4 4" xfId="13206"/>
    <cellStyle name="Comma 2 4 27 4 5" xfId="13207"/>
    <cellStyle name="Comma 2 4 27 5" xfId="13208"/>
    <cellStyle name="Comma 2 4 27 5 2" xfId="13209"/>
    <cellStyle name="Comma 2 4 27 5 3" xfId="13210"/>
    <cellStyle name="Comma 2 4 27 5 4" xfId="13211"/>
    <cellStyle name="Comma 2 4 27 6" xfId="13212"/>
    <cellStyle name="Comma 2 4 27 6 2" xfId="13213"/>
    <cellStyle name="Comma 2 4 27 7" xfId="13214"/>
    <cellStyle name="Comma 2 4 27 8" xfId="13215"/>
    <cellStyle name="Comma 2 4 27 9" xfId="13216"/>
    <cellStyle name="Comma 2 4 28" xfId="13217"/>
    <cellStyle name="Comma 2 4 28 10" xfId="13218"/>
    <cellStyle name="Comma 2 4 28 2" xfId="13219"/>
    <cellStyle name="Comma 2 4 28 2 2" xfId="13220"/>
    <cellStyle name="Comma 2 4 28 2 2 2" xfId="13221"/>
    <cellStyle name="Comma 2 4 28 2 2 3" xfId="13222"/>
    <cellStyle name="Comma 2 4 28 2 3" xfId="13223"/>
    <cellStyle name="Comma 2 4 28 2 4" xfId="13224"/>
    <cellStyle name="Comma 2 4 28 2 5" xfId="13225"/>
    <cellStyle name="Comma 2 4 28 2 6" xfId="13226"/>
    <cellStyle name="Comma 2 4 28 3" xfId="13227"/>
    <cellStyle name="Comma 2 4 28 3 2" xfId="13228"/>
    <cellStyle name="Comma 2 4 28 3 2 2" xfId="13229"/>
    <cellStyle name="Comma 2 4 28 3 2 3" xfId="13230"/>
    <cellStyle name="Comma 2 4 28 3 3" xfId="13231"/>
    <cellStyle name="Comma 2 4 28 3 4" xfId="13232"/>
    <cellStyle name="Comma 2 4 28 3 5" xfId="13233"/>
    <cellStyle name="Comma 2 4 28 3 6" xfId="13234"/>
    <cellStyle name="Comma 2 4 28 4" xfId="13235"/>
    <cellStyle name="Comma 2 4 28 4 2" xfId="13236"/>
    <cellStyle name="Comma 2 4 28 4 2 2" xfId="13237"/>
    <cellStyle name="Comma 2 4 28 4 3" xfId="13238"/>
    <cellStyle name="Comma 2 4 28 4 4" xfId="13239"/>
    <cellStyle name="Comma 2 4 28 4 5" xfId="13240"/>
    <cellStyle name="Comma 2 4 28 5" xfId="13241"/>
    <cellStyle name="Comma 2 4 28 5 2" xfId="13242"/>
    <cellStyle name="Comma 2 4 28 5 3" xfId="13243"/>
    <cellStyle name="Comma 2 4 28 5 4" xfId="13244"/>
    <cellStyle name="Comma 2 4 28 6" xfId="13245"/>
    <cellStyle name="Comma 2 4 28 6 2" xfId="13246"/>
    <cellStyle name="Comma 2 4 28 7" xfId="13247"/>
    <cellStyle name="Comma 2 4 28 8" xfId="13248"/>
    <cellStyle name="Comma 2 4 28 9" xfId="13249"/>
    <cellStyle name="Comma 2 4 29" xfId="13250"/>
    <cellStyle name="Comma 2 4 29 2" xfId="13251"/>
    <cellStyle name="Comma 2 4 29 2 2" xfId="13252"/>
    <cellStyle name="Comma 2 4 29 2 2 2" xfId="13253"/>
    <cellStyle name="Comma 2 4 29 2 2 3" xfId="13254"/>
    <cellStyle name="Comma 2 4 29 2 3" xfId="13255"/>
    <cellStyle name="Comma 2 4 29 2 4" xfId="13256"/>
    <cellStyle name="Comma 2 4 29 2 5" xfId="13257"/>
    <cellStyle name="Comma 2 4 29 2 6" xfId="13258"/>
    <cellStyle name="Comma 2 4 29 3" xfId="13259"/>
    <cellStyle name="Comma 2 4 29 3 2" xfId="13260"/>
    <cellStyle name="Comma 2 4 29 3 2 2" xfId="13261"/>
    <cellStyle name="Comma 2 4 29 3 3" xfId="13262"/>
    <cellStyle name="Comma 2 4 29 3 4" xfId="13263"/>
    <cellStyle name="Comma 2 4 29 3 5" xfId="13264"/>
    <cellStyle name="Comma 2 4 29 4" xfId="13265"/>
    <cellStyle name="Comma 2 4 29 4 2" xfId="13266"/>
    <cellStyle name="Comma 2 4 29 4 3" xfId="13267"/>
    <cellStyle name="Comma 2 4 29 4 4" xfId="13268"/>
    <cellStyle name="Comma 2 4 29 5" xfId="13269"/>
    <cellStyle name="Comma 2 4 29 5 2" xfId="13270"/>
    <cellStyle name="Comma 2 4 29 6" xfId="13271"/>
    <cellStyle name="Comma 2 4 29 7" xfId="13272"/>
    <cellStyle name="Comma 2 4 29 8" xfId="13273"/>
    <cellStyle name="Comma 2 4 29 9" xfId="13274"/>
    <cellStyle name="Comma 2 4 3" xfId="13275"/>
    <cellStyle name="Comma 2 4 3 10" xfId="13276"/>
    <cellStyle name="Comma 2 4 3 10 10" xfId="13277"/>
    <cellStyle name="Comma 2 4 3 10 2" xfId="13278"/>
    <cellStyle name="Comma 2 4 3 10 2 2" xfId="13279"/>
    <cellStyle name="Comma 2 4 3 10 2 2 2" xfId="13280"/>
    <cellStyle name="Comma 2 4 3 10 2 2 3" xfId="13281"/>
    <cellStyle name="Comma 2 4 3 10 2 3" xfId="13282"/>
    <cellStyle name="Comma 2 4 3 10 2 4" xfId="13283"/>
    <cellStyle name="Comma 2 4 3 10 2 5" xfId="13284"/>
    <cellStyle name="Comma 2 4 3 10 2 6" xfId="13285"/>
    <cellStyle name="Comma 2 4 3 10 3" xfId="13286"/>
    <cellStyle name="Comma 2 4 3 10 3 2" xfId="13287"/>
    <cellStyle name="Comma 2 4 3 10 3 2 2" xfId="13288"/>
    <cellStyle name="Comma 2 4 3 10 3 2 3" xfId="13289"/>
    <cellStyle name="Comma 2 4 3 10 3 3" xfId="13290"/>
    <cellStyle name="Comma 2 4 3 10 3 4" xfId="13291"/>
    <cellStyle name="Comma 2 4 3 10 3 5" xfId="13292"/>
    <cellStyle name="Comma 2 4 3 10 3 6" xfId="13293"/>
    <cellStyle name="Comma 2 4 3 10 4" xfId="13294"/>
    <cellStyle name="Comma 2 4 3 10 4 2" xfId="13295"/>
    <cellStyle name="Comma 2 4 3 10 4 2 2" xfId="13296"/>
    <cellStyle name="Comma 2 4 3 10 4 3" xfId="13297"/>
    <cellStyle name="Comma 2 4 3 10 4 4" xfId="13298"/>
    <cellStyle name="Comma 2 4 3 10 4 5" xfId="13299"/>
    <cellStyle name="Comma 2 4 3 10 5" xfId="13300"/>
    <cellStyle name="Comma 2 4 3 10 5 2" xfId="13301"/>
    <cellStyle name="Comma 2 4 3 10 5 3" xfId="13302"/>
    <cellStyle name="Comma 2 4 3 10 5 4" xfId="13303"/>
    <cellStyle name="Comma 2 4 3 10 6" xfId="13304"/>
    <cellStyle name="Comma 2 4 3 10 6 2" xfId="13305"/>
    <cellStyle name="Comma 2 4 3 10 7" xfId="13306"/>
    <cellStyle name="Comma 2 4 3 10 8" xfId="13307"/>
    <cellStyle name="Comma 2 4 3 10 9" xfId="13308"/>
    <cellStyle name="Comma 2 4 3 11" xfId="13309"/>
    <cellStyle name="Comma 2 4 3 11 10" xfId="13310"/>
    <cellStyle name="Comma 2 4 3 11 2" xfId="13311"/>
    <cellStyle name="Comma 2 4 3 11 2 2" xfId="13312"/>
    <cellStyle name="Comma 2 4 3 11 2 2 2" xfId="13313"/>
    <cellStyle name="Comma 2 4 3 11 2 2 3" xfId="13314"/>
    <cellStyle name="Comma 2 4 3 11 2 3" xfId="13315"/>
    <cellStyle name="Comma 2 4 3 11 2 4" xfId="13316"/>
    <cellStyle name="Comma 2 4 3 11 2 5" xfId="13317"/>
    <cellStyle name="Comma 2 4 3 11 2 6" xfId="13318"/>
    <cellStyle name="Comma 2 4 3 11 3" xfId="13319"/>
    <cellStyle name="Comma 2 4 3 11 3 2" xfId="13320"/>
    <cellStyle name="Comma 2 4 3 11 3 2 2" xfId="13321"/>
    <cellStyle name="Comma 2 4 3 11 3 2 3" xfId="13322"/>
    <cellStyle name="Comma 2 4 3 11 3 3" xfId="13323"/>
    <cellStyle name="Comma 2 4 3 11 3 4" xfId="13324"/>
    <cellStyle name="Comma 2 4 3 11 3 5" xfId="13325"/>
    <cellStyle name="Comma 2 4 3 11 3 6" xfId="13326"/>
    <cellStyle name="Comma 2 4 3 11 4" xfId="13327"/>
    <cellStyle name="Comma 2 4 3 11 4 2" xfId="13328"/>
    <cellStyle name="Comma 2 4 3 11 4 2 2" xfId="13329"/>
    <cellStyle name="Comma 2 4 3 11 4 3" xfId="13330"/>
    <cellStyle name="Comma 2 4 3 11 4 4" xfId="13331"/>
    <cellStyle name="Comma 2 4 3 11 4 5" xfId="13332"/>
    <cellStyle name="Comma 2 4 3 11 5" xfId="13333"/>
    <cellStyle name="Comma 2 4 3 11 5 2" xfId="13334"/>
    <cellStyle name="Comma 2 4 3 11 5 3" xfId="13335"/>
    <cellStyle name="Comma 2 4 3 11 5 4" xfId="13336"/>
    <cellStyle name="Comma 2 4 3 11 6" xfId="13337"/>
    <cellStyle name="Comma 2 4 3 11 6 2" xfId="13338"/>
    <cellStyle name="Comma 2 4 3 11 7" xfId="13339"/>
    <cellStyle name="Comma 2 4 3 11 8" xfId="13340"/>
    <cellStyle name="Comma 2 4 3 11 9" xfId="13341"/>
    <cellStyle name="Comma 2 4 3 12" xfId="13342"/>
    <cellStyle name="Comma 2 4 3 12 10" xfId="13343"/>
    <cellStyle name="Comma 2 4 3 12 2" xfId="13344"/>
    <cellStyle name="Comma 2 4 3 12 2 2" xfId="13345"/>
    <cellStyle name="Comma 2 4 3 12 2 2 2" xfId="13346"/>
    <cellStyle name="Comma 2 4 3 12 2 2 3" xfId="13347"/>
    <cellStyle name="Comma 2 4 3 12 2 3" xfId="13348"/>
    <cellStyle name="Comma 2 4 3 12 2 4" xfId="13349"/>
    <cellStyle name="Comma 2 4 3 12 2 5" xfId="13350"/>
    <cellStyle name="Comma 2 4 3 12 2 6" xfId="13351"/>
    <cellStyle name="Comma 2 4 3 12 3" xfId="13352"/>
    <cellStyle name="Comma 2 4 3 12 3 2" xfId="13353"/>
    <cellStyle name="Comma 2 4 3 12 3 2 2" xfId="13354"/>
    <cellStyle name="Comma 2 4 3 12 3 2 3" xfId="13355"/>
    <cellStyle name="Comma 2 4 3 12 3 3" xfId="13356"/>
    <cellStyle name="Comma 2 4 3 12 3 4" xfId="13357"/>
    <cellStyle name="Comma 2 4 3 12 3 5" xfId="13358"/>
    <cellStyle name="Comma 2 4 3 12 3 6" xfId="13359"/>
    <cellStyle name="Comma 2 4 3 12 4" xfId="13360"/>
    <cellStyle name="Comma 2 4 3 12 4 2" xfId="13361"/>
    <cellStyle name="Comma 2 4 3 12 4 2 2" xfId="13362"/>
    <cellStyle name="Comma 2 4 3 12 4 3" xfId="13363"/>
    <cellStyle name="Comma 2 4 3 12 4 4" xfId="13364"/>
    <cellStyle name="Comma 2 4 3 12 4 5" xfId="13365"/>
    <cellStyle name="Comma 2 4 3 12 5" xfId="13366"/>
    <cellStyle name="Comma 2 4 3 12 5 2" xfId="13367"/>
    <cellStyle name="Comma 2 4 3 12 5 3" xfId="13368"/>
    <cellStyle name="Comma 2 4 3 12 5 4" xfId="13369"/>
    <cellStyle name="Comma 2 4 3 12 6" xfId="13370"/>
    <cellStyle name="Comma 2 4 3 12 6 2" xfId="13371"/>
    <cellStyle name="Comma 2 4 3 12 7" xfId="13372"/>
    <cellStyle name="Comma 2 4 3 12 8" xfId="13373"/>
    <cellStyle name="Comma 2 4 3 12 9" xfId="13374"/>
    <cellStyle name="Comma 2 4 3 13" xfId="13375"/>
    <cellStyle name="Comma 2 4 3 13 2" xfId="13376"/>
    <cellStyle name="Comma 2 4 3 13 2 2" xfId="13377"/>
    <cellStyle name="Comma 2 4 3 13 2 2 2" xfId="13378"/>
    <cellStyle name="Comma 2 4 3 13 2 2 3" xfId="13379"/>
    <cellStyle name="Comma 2 4 3 13 2 3" xfId="13380"/>
    <cellStyle name="Comma 2 4 3 13 2 4" xfId="13381"/>
    <cellStyle name="Comma 2 4 3 13 2 5" xfId="13382"/>
    <cellStyle name="Comma 2 4 3 13 2 6" xfId="13383"/>
    <cellStyle name="Comma 2 4 3 13 3" xfId="13384"/>
    <cellStyle name="Comma 2 4 3 13 3 2" xfId="13385"/>
    <cellStyle name="Comma 2 4 3 13 3 2 2" xfId="13386"/>
    <cellStyle name="Comma 2 4 3 13 3 3" xfId="13387"/>
    <cellStyle name="Comma 2 4 3 13 3 4" xfId="13388"/>
    <cellStyle name="Comma 2 4 3 13 3 5" xfId="13389"/>
    <cellStyle name="Comma 2 4 3 13 4" xfId="13390"/>
    <cellStyle name="Comma 2 4 3 13 4 2" xfId="13391"/>
    <cellStyle name="Comma 2 4 3 13 4 3" xfId="13392"/>
    <cellStyle name="Comma 2 4 3 13 4 4" xfId="13393"/>
    <cellStyle name="Comma 2 4 3 13 5" xfId="13394"/>
    <cellStyle name="Comma 2 4 3 13 5 2" xfId="13395"/>
    <cellStyle name="Comma 2 4 3 13 6" xfId="13396"/>
    <cellStyle name="Comma 2 4 3 13 7" xfId="13397"/>
    <cellStyle name="Comma 2 4 3 13 8" xfId="13398"/>
    <cellStyle name="Comma 2 4 3 13 9" xfId="13399"/>
    <cellStyle name="Comma 2 4 3 14" xfId="13400"/>
    <cellStyle name="Comma 2 4 3 14 2" xfId="13401"/>
    <cellStyle name="Comma 2 4 3 14 2 2" xfId="13402"/>
    <cellStyle name="Comma 2 4 3 14 2 2 2" xfId="13403"/>
    <cellStyle name="Comma 2 4 3 14 2 2 3" xfId="13404"/>
    <cellStyle name="Comma 2 4 3 14 2 3" xfId="13405"/>
    <cellStyle name="Comma 2 4 3 14 2 4" xfId="13406"/>
    <cellStyle name="Comma 2 4 3 14 2 5" xfId="13407"/>
    <cellStyle name="Comma 2 4 3 14 2 6" xfId="13408"/>
    <cellStyle name="Comma 2 4 3 14 3" xfId="13409"/>
    <cellStyle name="Comma 2 4 3 14 3 2" xfId="13410"/>
    <cellStyle name="Comma 2 4 3 14 3 2 2" xfId="13411"/>
    <cellStyle name="Comma 2 4 3 14 3 3" xfId="13412"/>
    <cellStyle name="Comma 2 4 3 14 3 4" xfId="13413"/>
    <cellStyle name="Comma 2 4 3 14 3 5" xfId="13414"/>
    <cellStyle name="Comma 2 4 3 14 4" xfId="13415"/>
    <cellStyle name="Comma 2 4 3 14 4 2" xfId="13416"/>
    <cellStyle name="Comma 2 4 3 14 4 3" xfId="13417"/>
    <cellStyle name="Comma 2 4 3 14 4 4" xfId="13418"/>
    <cellStyle name="Comma 2 4 3 14 5" xfId="13419"/>
    <cellStyle name="Comma 2 4 3 14 5 2" xfId="13420"/>
    <cellStyle name="Comma 2 4 3 14 6" xfId="13421"/>
    <cellStyle name="Comma 2 4 3 14 7" xfId="13422"/>
    <cellStyle name="Comma 2 4 3 14 8" xfId="13423"/>
    <cellStyle name="Comma 2 4 3 14 9" xfId="13424"/>
    <cellStyle name="Comma 2 4 3 15" xfId="13425"/>
    <cellStyle name="Comma 2 4 3 15 2" xfId="13426"/>
    <cellStyle name="Comma 2 4 3 15 2 2" xfId="13427"/>
    <cellStyle name="Comma 2 4 3 15 2 3" xfId="13428"/>
    <cellStyle name="Comma 2 4 3 15 3" xfId="13429"/>
    <cellStyle name="Comma 2 4 3 15 4" xfId="13430"/>
    <cellStyle name="Comma 2 4 3 15 5" xfId="13431"/>
    <cellStyle name="Comma 2 4 3 15 6" xfId="13432"/>
    <cellStyle name="Comma 2 4 3 16" xfId="13433"/>
    <cellStyle name="Comma 2 4 3 16 2" xfId="13434"/>
    <cellStyle name="Comma 2 4 3 16 2 2" xfId="13435"/>
    <cellStyle name="Comma 2 4 3 16 3" xfId="13436"/>
    <cellStyle name="Comma 2 4 3 16 4" xfId="13437"/>
    <cellStyle name="Comma 2 4 3 16 5" xfId="13438"/>
    <cellStyle name="Comma 2 4 3 17" xfId="13439"/>
    <cellStyle name="Comma 2 4 3 17 2" xfId="13440"/>
    <cellStyle name="Comma 2 4 3 17 2 2" xfId="13441"/>
    <cellStyle name="Comma 2 4 3 17 3" xfId="13442"/>
    <cellStyle name="Comma 2 4 3 17 4" xfId="13443"/>
    <cellStyle name="Comma 2 4 3 17 5" xfId="13444"/>
    <cellStyle name="Comma 2 4 3 18" xfId="13445"/>
    <cellStyle name="Comma 2 4 3 18 2" xfId="13446"/>
    <cellStyle name="Comma 2 4 3 19" xfId="13447"/>
    <cellStyle name="Comma 2 4 3 2" xfId="13448"/>
    <cellStyle name="Comma 2 4 3 2 10" xfId="13449"/>
    <cellStyle name="Comma 2 4 3 2 11" xfId="13450"/>
    <cellStyle name="Comma 2 4 3 2 2" xfId="13451"/>
    <cellStyle name="Comma 2 4 3 2 2 2" xfId="13452"/>
    <cellStyle name="Comma 2 4 3 2 2 2 2" xfId="13453"/>
    <cellStyle name="Comma 2 4 3 2 2 2 2 2" xfId="13454"/>
    <cellStyle name="Comma 2 4 3 2 2 2 2 3" xfId="13455"/>
    <cellStyle name="Comma 2 4 3 2 2 2 3" xfId="13456"/>
    <cellStyle name="Comma 2 4 3 2 2 2 4" xfId="13457"/>
    <cellStyle name="Comma 2 4 3 2 2 2 5" xfId="13458"/>
    <cellStyle name="Comma 2 4 3 2 2 2 6" xfId="13459"/>
    <cellStyle name="Comma 2 4 3 2 2 3" xfId="13460"/>
    <cellStyle name="Comma 2 4 3 2 2 3 2" xfId="13461"/>
    <cellStyle name="Comma 2 4 3 2 2 3 2 2" xfId="13462"/>
    <cellStyle name="Comma 2 4 3 2 2 3 3" xfId="13463"/>
    <cellStyle name="Comma 2 4 3 2 2 3 4" xfId="13464"/>
    <cellStyle name="Comma 2 4 3 2 2 3 5" xfId="13465"/>
    <cellStyle name="Comma 2 4 3 2 2 4" xfId="13466"/>
    <cellStyle name="Comma 2 4 3 2 2 4 2" xfId="13467"/>
    <cellStyle name="Comma 2 4 3 2 2 4 3" xfId="13468"/>
    <cellStyle name="Comma 2 4 3 2 2 4 4" xfId="13469"/>
    <cellStyle name="Comma 2 4 3 2 2 5" xfId="13470"/>
    <cellStyle name="Comma 2 4 3 2 2 5 2" xfId="13471"/>
    <cellStyle name="Comma 2 4 3 2 2 6" xfId="13472"/>
    <cellStyle name="Comma 2 4 3 2 2 7" xfId="13473"/>
    <cellStyle name="Comma 2 4 3 2 2 8" xfId="13474"/>
    <cellStyle name="Comma 2 4 3 2 2 9" xfId="13475"/>
    <cellStyle name="Comma 2 4 3 2 3" xfId="13476"/>
    <cellStyle name="Comma 2 4 3 2 3 2" xfId="13477"/>
    <cellStyle name="Comma 2 4 3 2 3 2 2" xfId="13478"/>
    <cellStyle name="Comma 2 4 3 2 3 2 2 2" xfId="13479"/>
    <cellStyle name="Comma 2 4 3 2 3 2 2 3" xfId="13480"/>
    <cellStyle name="Comma 2 4 3 2 3 2 3" xfId="13481"/>
    <cellStyle name="Comma 2 4 3 2 3 2 4" xfId="13482"/>
    <cellStyle name="Comma 2 4 3 2 3 2 5" xfId="13483"/>
    <cellStyle name="Comma 2 4 3 2 3 2 6" xfId="13484"/>
    <cellStyle name="Comma 2 4 3 2 3 3" xfId="13485"/>
    <cellStyle name="Comma 2 4 3 2 3 3 2" xfId="13486"/>
    <cellStyle name="Comma 2 4 3 2 3 3 2 2" xfId="13487"/>
    <cellStyle name="Comma 2 4 3 2 3 3 3" xfId="13488"/>
    <cellStyle name="Comma 2 4 3 2 3 3 4" xfId="13489"/>
    <cellStyle name="Comma 2 4 3 2 3 3 5" xfId="13490"/>
    <cellStyle name="Comma 2 4 3 2 3 4" xfId="13491"/>
    <cellStyle name="Comma 2 4 3 2 3 4 2" xfId="13492"/>
    <cellStyle name="Comma 2 4 3 2 3 4 3" xfId="13493"/>
    <cellStyle name="Comma 2 4 3 2 3 4 4" xfId="13494"/>
    <cellStyle name="Comma 2 4 3 2 3 5" xfId="13495"/>
    <cellStyle name="Comma 2 4 3 2 3 5 2" xfId="13496"/>
    <cellStyle name="Comma 2 4 3 2 3 6" xfId="13497"/>
    <cellStyle name="Comma 2 4 3 2 3 7" xfId="13498"/>
    <cellStyle name="Comma 2 4 3 2 3 8" xfId="13499"/>
    <cellStyle name="Comma 2 4 3 2 3 9" xfId="13500"/>
    <cellStyle name="Comma 2 4 3 2 4" xfId="13501"/>
    <cellStyle name="Comma 2 4 3 2 4 2" xfId="13502"/>
    <cellStyle name="Comma 2 4 3 2 4 2 2" xfId="13503"/>
    <cellStyle name="Comma 2 4 3 2 4 2 3" xfId="13504"/>
    <cellStyle name="Comma 2 4 3 2 4 3" xfId="13505"/>
    <cellStyle name="Comma 2 4 3 2 4 4" xfId="13506"/>
    <cellStyle name="Comma 2 4 3 2 4 5" xfId="13507"/>
    <cellStyle name="Comma 2 4 3 2 4 6" xfId="13508"/>
    <cellStyle name="Comma 2 4 3 2 5" xfId="13509"/>
    <cellStyle name="Comma 2 4 3 2 5 2" xfId="13510"/>
    <cellStyle name="Comma 2 4 3 2 5 2 2" xfId="13511"/>
    <cellStyle name="Comma 2 4 3 2 5 3" xfId="13512"/>
    <cellStyle name="Comma 2 4 3 2 5 4" xfId="13513"/>
    <cellStyle name="Comma 2 4 3 2 5 5" xfId="13514"/>
    <cellStyle name="Comma 2 4 3 2 6" xfId="13515"/>
    <cellStyle name="Comma 2 4 3 2 6 2" xfId="13516"/>
    <cellStyle name="Comma 2 4 3 2 6 3" xfId="13517"/>
    <cellStyle name="Comma 2 4 3 2 6 4" xfId="13518"/>
    <cellStyle name="Comma 2 4 3 2 7" xfId="13519"/>
    <cellStyle name="Comma 2 4 3 2 7 2" xfId="13520"/>
    <cellStyle name="Comma 2 4 3 2 8" xfId="13521"/>
    <cellStyle name="Comma 2 4 3 2 9" xfId="13522"/>
    <cellStyle name="Comma 2 4 3 20" xfId="13523"/>
    <cellStyle name="Comma 2 4 3 21" xfId="13524"/>
    <cellStyle name="Comma 2 4 3 22" xfId="13525"/>
    <cellStyle name="Comma 2 4 3 3" xfId="13526"/>
    <cellStyle name="Comma 2 4 3 3 10" xfId="13527"/>
    <cellStyle name="Comma 2 4 3 3 11" xfId="13528"/>
    <cellStyle name="Comma 2 4 3 3 2" xfId="13529"/>
    <cellStyle name="Comma 2 4 3 3 2 2" xfId="13530"/>
    <cellStyle name="Comma 2 4 3 3 2 2 2" xfId="13531"/>
    <cellStyle name="Comma 2 4 3 3 2 2 2 2" xfId="13532"/>
    <cellStyle name="Comma 2 4 3 3 2 2 2 3" xfId="13533"/>
    <cellStyle name="Comma 2 4 3 3 2 2 3" xfId="13534"/>
    <cellStyle name="Comma 2 4 3 3 2 2 4" xfId="13535"/>
    <cellStyle name="Comma 2 4 3 3 2 2 5" xfId="13536"/>
    <cellStyle name="Comma 2 4 3 3 2 2 6" xfId="13537"/>
    <cellStyle name="Comma 2 4 3 3 2 3" xfId="13538"/>
    <cellStyle name="Comma 2 4 3 3 2 3 2" xfId="13539"/>
    <cellStyle name="Comma 2 4 3 3 2 3 2 2" xfId="13540"/>
    <cellStyle name="Comma 2 4 3 3 2 3 3" xfId="13541"/>
    <cellStyle name="Comma 2 4 3 3 2 3 4" xfId="13542"/>
    <cellStyle name="Comma 2 4 3 3 2 3 5" xfId="13543"/>
    <cellStyle name="Comma 2 4 3 3 2 4" xfId="13544"/>
    <cellStyle name="Comma 2 4 3 3 2 4 2" xfId="13545"/>
    <cellStyle name="Comma 2 4 3 3 2 4 3" xfId="13546"/>
    <cellStyle name="Comma 2 4 3 3 2 4 4" xfId="13547"/>
    <cellStyle name="Comma 2 4 3 3 2 5" xfId="13548"/>
    <cellStyle name="Comma 2 4 3 3 2 5 2" xfId="13549"/>
    <cellStyle name="Comma 2 4 3 3 2 6" xfId="13550"/>
    <cellStyle name="Comma 2 4 3 3 2 7" xfId="13551"/>
    <cellStyle name="Comma 2 4 3 3 2 8" xfId="13552"/>
    <cellStyle name="Comma 2 4 3 3 2 9" xfId="13553"/>
    <cellStyle name="Comma 2 4 3 3 3" xfId="13554"/>
    <cellStyle name="Comma 2 4 3 3 3 2" xfId="13555"/>
    <cellStyle name="Comma 2 4 3 3 3 2 2" xfId="13556"/>
    <cellStyle name="Comma 2 4 3 3 3 2 2 2" xfId="13557"/>
    <cellStyle name="Comma 2 4 3 3 3 2 2 3" xfId="13558"/>
    <cellStyle name="Comma 2 4 3 3 3 2 3" xfId="13559"/>
    <cellStyle name="Comma 2 4 3 3 3 2 4" xfId="13560"/>
    <cellStyle name="Comma 2 4 3 3 3 2 5" xfId="13561"/>
    <cellStyle name="Comma 2 4 3 3 3 2 6" xfId="13562"/>
    <cellStyle name="Comma 2 4 3 3 3 3" xfId="13563"/>
    <cellStyle name="Comma 2 4 3 3 3 3 2" xfId="13564"/>
    <cellStyle name="Comma 2 4 3 3 3 3 2 2" xfId="13565"/>
    <cellStyle name="Comma 2 4 3 3 3 3 3" xfId="13566"/>
    <cellStyle name="Comma 2 4 3 3 3 3 4" xfId="13567"/>
    <cellStyle name="Comma 2 4 3 3 3 3 5" xfId="13568"/>
    <cellStyle name="Comma 2 4 3 3 3 4" xfId="13569"/>
    <cellStyle name="Comma 2 4 3 3 3 4 2" xfId="13570"/>
    <cellStyle name="Comma 2 4 3 3 3 4 3" xfId="13571"/>
    <cellStyle name="Comma 2 4 3 3 3 4 4" xfId="13572"/>
    <cellStyle name="Comma 2 4 3 3 3 5" xfId="13573"/>
    <cellStyle name="Comma 2 4 3 3 3 5 2" xfId="13574"/>
    <cellStyle name="Comma 2 4 3 3 3 6" xfId="13575"/>
    <cellStyle name="Comma 2 4 3 3 3 7" xfId="13576"/>
    <cellStyle name="Comma 2 4 3 3 3 8" xfId="13577"/>
    <cellStyle name="Comma 2 4 3 3 3 9" xfId="13578"/>
    <cellStyle name="Comma 2 4 3 3 4" xfId="13579"/>
    <cellStyle name="Comma 2 4 3 3 4 2" xfId="13580"/>
    <cellStyle name="Comma 2 4 3 3 4 2 2" xfId="13581"/>
    <cellStyle name="Comma 2 4 3 3 4 2 3" xfId="13582"/>
    <cellStyle name="Comma 2 4 3 3 4 3" xfId="13583"/>
    <cellStyle name="Comma 2 4 3 3 4 4" xfId="13584"/>
    <cellStyle name="Comma 2 4 3 3 4 5" xfId="13585"/>
    <cellStyle name="Comma 2 4 3 3 4 6" xfId="13586"/>
    <cellStyle name="Comma 2 4 3 3 5" xfId="13587"/>
    <cellStyle name="Comma 2 4 3 3 5 2" xfId="13588"/>
    <cellStyle name="Comma 2 4 3 3 5 2 2" xfId="13589"/>
    <cellStyle name="Comma 2 4 3 3 5 3" xfId="13590"/>
    <cellStyle name="Comma 2 4 3 3 5 4" xfId="13591"/>
    <cellStyle name="Comma 2 4 3 3 5 5" xfId="13592"/>
    <cellStyle name="Comma 2 4 3 3 6" xfId="13593"/>
    <cellStyle name="Comma 2 4 3 3 6 2" xfId="13594"/>
    <cellStyle name="Comma 2 4 3 3 6 3" xfId="13595"/>
    <cellStyle name="Comma 2 4 3 3 6 4" xfId="13596"/>
    <cellStyle name="Comma 2 4 3 3 7" xfId="13597"/>
    <cellStyle name="Comma 2 4 3 3 7 2" xfId="13598"/>
    <cellStyle name="Comma 2 4 3 3 8" xfId="13599"/>
    <cellStyle name="Comma 2 4 3 3 9" xfId="13600"/>
    <cellStyle name="Comma 2 4 3 4" xfId="13601"/>
    <cellStyle name="Comma 2 4 3 4 10" xfId="13602"/>
    <cellStyle name="Comma 2 4 3 4 11" xfId="13603"/>
    <cellStyle name="Comma 2 4 3 4 2" xfId="13604"/>
    <cellStyle name="Comma 2 4 3 4 2 2" xfId="13605"/>
    <cellStyle name="Comma 2 4 3 4 2 2 2" xfId="13606"/>
    <cellStyle name="Comma 2 4 3 4 2 2 2 2" xfId="13607"/>
    <cellStyle name="Comma 2 4 3 4 2 2 2 3" xfId="13608"/>
    <cellStyle name="Comma 2 4 3 4 2 2 3" xfId="13609"/>
    <cellStyle name="Comma 2 4 3 4 2 2 4" xfId="13610"/>
    <cellStyle name="Comma 2 4 3 4 2 2 5" xfId="13611"/>
    <cellStyle name="Comma 2 4 3 4 2 2 6" xfId="13612"/>
    <cellStyle name="Comma 2 4 3 4 2 3" xfId="13613"/>
    <cellStyle name="Comma 2 4 3 4 2 3 2" xfId="13614"/>
    <cellStyle name="Comma 2 4 3 4 2 3 2 2" xfId="13615"/>
    <cellStyle name="Comma 2 4 3 4 2 3 3" xfId="13616"/>
    <cellStyle name="Comma 2 4 3 4 2 3 4" xfId="13617"/>
    <cellStyle name="Comma 2 4 3 4 2 3 5" xfId="13618"/>
    <cellStyle name="Comma 2 4 3 4 2 4" xfId="13619"/>
    <cellStyle name="Comma 2 4 3 4 2 4 2" xfId="13620"/>
    <cellStyle name="Comma 2 4 3 4 2 4 3" xfId="13621"/>
    <cellStyle name="Comma 2 4 3 4 2 4 4" xfId="13622"/>
    <cellStyle name="Comma 2 4 3 4 2 5" xfId="13623"/>
    <cellStyle name="Comma 2 4 3 4 2 5 2" xfId="13624"/>
    <cellStyle name="Comma 2 4 3 4 2 6" xfId="13625"/>
    <cellStyle name="Comma 2 4 3 4 2 7" xfId="13626"/>
    <cellStyle name="Comma 2 4 3 4 2 8" xfId="13627"/>
    <cellStyle name="Comma 2 4 3 4 2 9" xfId="13628"/>
    <cellStyle name="Comma 2 4 3 4 3" xfId="13629"/>
    <cellStyle name="Comma 2 4 3 4 3 2" xfId="13630"/>
    <cellStyle name="Comma 2 4 3 4 3 2 2" xfId="13631"/>
    <cellStyle name="Comma 2 4 3 4 3 2 2 2" xfId="13632"/>
    <cellStyle name="Comma 2 4 3 4 3 2 2 3" xfId="13633"/>
    <cellStyle name="Comma 2 4 3 4 3 2 3" xfId="13634"/>
    <cellStyle name="Comma 2 4 3 4 3 2 4" xfId="13635"/>
    <cellStyle name="Comma 2 4 3 4 3 2 5" xfId="13636"/>
    <cellStyle name="Comma 2 4 3 4 3 2 6" xfId="13637"/>
    <cellStyle name="Comma 2 4 3 4 3 3" xfId="13638"/>
    <cellStyle name="Comma 2 4 3 4 3 3 2" xfId="13639"/>
    <cellStyle name="Comma 2 4 3 4 3 3 2 2" xfId="13640"/>
    <cellStyle name="Comma 2 4 3 4 3 3 3" xfId="13641"/>
    <cellStyle name="Comma 2 4 3 4 3 3 4" xfId="13642"/>
    <cellStyle name="Comma 2 4 3 4 3 3 5" xfId="13643"/>
    <cellStyle name="Comma 2 4 3 4 3 4" xfId="13644"/>
    <cellStyle name="Comma 2 4 3 4 3 4 2" xfId="13645"/>
    <cellStyle name="Comma 2 4 3 4 3 4 3" xfId="13646"/>
    <cellStyle name="Comma 2 4 3 4 3 4 4" xfId="13647"/>
    <cellStyle name="Comma 2 4 3 4 3 5" xfId="13648"/>
    <cellStyle name="Comma 2 4 3 4 3 5 2" xfId="13649"/>
    <cellStyle name="Comma 2 4 3 4 3 6" xfId="13650"/>
    <cellStyle name="Comma 2 4 3 4 3 7" xfId="13651"/>
    <cellStyle name="Comma 2 4 3 4 3 8" xfId="13652"/>
    <cellStyle name="Comma 2 4 3 4 3 9" xfId="13653"/>
    <cellStyle name="Comma 2 4 3 4 4" xfId="13654"/>
    <cellStyle name="Comma 2 4 3 4 4 2" xfId="13655"/>
    <cellStyle name="Comma 2 4 3 4 4 2 2" xfId="13656"/>
    <cellStyle name="Comma 2 4 3 4 4 2 3" xfId="13657"/>
    <cellStyle name="Comma 2 4 3 4 4 3" xfId="13658"/>
    <cellStyle name="Comma 2 4 3 4 4 4" xfId="13659"/>
    <cellStyle name="Comma 2 4 3 4 4 5" xfId="13660"/>
    <cellStyle name="Comma 2 4 3 4 4 6" xfId="13661"/>
    <cellStyle name="Comma 2 4 3 4 5" xfId="13662"/>
    <cellStyle name="Comma 2 4 3 4 5 2" xfId="13663"/>
    <cellStyle name="Comma 2 4 3 4 5 2 2" xfId="13664"/>
    <cellStyle name="Comma 2 4 3 4 5 3" xfId="13665"/>
    <cellStyle name="Comma 2 4 3 4 5 4" xfId="13666"/>
    <cellStyle name="Comma 2 4 3 4 5 5" xfId="13667"/>
    <cellStyle name="Comma 2 4 3 4 6" xfId="13668"/>
    <cellStyle name="Comma 2 4 3 4 6 2" xfId="13669"/>
    <cellStyle name="Comma 2 4 3 4 6 3" xfId="13670"/>
    <cellStyle name="Comma 2 4 3 4 6 4" xfId="13671"/>
    <cellStyle name="Comma 2 4 3 4 7" xfId="13672"/>
    <cellStyle name="Comma 2 4 3 4 7 2" xfId="13673"/>
    <cellStyle name="Comma 2 4 3 4 8" xfId="13674"/>
    <cellStyle name="Comma 2 4 3 4 9" xfId="13675"/>
    <cellStyle name="Comma 2 4 3 5" xfId="13676"/>
    <cellStyle name="Comma 2 4 3 5 10" xfId="13677"/>
    <cellStyle name="Comma 2 4 3 5 11" xfId="13678"/>
    <cellStyle name="Comma 2 4 3 5 2" xfId="13679"/>
    <cellStyle name="Comma 2 4 3 5 2 2" xfId="13680"/>
    <cellStyle name="Comma 2 4 3 5 2 2 2" xfId="13681"/>
    <cellStyle name="Comma 2 4 3 5 2 2 2 2" xfId="13682"/>
    <cellStyle name="Comma 2 4 3 5 2 2 2 3" xfId="13683"/>
    <cellStyle name="Comma 2 4 3 5 2 2 3" xfId="13684"/>
    <cellStyle name="Comma 2 4 3 5 2 2 4" xfId="13685"/>
    <cellStyle name="Comma 2 4 3 5 2 2 5" xfId="13686"/>
    <cellStyle name="Comma 2 4 3 5 2 2 6" xfId="13687"/>
    <cellStyle name="Comma 2 4 3 5 2 3" xfId="13688"/>
    <cellStyle name="Comma 2 4 3 5 2 3 2" xfId="13689"/>
    <cellStyle name="Comma 2 4 3 5 2 3 2 2" xfId="13690"/>
    <cellStyle name="Comma 2 4 3 5 2 3 3" xfId="13691"/>
    <cellStyle name="Comma 2 4 3 5 2 3 4" xfId="13692"/>
    <cellStyle name="Comma 2 4 3 5 2 3 5" xfId="13693"/>
    <cellStyle name="Comma 2 4 3 5 2 4" xfId="13694"/>
    <cellStyle name="Comma 2 4 3 5 2 4 2" xfId="13695"/>
    <cellStyle name="Comma 2 4 3 5 2 4 3" xfId="13696"/>
    <cellStyle name="Comma 2 4 3 5 2 4 4" xfId="13697"/>
    <cellStyle name="Comma 2 4 3 5 2 5" xfId="13698"/>
    <cellStyle name="Comma 2 4 3 5 2 5 2" xfId="13699"/>
    <cellStyle name="Comma 2 4 3 5 2 6" xfId="13700"/>
    <cellStyle name="Comma 2 4 3 5 2 7" xfId="13701"/>
    <cellStyle name="Comma 2 4 3 5 2 8" xfId="13702"/>
    <cellStyle name="Comma 2 4 3 5 2 9" xfId="13703"/>
    <cellStyle name="Comma 2 4 3 5 3" xfId="13704"/>
    <cellStyle name="Comma 2 4 3 5 3 2" xfId="13705"/>
    <cellStyle name="Comma 2 4 3 5 3 2 2" xfId="13706"/>
    <cellStyle name="Comma 2 4 3 5 3 2 2 2" xfId="13707"/>
    <cellStyle name="Comma 2 4 3 5 3 2 2 3" xfId="13708"/>
    <cellStyle name="Comma 2 4 3 5 3 2 3" xfId="13709"/>
    <cellStyle name="Comma 2 4 3 5 3 2 4" xfId="13710"/>
    <cellStyle name="Comma 2 4 3 5 3 2 5" xfId="13711"/>
    <cellStyle name="Comma 2 4 3 5 3 2 6" xfId="13712"/>
    <cellStyle name="Comma 2 4 3 5 3 3" xfId="13713"/>
    <cellStyle name="Comma 2 4 3 5 3 3 2" xfId="13714"/>
    <cellStyle name="Comma 2 4 3 5 3 3 2 2" xfId="13715"/>
    <cellStyle name="Comma 2 4 3 5 3 3 3" xfId="13716"/>
    <cellStyle name="Comma 2 4 3 5 3 3 4" xfId="13717"/>
    <cellStyle name="Comma 2 4 3 5 3 3 5" xfId="13718"/>
    <cellStyle name="Comma 2 4 3 5 3 4" xfId="13719"/>
    <cellStyle name="Comma 2 4 3 5 3 4 2" xfId="13720"/>
    <cellStyle name="Comma 2 4 3 5 3 4 3" xfId="13721"/>
    <cellStyle name="Comma 2 4 3 5 3 4 4" xfId="13722"/>
    <cellStyle name="Comma 2 4 3 5 3 5" xfId="13723"/>
    <cellStyle name="Comma 2 4 3 5 3 5 2" xfId="13724"/>
    <cellStyle name="Comma 2 4 3 5 3 6" xfId="13725"/>
    <cellStyle name="Comma 2 4 3 5 3 7" xfId="13726"/>
    <cellStyle name="Comma 2 4 3 5 3 8" xfId="13727"/>
    <cellStyle name="Comma 2 4 3 5 3 9" xfId="13728"/>
    <cellStyle name="Comma 2 4 3 5 4" xfId="13729"/>
    <cellStyle name="Comma 2 4 3 5 4 2" xfId="13730"/>
    <cellStyle name="Comma 2 4 3 5 4 2 2" xfId="13731"/>
    <cellStyle name="Comma 2 4 3 5 4 2 3" xfId="13732"/>
    <cellStyle name="Comma 2 4 3 5 4 3" xfId="13733"/>
    <cellStyle name="Comma 2 4 3 5 4 4" xfId="13734"/>
    <cellStyle name="Comma 2 4 3 5 4 5" xfId="13735"/>
    <cellStyle name="Comma 2 4 3 5 4 6" xfId="13736"/>
    <cellStyle name="Comma 2 4 3 5 5" xfId="13737"/>
    <cellStyle name="Comma 2 4 3 5 5 2" xfId="13738"/>
    <cellStyle name="Comma 2 4 3 5 5 2 2" xfId="13739"/>
    <cellStyle name="Comma 2 4 3 5 5 3" xfId="13740"/>
    <cellStyle name="Comma 2 4 3 5 5 4" xfId="13741"/>
    <cellStyle name="Comma 2 4 3 5 5 5" xfId="13742"/>
    <cellStyle name="Comma 2 4 3 5 6" xfId="13743"/>
    <cellStyle name="Comma 2 4 3 5 6 2" xfId="13744"/>
    <cellStyle name="Comma 2 4 3 5 6 3" xfId="13745"/>
    <cellStyle name="Comma 2 4 3 5 6 4" xfId="13746"/>
    <cellStyle name="Comma 2 4 3 5 7" xfId="13747"/>
    <cellStyle name="Comma 2 4 3 5 7 2" xfId="13748"/>
    <cellStyle name="Comma 2 4 3 5 8" xfId="13749"/>
    <cellStyle name="Comma 2 4 3 5 9" xfId="13750"/>
    <cellStyle name="Comma 2 4 3 6" xfId="13751"/>
    <cellStyle name="Comma 2 4 3 6 10" xfId="13752"/>
    <cellStyle name="Comma 2 4 3 6 11" xfId="13753"/>
    <cellStyle name="Comma 2 4 3 6 2" xfId="13754"/>
    <cellStyle name="Comma 2 4 3 6 2 2" xfId="13755"/>
    <cellStyle name="Comma 2 4 3 6 2 2 2" xfId="13756"/>
    <cellStyle name="Comma 2 4 3 6 2 2 2 2" xfId="13757"/>
    <cellStyle name="Comma 2 4 3 6 2 2 2 3" xfId="13758"/>
    <cellStyle name="Comma 2 4 3 6 2 2 3" xfId="13759"/>
    <cellStyle name="Comma 2 4 3 6 2 2 4" xfId="13760"/>
    <cellStyle name="Comma 2 4 3 6 2 2 5" xfId="13761"/>
    <cellStyle name="Comma 2 4 3 6 2 2 6" xfId="13762"/>
    <cellStyle name="Comma 2 4 3 6 2 3" xfId="13763"/>
    <cellStyle name="Comma 2 4 3 6 2 3 2" xfId="13764"/>
    <cellStyle name="Comma 2 4 3 6 2 3 2 2" xfId="13765"/>
    <cellStyle name="Comma 2 4 3 6 2 3 3" xfId="13766"/>
    <cellStyle name="Comma 2 4 3 6 2 3 4" xfId="13767"/>
    <cellStyle name="Comma 2 4 3 6 2 3 5" xfId="13768"/>
    <cellStyle name="Comma 2 4 3 6 2 4" xfId="13769"/>
    <cellStyle name="Comma 2 4 3 6 2 4 2" xfId="13770"/>
    <cellStyle name="Comma 2 4 3 6 2 4 3" xfId="13771"/>
    <cellStyle name="Comma 2 4 3 6 2 4 4" xfId="13772"/>
    <cellStyle name="Comma 2 4 3 6 2 5" xfId="13773"/>
    <cellStyle name="Comma 2 4 3 6 2 5 2" xfId="13774"/>
    <cellStyle name="Comma 2 4 3 6 2 6" xfId="13775"/>
    <cellStyle name="Comma 2 4 3 6 2 7" xfId="13776"/>
    <cellStyle name="Comma 2 4 3 6 2 8" xfId="13777"/>
    <cellStyle name="Comma 2 4 3 6 2 9" xfId="13778"/>
    <cellStyle name="Comma 2 4 3 6 3" xfId="13779"/>
    <cellStyle name="Comma 2 4 3 6 3 2" xfId="13780"/>
    <cellStyle name="Comma 2 4 3 6 3 2 2" xfId="13781"/>
    <cellStyle name="Comma 2 4 3 6 3 2 2 2" xfId="13782"/>
    <cellStyle name="Comma 2 4 3 6 3 2 2 3" xfId="13783"/>
    <cellStyle name="Comma 2 4 3 6 3 2 3" xfId="13784"/>
    <cellStyle name="Comma 2 4 3 6 3 2 4" xfId="13785"/>
    <cellStyle name="Comma 2 4 3 6 3 2 5" xfId="13786"/>
    <cellStyle name="Comma 2 4 3 6 3 2 6" xfId="13787"/>
    <cellStyle name="Comma 2 4 3 6 3 3" xfId="13788"/>
    <cellStyle name="Comma 2 4 3 6 3 3 2" xfId="13789"/>
    <cellStyle name="Comma 2 4 3 6 3 3 2 2" xfId="13790"/>
    <cellStyle name="Comma 2 4 3 6 3 3 3" xfId="13791"/>
    <cellStyle name="Comma 2 4 3 6 3 3 4" xfId="13792"/>
    <cellStyle name="Comma 2 4 3 6 3 3 5" xfId="13793"/>
    <cellStyle name="Comma 2 4 3 6 3 4" xfId="13794"/>
    <cellStyle name="Comma 2 4 3 6 3 4 2" xfId="13795"/>
    <cellStyle name="Comma 2 4 3 6 3 4 3" xfId="13796"/>
    <cellStyle name="Comma 2 4 3 6 3 4 4" xfId="13797"/>
    <cellStyle name="Comma 2 4 3 6 3 5" xfId="13798"/>
    <cellStyle name="Comma 2 4 3 6 3 5 2" xfId="13799"/>
    <cellStyle name="Comma 2 4 3 6 3 6" xfId="13800"/>
    <cellStyle name="Comma 2 4 3 6 3 7" xfId="13801"/>
    <cellStyle name="Comma 2 4 3 6 3 8" xfId="13802"/>
    <cellStyle name="Comma 2 4 3 6 3 9" xfId="13803"/>
    <cellStyle name="Comma 2 4 3 6 4" xfId="13804"/>
    <cellStyle name="Comma 2 4 3 6 4 2" xfId="13805"/>
    <cellStyle name="Comma 2 4 3 6 4 2 2" xfId="13806"/>
    <cellStyle name="Comma 2 4 3 6 4 2 3" xfId="13807"/>
    <cellStyle name="Comma 2 4 3 6 4 3" xfId="13808"/>
    <cellStyle name="Comma 2 4 3 6 4 4" xfId="13809"/>
    <cellStyle name="Comma 2 4 3 6 4 5" xfId="13810"/>
    <cellStyle name="Comma 2 4 3 6 4 6" xfId="13811"/>
    <cellStyle name="Comma 2 4 3 6 5" xfId="13812"/>
    <cellStyle name="Comma 2 4 3 6 5 2" xfId="13813"/>
    <cellStyle name="Comma 2 4 3 6 5 2 2" xfId="13814"/>
    <cellStyle name="Comma 2 4 3 6 5 3" xfId="13815"/>
    <cellStyle name="Comma 2 4 3 6 5 4" xfId="13816"/>
    <cellStyle name="Comma 2 4 3 6 5 5" xfId="13817"/>
    <cellStyle name="Comma 2 4 3 6 6" xfId="13818"/>
    <cellStyle name="Comma 2 4 3 6 6 2" xfId="13819"/>
    <cellStyle name="Comma 2 4 3 6 6 3" xfId="13820"/>
    <cellStyle name="Comma 2 4 3 6 6 4" xfId="13821"/>
    <cellStyle name="Comma 2 4 3 6 7" xfId="13822"/>
    <cellStyle name="Comma 2 4 3 6 7 2" xfId="13823"/>
    <cellStyle name="Comma 2 4 3 6 8" xfId="13824"/>
    <cellStyle name="Comma 2 4 3 6 9" xfId="13825"/>
    <cellStyle name="Comma 2 4 3 7" xfId="13826"/>
    <cellStyle name="Comma 2 4 3 7 10" xfId="13827"/>
    <cellStyle name="Comma 2 4 3 7 11" xfId="13828"/>
    <cellStyle name="Comma 2 4 3 7 2" xfId="13829"/>
    <cellStyle name="Comma 2 4 3 7 2 2" xfId="13830"/>
    <cellStyle name="Comma 2 4 3 7 2 2 2" xfId="13831"/>
    <cellStyle name="Comma 2 4 3 7 2 2 2 2" xfId="13832"/>
    <cellStyle name="Comma 2 4 3 7 2 2 2 3" xfId="13833"/>
    <cellStyle name="Comma 2 4 3 7 2 2 3" xfId="13834"/>
    <cellStyle name="Comma 2 4 3 7 2 2 4" xfId="13835"/>
    <cellStyle name="Comma 2 4 3 7 2 2 5" xfId="13836"/>
    <cellStyle name="Comma 2 4 3 7 2 2 6" xfId="13837"/>
    <cellStyle name="Comma 2 4 3 7 2 3" xfId="13838"/>
    <cellStyle name="Comma 2 4 3 7 2 3 2" xfId="13839"/>
    <cellStyle name="Comma 2 4 3 7 2 3 2 2" xfId="13840"/>
    <cellStyle name="Comma 2 4 3 7 2 3 3" xfId="13841"/>
    <cellStyle name="Comma 2 4 3 7 2 3 4" xfId="13842"/>
    <cellStyle name="Comma 2 4 3 7 2 3 5" xfId="13843"/>
    <cellStyle name="Comma 2 4 3 7 2 4" xfId="13844"/>
    <cellStyle name="Comma 2 4 3 7 2 4 2" xfId="13845"/>
    <cellStyle name="Comma 2 4 3 7 2 4 3" xfId="13846"/>
    <cellStyle name="Comma 2 4 3 7 2 4 4" xfId="13847"/>
    <cellStyle name="Comma 2 4 3 7 2 5" xfId="13848"/>
    <cellStyle name="Comma 2 4 3 7 2 5 2" xfId="13849"/>
    <cellStyle name="Comma 2 4 3 7 2 6" xfId="13850"/>
    <cellStyle name="Comma 2 4 3 7 2 7" xfId="13851"/>
    <cellStyle name="Comma 2 4 3 7 2 8" xfId="13852"/>
    <cellStyle name="Comma 2 4 3 7 2 9" xfId="13853"/>
    <cellStyle name="Comma 2 4 3 7 3" xfId="13854"/>
    <cellStyle name="Comma 2 4 3 7 3 2" xfId="13855"/>
    <cellStyle name="Comma 2 4 3 7 3 2 2" xfId="13856"/>
    <cellStyle name="Comma 2 4 3 7 3 2 2 2" xfId="13857"/>
    <cellStyle name="Comma 2 4 3 7 3 2 2 3" xfId="13858"/>
    <cellStyle name="Comma 2 4 3 7 3 2 3" xfId="13859"/>
    <cellStyle name="Comma 2 4 3 7 3 2 4" xfId="13860"/>
    <cellStyle name="Comma 2 4 3 7 3 2 5" xfId="13861"/>
    <cellStyle name="Comma 2 4 3 7 3 2 6" xfId="13862"/>
    <cellStyle name="Comma 2 4 3 7 3 3" xfId="13863"/>
    <cellStyle name="Comma 2 4 3 7 3 3 2" xfId="13864"/>
    <cellStyle name="Comma 2 4 3 7 3 3 2 2" xfId="13865"/>
    <cellStyle name="Comma 2 4 3 7 3 3 3" xfId="13866"/>
    <cellStyle name="Comma 2 4 3 7 3 3 4" xfId="13867"/>
    <cellStyle name="Comma 2 4 3 7 3 3 5" xfId="13868"/>
    <cellStyle name="Comma 2 4 3 7 3 4" xfId="13869"/>
    <cellStyle name="Comma 2 4 3 7 3 4 2" xfId="13870"/>
    <cellStyle name="Comma 2 4 3 7 3 4 3" xfId="13871"/>
    <cellStyle name="Comma 2 4 3 7 3 4 4" xfId="13872"/>
    <cellStyle name="Comma 2 4 3 7 3 5" xfId="13873"/>
    <cellStyle name="Comma 2 4 3 7 3 5 2" xfId="13874"/>
    <cellStyle name="Comma 2 4 3 7 3 6" xfId="13875"/>
    <cellStyle name="Comma 2 4 3 7 3 7" xfId="13876"/>
    <cellStyle name="Comma 2 4 3 7 3 8" xfId="13877"/>
    <cellStyle name="Comma 2 4 3 7 3 9" xfId="13878"/>
    <cellStyle name="Comma 2 4 3 7 4" xfId="13879"/>
    <cellStyle name="Comma 2 4 3 7 4 2" xfId="13880"/>
    <cellStyle name="Comma 2 4 3 7 4 2 2" xfId="13881"/>
    <cellStyle name="Comma 2 4 3 7 4 2 3" xfId="13882"/>
    <cellStyle name="Comma 2 4 3 7 4 3" xfId="13883"/>
    <cellStyle name="Comma 2 4 3 7 4 4" xfId="13884"/>
    <cellStyle name="Comma 2 4 3 7 4 5" xfId="13885"/>
    <cellStyle name="Comma 2 4 3 7 4 6" xfId="13886"/>
    <cellStyle name="Comma 2 4 3 7 5" xfId="13887"/>
    <cellStyle name="Comma 2 4 3 7 5 2" xfId="13888"/>
    <cellStyle name="Comma 2 4 3 7 5 2 2" xfId="13889"/>
    <cellStyle name="Comma 2 4 3 7 5 3" xfId="13890"/>
    <cellStyle name="Comma 2 4 3 7 5 4" xfId="13891"/>
    <cellStyle name="Comma 2 4 3 7 5 5" xfId="13892"/>
    <cellStyle name="Comma 2 4 3 7 6" xfId="13893"/>
    <cellStyle name="Comma 2 4 3 7 6 2" xfId="13894"/>
    <cellStyle name="Comma 2 4 3 7 6 3" xfId="13895"/>
    <cellStyle name="Comma 2 4 3 7 6 4" xfId="13896"/>
    <cellStyle name="Comma 2 4 3 7 7" xfId="13897"/>
    <cellStyle name="Comma 2 4 3 7 7 2" xfId="13898"/>
    <cellStyle name="Comma 2 4 3 7 8" xfId="13899"/>
    <cellStyle name="Comma 2 4 3 7 9" xfId="13900"/>
    <cellStyle name="Comma 2 4 3 8" xfId="13901"/>
    <cellStyle name="Comma 2 4 3 8 10" xfId="13902"/>
    <cellStyle name="Comma 2 4 3 8 2" xfId="13903"/>
    <cellStyle name="Comma 2 4 3 8 2 2" xfId="13904"/>
    <cellStyle name="Comma 2 4 3 8 2 2 2" xfId="13905"/>
    <cellStyle name="Comma 2 4 3 8 2 2 3" xfId="13906"/>
    <cellStyle name="Comma 2 4 3 8 2 3" xfId="13907"/>
    <cellStyle name="Comma 2 4 3 8 2 4" xfId="13908"/>
    <cellStyle name="Comma 2 4 3 8 2 5" xfId="13909"/>
    <cellStyle name="Comma 2 4 3 8 2 6" xfId="13910"/>
    <cellStyle name="Comma 2 4 3 8 3" xfId="13911"/>
    <cellStyle name="Comma 2 4 3 8 3 2" xfId="13912"/>
    <cellStyle name="Comma 2 4 3 8 3 2 2" xfId="13913"/>
    <cellStyle name="Comma 2 4 3 8 3 2 3" xfId="13914"/>
    <cellStyle name="Comma 2 4 3 8 3 3" xfId="13915"/>
    <cellStyle name="Comma 2 4 3 8 3 4" xfId="13916"/>
    <cellStyle name="Comma 2 4 3 8 3 5" xfId="13917"/>
    <cellStyle name="Comma 2 4 3 8 3 6" xfId="13918"/>
    <cellStyle name="Comma 2 4 3 8 4" xfId="13919"/>
    <cellStyle name="Comma 2 4 3 8 4 2" xfId="13920"/>
    <cellStyle name="Comma 2 4 3 8 4 2 2" xfId="13921"/>
    <cellStyle name="Comma 2 4 3 8 4 3" xfId="13922"/>
    <cellStyle name="Comma 2 4 3 8 4 4" xfId="13923"/>
    <cellStyle name="Comma 2 4 3 8 4 5" xfId="13924"/>
    <cellStyle name="Comma 2 4 3 8 5" xfId="13925"/>
    <cellStyle name="Comma 2 4 3 8 5 2" xfId="13926"/>
    <cellStyle name="Comma 2 4 3 8 5 3" xfId="13927"/>
    <cellStyle name="Comma 2 4 3 8 5 4" xfId="13928"/>
    <cellStyle name="Comma 2 4 3 8 6" xfId="13929"/>
    <cellStyle name="Comma 2 4 3 8 6 2" xfId="13930"/>
    <cellStyle name="Comma 2 4 3 8 7" xfId="13931"/>
    <cellStyle name="Comma 2 4 3 8 8" xfId="13932"/>
    <cellStyle name="Comma 2 4 3 8 9" xfId="13933"/>
    <cellStyle name="Comma 2 4 3 9" xfId="13934"/>
    <cellStyle name="Comma 2 4 3 9 10" xfId="13935"/>
    <cellStyle name="Comma 2 4 3 9 2" xfId="13936"/>
    <cellStyle name="Comma 2 4 3 9 2 2" xfId="13937"/>
    <cellStyle name="Comma 2 4 3 9 2 2 2" xfId="13938"/>
    <cellStyle name="Comma 2 4 3 9 2 2 3" xfId="13939"/>
    <cellStyle name="Comma 2 4 3 9 2 3" xfId="13940"/>
    <cellStyle name="Comma 2 4 3 9 2 4" xfId="13941"/>
    <cellStyle name="Comma 2 4 3 9 2 5" xfId="13942"/>
    <cellStyle name="Comma 2 4 3 9 2 6" xfId="13943"/>
    <cellStyle name="Comma 2 4 3 9 3" xfId="13944"/>
    <cellStyle name="Comma 2 4 3 9 3 2" xfId="13945"/>
    <cellStyle name="Comma 2 4 3 9 3 2 2" xfId="13946"/>
    <cellStyle name="Comma 2 4 3 9 3 2 3" xfId="13947"/>
    <cellStyle name="Comma 2 4 3 9 3 3" xfId="13948"/>
    <cellStyle name="Comma 2 4 3 9 3 4" xfId="13949"/>
    <cellStyle name="Comma 2 4 3 9 3 5" xfId="13950"/>
    <cellStyle name="Comma 2 4 3 9 3 6" xfId="13951"/>
    <cellStyle name="Comma 2 4 3 9 4" xfId="13952"/>
    <cellStyle name="Comma 2 4 3 9 4 2" xfId="13953"/>
    <cellStyle name="Comma 2 4 3 9 4 2 2" xfId="13954"/>
    <cellStyle name="Comma 2 4 3 9 4 3" xfId="13955"/>
    <cellStyle name="Comma 2 4 3 9 4 4" xfId="13956"/>
    <cellStyle name="Comma 2 4 3 9 4 5" xfId="13957"/>
    <cellStyle name="Comma 2 4 3 9 5" xfId="13958"/>
    <cellStyle name="Comma 2 4 3 9 5 2" xfId="13959"/>
    <cellStyle name="Comma 2 4 3 9 5 3" xfId="13960"/>
    <cellStyle name="Comma 2 4 3 9 5 4" xfId="13961"/>
    <cellStyle name="Comma 2 4 3 9 6" xfId="13962"/>
    <cellStyle name="Comma 2 4 3 9 6 2" xfId="13963"/>
    <cellStyle name="Comma 2 4 3 9 7" xfId="13964"/>
    <cellStyle name="Comma 2 4 3 9 8" xfId="13965"/>
    <cellStyle name="Comma 2 4 3 9 9" xfId="13966"/>
    <cellStyle name="Comma 2 4 30" xfId="13967"/>
    <cellStyle name="Comma 2 4 30 2" xfId="13968"/>
    <cellStyle name="Comma 2 4 30 2 2" xfId="13969"/>
    <cellStyle name="Comma 2 4 30 2 2 2" xfId="13970"/>
    <cellStyle name="Comma 2 4 30 2 2 3" xfId="13971"/>
    <cellStyle name="Comma 2 4 30 2 3" xfId="13972"/>
    <cellStyle name="Comma 2 4 30 2 4" xfId="13973"/>
    <cellStyle name="Comma 2 4 30 2 5" xfId="13974"/>
    <cellStyle name="Comma 2 4 30 2 6" xfId="13975"/>
    <cellStyle name="Comma 2 4 30 3" xfId="13976"/>
    <cellStyle name="Comma 2 4 30 3 2" xfId="13977"/>
    <cellStyle name="Comma 2 4 30 3 2 2" xfId="13978"/>
    <cellStyle name="Comma 2 4 30 3 3" xfId="13979"/>
    <cellStyle name="Comma 2 4 30 3 4" xfId="13980"/>
    <cellStyle name="Comma 2 4 30 3 5" xfId="13981"/>
    <cellStyle name="Comma 2 4 30 4" xfId="13982"/>
    <cellStyle name="Comma 2 4 30 4 2" xfId="13983"/>
    <cellStyle name="Comma 2 4 30 4 3" xfId="13984"/>
    <cellStyle name="Comma 2 4 30 4 4" xfId="13985"/>
    <cellStyle name="Comma 2 4 30 5" xfId="13986"/>
    <cellStyle name="Comma 2 4 30 5 2" xfId="13987"/>
    <cellStyle name="Comma 2 4 30 6" xfId="13988"/>
    <cellStyle name="Comma 2 4 30 7" xfId="13989"/>
    <cellStyle name="Comma 2 4 30 8" xfId="13990"/>
    <cellStyle name="Comma 2 4 30 9" xfId="13991"/>
    <cellStyle name="Comma 2 4 31" xfId="13992"/>
    <cellStyle name="Comma 2 4 31 2" xfId="13993"/>
    <cellStyle name="Comma 2 4 31 2 2" xfId="13994"/>
    <cellStyle name="Comma 2 4 31 2 3" xfId="13995"/>
    <cellStyle name="Comma 2 4 31 3" xfId="13996"/>
    <cellStyle name="Comma 2 4 31 4" xfId="13997"/>
    <cellStyle name="Comma 2 4 31 5" xfId="13998"/>
    <cellStyle name="Comma 2 4 31 6" xfId="13999"/>
    <cellStyle name="Comma 2 4 32" xfId="14000"/>
    <cellStyle name="Comma 2 4 32 2" xfId="14001"/>
    <cellStyle name="Comma 2 4 32 2 2" xfId="14002"/>
    <cellStyle name="Comma 2 4 32 3" xfId="14003"/>
    <cellStyle name="Comma 2 4 32 4" xfId="14004"/>
    <cellStyle name="Comma 2 4 32 5" xfId="14005"/>
    <cellStyle name="Comma 2 4 33" xfId="14006"/>
    <cellStyle name="Comma 2 4 33 2" xfId="14007"/>
    <cellStyle name="Comma 2 4 33 2 2" xfId="14008"/>
    <cellStyle name="Comma 2 4 33 3" xfId="14009"/>
    <cellStyle name="Comma 2 4 33 4" xfId="14010"/>
    <cellStyle name="Comma 2 4 33 5" xfId="14011"/>
    <cellStyle name="Comma 2 4 34" xfId="14012"/>
    <cellStyle name="Comma 2 4 34 2" xfId="14013"/>
    <cellStyle name="Comma 2 4 35" xfId="14014"/>
    <cellStyle name="Comma 2 4 36" xfId="14015"/>
    <cellStyle name="Comma 2 4 37" xfId="14016"/>
    <cellStyle name="Comma 2 4 38" xfId="14017"/>
    <cellStyle name="Comma 2 4 4" xfId="14018"/>
    <cellStyle name="Comma 2 4 4 10" xfId="14019"/>
    <cellStyle name="Comma 2 4 4 11" xfId="14020"/>
    <cellStyle name="Comma 2 4 4 2" xfId="14021"/>
    <cellStyle name="Comma 2 4 4 2 2" xfId="14022"/>
    <cellStyle name="Comma 2 4 4 2 2 2" xfId="14023"/>
    <cellStyle name="Comma 2 4 4 2 2 2 2" xfId="14024"/>
    <cellStyle name="Comma 2 4 4 2 2 2 3" xfId="14025"/>
    <cellStyle name="Comma 2 4 4 2 2 3" xfId="14026"/>
    <cellStyle name="Comma 2 4 4 2 2 4" xfId="14027"/>
    <cellStyle name="Comma 2 4 4 2 2 5" xfId="14028"/>
    <cellStyle name="Comma 2 4 4 2 2 6" xfId="14029"/>
    <cellStyle name="Comma 2 4 4 2 3" xfId="14030"/>
    <cellStyle name="Comma 2 4 4 2 3 2" xfId="14031"/>
    <cellStyle name="Comma 2 4 4 2 3 2 2" xfId="14032"/>
    <cellStyle name="Comma 2 4 4 2 3 3" xfId="14033"/>
    <cellStyle name="Comma 2 4 4 2 3 4" xfId="14034"/>
    <cellStyle name="Comma 2 4 4 2 3 5" xfId="14035"/>
    <cellStyle name="Comma 2 4 4 2 4" xfId="14036"/>
    <cellStyle name="Comma 2 4 4 2 4 2" xfId="14037"/>
    <cellStyle name="Comma 2 4 4 2 4 3" xfId="14038"/>
    <cellStyle name="Comma 2 4 4 2 4 4" xfId="14039"/>
    <cellStyle name="Comma 2 4 4 2 5" xfId="14040"/>
    <cellStyle name="Comma 2 4 4 2 5 2" xfId="14041"/>
    <cellStyle name="Comma 2 4 4 2 6" xfId="14042"/>
    <cellStyle name="Comma 2 4 4 2 7" xfId="14043"/>
    <cellStyle name="Comma 2 4 4 2 8" xfId="14044"/>
    <cellStyle name="Comma 2 4 4 2 9" xfId="14045"/>
    <cellStyle name="Comma 2 4 4 3" xfId="14046"/>
    <cellStyle name="Comma 2 4 4 3 2" xfId="14047"/>
    <cellStyle name="Comma 2 4 4 3 2 2" xfId="14048"/>
    <cellStyle name="Comma 2 4 4 3 2 2 2" xfId="14049"/>
    <cellStyle name="Comma 2 4 4 3 2 2 3" xfId="14050"/>
    <cellStyle name="Comma 2 4 4 3 2 3" xfId="14051"/>
    <cellStyle name="Comma 2 4 4 3 2 4" xfId="14052"/>
    <cellStyle name="Comma 2 4 4 3 2 5" xfId="14053"/>
    <cellStyle name="Comma 2 4 4 3 2 6" xfId="14054"/>
    <cellStyle name="Comma 2 4 4 3 3" xfId="14055"/>
    <cellStyle name="Comma 2 4 4 3 3 2" xfId="14056"/>
    <cellStyle name="Comma 2 4 4 3 3 2 2" xfId="14057"/>
    <cellStyle name="Comma 2 4 4 3 3 3" xfId="14058"/>
    <cellStyle name="Comma 2 4 4 3 3 4" xfId="14059"/>
    <cellStyle name="Comma 2 4 4 3 3 5" xfId="14060"/>
    <cellStyle name="Comma 2 4 4 3 4" xfId="14061"/>
    <cellStyle name="Comma 2 4 4 3 4 2" xfId="14062"/>
    <cellStyle name="Comma 2 4 4 3 4 3" xfId="14063"/>
    <cellStyle name="Comma 2 4 4 3 4 4" xfId="14064"/>
    <cellStyle name="Comma 2 4 4 3 5" xfId="14065"/>
    <cellStyle name="Comma 2 4 4 3 5 2" xfId="14066"/>
    <cellStyle name="Comma 2 4 4 3 6" xfId="14067"/>
    <cellStyle name="Comma 2 4 4 3 7" xfId="14068"/>
    <cellStyle name="Comma 2 4 4 3 8" xfId="14069"/>
    <cellStyle name="Comma 2 4 4 3 9" xfId="14070"/>
    <cellStyle name="Comma 2 4 4 4" xfId="14071"/>
    <cellStyle name="Comma 2 4 4 4 2" xfId="14072"/>
    <cellStyle name="Comma 2 4 4 4 2 2" xfId="14073"/>
    <cellStyle name="Comma 2 4 4 4 2 3" xfId="14074"/>
    <cellStyle name="Comma 2 4 4 4 3" xfId="14075"/>
    <cellStyle name="Comma 2 4 4 4 4" xfId="14076"/>
    <cellStyle name="Comma 2 4 4 4 5" xfId="14077"/>
    <cellStyle name="Comma 2 4 4 4 6" xfId="14078"/>
    <cellStyle name="Comma 2 4 4 5" xfId="14079"/>
    <cellStyle name="Comma 2 4 4 5 2" xfId="14080"/>
    <cellStyle name="Comma 2 4 4 5 2 2" xfId="14081"/>
    <cellStyle name="Comma 2 4 4 5 3" xfId="14082"/>
    <cellStyle name="Comma 2 4 4 5 4" xfId="14083"/>
    <cellStyle name="Comma 2 4 4 5 5" xfId="14084"/>
    <cellStyle name="Comma 2 4 4 6" xfId="14085"/>
    <cellStyle name="Comma 2 4 4 6 2" xfId="14086"/>
    <cellStyle name="Comma 2 4 4 6 3" xfId="14087"/>
    <cellStyle name="Comma 2 4 4 6 4" xfId="14088"/>
    <cellStyle name="Comma 2 4 4 7" xfId="14089"/>
    <cellStyle name="Comma 2 4 4 7 2" xfId="14090"/>
    <cellStyle name="Comma 2 4 4 8" xfId="14091"/>
    <cellStyle name="Comma 2 4 4 9" xfId="14092"/>
    <cellStyle name="Comma 2 4 5" xfId="14093"/>
    <cellStyle name="Comma 2 4 5 10" xfId="14094"/>
    <cellStyle name="Comma 2 4 5 11" xfId="14095"/>
    <cellStyle name="Comma 2 4 5 2" xfId="14096"/>
    <cellStyle name="Comma 2 4 5 2 2" xfId="14097"/>
    <cellStyle name="Comma 2 4 5 2 2 2" xfId="14098"/>
    <cellStyle name="Comma 2 4 5 2 2 2 2" xfId="14099"/>
    <cellStyle name="Comma 2 4 5 2 2 2 3" xfId="14100"/>
    <cellStyle name="Comma 2 4 5 2 2 3" xfId="14101"/>
    <cellStyle name="Comma 2 4 5 2 2 4" xfId="14102"/>
    <cellStyle name="Comma 2 4 5 2 2 5" xfId="14103"/>
    <cellStyle name="Comma 2 4 5 2 2 6" xfId="14104"/>
    <cellStyle name="Comma 2 4 5 2 3" xfId="14105"/>
    <cellStyle name="Comma 2 4 5 2 3 2" xfId="14106"/>
    <cellStyle name="Comma 2 4 5 2 3 2 2" xfId="14107"/>
    <cellStyle name="Comma 2 4 5 2 3 3" xfId="14108"/>
    <cellStyle name="Comma 2 4 5 2 3 4" xfId="14109"/>
    <cellStyle name="Comma 2 4 5 2 3 5" xfId="14110"/>
    <cellStyle name="Comma 2 4 5 2 4" xfId="14111"/>
    <cellStyle name="Comma 2 4 5 2 4 2" xfId="14112"/>
    <cellStyle name="Comma 2 4 5 2 4 3" xfId="14113"/>
    <cellStyle name="Comma 2 4 5 2 4 4" xfId="14114"/>
    <cellStyle name="Comma 2 4 5 2 5" xfId="14115"/>
    <cellStyle name="Comma 2 4 5 2 5 2" xfId="14116"/>
    <cellStyle name="Comma 2 4 5 2 6" xfId="14117"/>
    <cellStyle name="Comma 2 4 5 2 7" xfId="14118"/>
    <cellStyle name="Comma 2 4 5 2 8" xfId="14119"/>
    <cellStyle name="Comma 2 4 5 2 9" xfId="14120"/>
    <cellStyle name="Comma 2 4 5 3" xfId="14121"/>
    <cellStyle name="Comma 2 4 5 3 2" xfId="14122"/>
    <cellStyle name="Comma 2 4 5 3 2 2" xfId="14123"/>
    <cellStyle name="Comma 2 4 5 3 2 2 2" xfId="14124"/>
    <cellStyle name="Comma 2 4 5 3 2 2 3" xfId="14125"/>
    <cellStyle name="Comma 2 4 5 3 2 3" xfId="14126"/>
    <cellStyle name="Comma 2 4 5 3 2 4" xfId="14127"/>
    <cellStyle name="Comma 2 4 5 3 2 5" xfId="14128"/>
    <cellStyle name="Comma 2 4 5 3 2 6" xfId="14129"/>
    <cellStyle name="Comma 2 4 5 3 3" xfId="14130"/>
    <cellStyle name="Comma 2 4 5 3 3 2" xfId="14131"/>
    <cellStyle name="Comma 2 4 5 3 3 2 2" xfId="14132"/>
    <cellStyle name="Comma 2 4 5 3 3 3" xfId="14133"/>
    <cellStyle name="Comma 2 4 5 3 3 4" xfId="14134"/>
    <cellStyle name="Comma 2 4 5 3 3 5" xfId="14135"/>
    <cellStyle name="Comma 2 4 5 3 4" xfId="14136"/>
    <cellStyle name="Comma 2 4 5 3 4 2" xfId="14137"/>
    <cellStyle name="Comma 2 4 5 3 4 3" xfId="14138"/>
    <cellStyle name="Comma 2 4 5 3 4 4" xfId="14139"/>
    <cellStyle name="Comma 2 4 5 3 5" xfId="14140"/>
    <cellStyle name="Comma 2 4 5 3 5 2" xfId="14141"/>
    <cellStyle name="Comma 2 4 5 3 6" xfId="14142"/>
    <cellStyle name="Comma 2 4 5 3 7" xfId="14143"/>
    <cellStyle name="Comma 2 4 5 3 8" xfId="14144"/>
    <cellStyle name="Comma 2 4 5 3 9" xfId="14145"/>
    <cellStyle name="Comma 2 4 5 4" xfId="14146"/>
    <cellStyle name="Comma 2 4 5 4 2" xfId="14147"/>
    <cellStyle name="Comma 2 4 5 4 2 2" xfId="14148"/>
    <cellStyle name="Comma 2 4 5 4 2 3" xfId="14149"/>
    <cellStyle name="Comma 2 4 5 4 3" xfId="14150"/>
    <cellStyle name="Comma 2 4 5 4 4" xfId="14151"/>
    <cellStyle name="Comma 2 4 5 4 5" xfId="14152"/>
    <cellStyle name="Comma 2 4 5 4 6" xfId="14153"/>
    <cellStyle name="Comma 2 4 5 5" xfId="14154"/>
    <cellStyle name="Comma 2 4 5 5 2" xfId="14155"/>
    <cellStyle name="Comma 2 4 5 5 2 2" xfId="14156"/>
    <cellStyle name="Comma 2 4 5 5 3" xfId="14157"/>
    <cellStyle name="Comma 2 4 5 5 4" xfId="14158"/>
    <cellStyle name="Comma 2 4 5 5 5" xfId="14159"/>
    <cellStyle name="Comma 2 4 5 6" xfId="14160"/>
    <cellStyle name="Comma 2 4 5 6 2" xfId="14161"/>
    <cellStyle name="Comma 2 4 5 6 3" xfId="14162"/>
    <cellStyle name="Comma 2 4 5 6 4" xfId="14163"/>
    <cellStyle name="Comma 2 4 5 7" xfId="14164"/>
    <cellStyle name="Comma 2 4 5 7 2" xfId="14165"/>
    <cellStyle name="Comma 2 4 5 8" xfId="14166"/>
    <cellStyle name="Comma 2 4 5 9" xfId="14167"/>
    <cellStyle name="Comma 2 4 6" xfId="14168"/>
    <cellStyle name="Comma 2 4 6 10" xfId="14169"/>
    <cellStyle name="Comma 2 4 6 11" xfId="14170"/>
    <cellStyle name="Comma 2 4 6 2" xfId="14171"/>
    <cellStyle name="Comma 2 4 6 2 2" xfId="14172"/>
    <cellStyle name="Comma 2 4 6 2 2 2" xfId="14173"/>
    <cellStyle name="Comma 2 4 6 2 2 2 2" xfId="14174"/>
    <cellStyle name="Comma 2 4 6 2 2 2 3" xfId="14175"/>
    <cellStyle name="Comma 2 4 6 2 2 3" xfId="14176"/>
    <cellStyle name="Comma 2 4 6 2 2 4" xfId="14177"/>
    <cellStyle name="Comma 2 4 6 2 2 5" xfId="14178"/>
    <cellStyle name="Comma 2 4 6 2 2 6" xfId="14179"/>
    <cellStyle name="Comma 2 4 6 2 3" xfId="14180"/>
    <cellStyle name="Comma 2 4 6 2 3 2" xfId="14181"/>
    <cellStyle name="Comma 2 4 6 2 3 2 2" xfId="14182"/>
    <cellStyle name="Comma 2 4 6 2 3 3" xfId="14183"/>
    <cellStyle name="Comma 2 4 6 2 3 4" xfId="14184"/>
    <cellStyle name="Comma 2 4 6 2 3 5" xfId="14185"/>
    <cellStyle name="Comma 2 4 6 2 4" xfId="14186"/>
    <cellStyle name="Comma 2 4 6 2 4 2" xfId="14187"/>
    <cellStyle name="Comma 2 4 6 2 4 3" xfId="14188"/>
    <cellStyle name="Comma 2 4 6 2 4 4" xfId="14189"/>
    <cellStyle name="Comma 2 4 6 2 5" xfId="14190"/>
    <cellStyle name="Comma 2 4 6 2 5 2" xfId="14191"/>
    <cellStyle name="Comma 2 4 6 2 6" xfId="14192"/>
    <cellStyle name="Comma 2 4 6 2 7" xfId="14193"/>
    <cellStyle name="Comma 2 4 6 2 8" xfId="14194"/>
    <cellStyle name="Comma 2 4 6 2 9" xfId="14195"/>
    <cellStyle name="Comma 2 4 6 3" xfId="14196"/>
    <cellStyle name="Comma 2 4 6 3 2" xfId="14197"/>
    <cellStyle name="Comma 2 4 6 3 2 2" xfId="14198"/>
    <cellStyle name="Comma 2 4 6 3 2 2 2" xfId="14199"/>
    <cellStyle name="Comma 2 4 6 3 2 2 3" xfId="14200"/>
    <cellStyle name="Comma 2 4 6 3 2 3" xfId="14201"/>
    <cellStyle name="Comma 2 4 6 3 2 4" xfId="14202"/>
    <cellStyle name="Comma 2 4 6 3 2 5" xfId="14203"/>
    <cellStyle name="Comma 2 4 6 3 2 6" xfId="14204"/>
    <cellStyle name="Comma 2 4 6 3 3" xfId="14205"/>
    <cellStyle name="Comma 2 4 6 3 3 2" xfId="14206"/>
    <cellStyle name="Comma 2 4 6 3 3 2 2" xfId="14207"/>
    <cellStyle name="Comma 2 4 6 3 3 3" xfId="14208"/>
    <cellStyle name="Comma 2 4 6 3 3 4" xfId="14209"/>
    <cellStyle name="Comma 2 4 6 3 3 5" xfId="14210"/>
    <cellStyle name="Comma 2 4 6 3 4" xfId="14211"/>
    <cellStyle name="Comma 2 4 6 3 4 2" xfId="14212"/>
    <cellStyle name="Comma 2 4 6 3 4 3" xfId="14213"/>
    <cellStyle name="Comma 2 4 6 3 4 4" xfId="14214"/>
    <cellStyle name="Comma 2 4 6 3 5" xfId="14215"/>
    <cellStyle name="Comma 2 4 6 3 5 2" xfId="14216"/>
    <cellStyle name="Comma 2 4 6 3 6" xfId="14217"/>
    <cellStyle name="Comma 2 4 6 3 7" xfId="14218"/>
    <cellStyle name="Comma 2 4 6 3 8" xfId="14219"/>
    <cellStyle name="Comma 2 4 6 3 9" xfId="14220"/>
    <cellStyle name="Comma 2 4 6 4" xfId="14221"/>
    <cellStyle name="Comma 2 4 6 4 2" xfId="14222"/>
    <cellStyle name="Comma 2 4 6 4 2 2" xfId="14223"/>
    <cellStyle name="Comma 2 4 6 4 2 3" xfId="14224"/>
    <cellStyle name="Comma 2 4 6 4 3" xfId="14225"/>
    <cellStyle name="Comma 2 4 6 4 4" xfId="14226"/>
    <cellStyle name="Comma 2 4 6 4 5" xfId="14227"/>
    <cellStyle name="Comma 2 4 6 4 6" xfId="14228"/>
    <cellStyle name="Comma 2 4 6 5" xfId="14229"/>
    <cellStyle name="Comma 2 4 6 5 2" xfId="14230"/>
    <cellStyle name="Comma 2 4 6 5 2 2" xfId="14231"/>
    <cellStyle name="Comma 2 4 6 5 3" xfId="14232"/>
    <cellStyle name="Comma 2 4 6 5 4" xfId="14233"/>
    <cellStyle name="Comma 2 4 6 5 5" xfId="14234"/>
    <cellStyle name="Comma 2 4 6 6" xfId="14235"/>
    <cellStyle name="Comma 2 4 6 6 2" xfId="14236"/>
    <cellStyle name="Comma 2 4 6 6 3" xfId="14237"/>
    <cellStyle name="Comma 2 4 6 6 4" xfId="14238"/>
    <cellStyle name="Comma 2 4 6 7" xfId="14239"/>
    <cellStyle name="Comma 2 4 6 7 2" xfId="14240"/>
    <cellStyle name="Comma 2 4 6 8" xfId="14241"/>
    <cellStyle name="Comma 2 4 6 9" xfId="14242"/>
    <cellStyle name="Comma 2 4 7" xfId="14243"/>
    <cellStyle name="Comma 2 4 7 10" xfId="14244"/>
    <cellStyle name="Comma 2 4 7 11" xfId="14245"/>
    <cellStyle name="Comma 2 4 7 2" xfId="14246"/>
    <cellStyle name="Comma 2 4 7 2 2" xfId="14247"/>
    <cellStyle name="Comma 2 4 7 2 2 2" xfId="14248"/>
    <cellStyle name="Comma 2 4 7 2 2 2 2" xfId="14249"/>
    <cellStyle name="Comma 2 4 7 2 2 2 3" xfId="14250"/>
    <cellStyle name="Comma 2 4 7 2 2 3" xfId="14251"/>
    <cellStyle name="Comma 2 4 7 2 2 4" xfId="14252"/>
    <cellStyle name="Comma 2 4 7 2 2 5" xfId="14253"/>
    <cellStyle name="Comma 2 4 7 2 2 6" xfId="14254"/>
    <cellStyle name="Comma 2 4 7 2 3" xfId="14255"/>
    <cellStyle name="Comma 2 4 7 2 3 2" xfId="14256"/>
    <cellStyle name="Comma 2 4 7 2 3 2 2" xfId="14257"/>
    <cellStyle name="Comma 2 4 7 2 3 3" xfId="14258"/>
    <cellStyle name="Comma 2 4 7 2 3 4" xfId="14259"/>
    <cellStyle name="Comma 2 4 7 2 3 5" xfId="14260"/>
    <cellStyle name="Comma 2 4 7 2 4" xfId="14261"/>
    <cellStyle name="Comma 2 4 7 2 4 2" xfId="14262"/>
    <cellStyle name="Comma 2 4 7 2 4 3" xfId="14263"/>
    <cellStyle name="Comma 2 4 7 2 4 4" xfId="14264"/>
    <cellStyle name="Comma 2 4 7 2 5" xfId="14265"/>
    <cellStyle name="Comma 2 4 7 2 5 2" xfId="14266"/>
    <cellStyle name="Comma 2 4 7 2 6" xfId="14267"/>
    <cellStyle name="Comma 2 4 7 2 7" xfId="14268"/>
    <cellStyle name="Comma 2 4 7 2 8" xfId="14269"/>
    <cellStyle name="Comma 2 4 7 2 9" xfId="14270"/>
    <cellStyle name="Comma 2 4 7 3" xfId="14271"/>
    <cellStyle name="Comma 2 4 7 3 2" xfId="14272"/>
    <cellStyle name="Comma 2 4 7 3 2 2" xfId="14273"/>
    <cellStyle name="Comma 2 4 7 3 2 2 2" xfId="14274"/>
    <cellStyle name="Comma 2 4 7 3 2 2 3" xfId="14275"/>
    <cellStyle name="Comma 2 4 7 3 2 3" xfId="14276"/>
    <cellStyle name="Comma 2 4 7 3 2 4" xfId="14277"/>
    <cellStyle name="Comma 2 4 7 3 2 5" xfId="14278"/>
    <cellStyle name="Comma 2 4 7 3 2 6" xfId="14279"/>
    <cellStyle name="Comma 2 4 7 3 3" xfId="14280"/>
    <cellStyle name="Comma 2 4 7 3 3 2" xfId="14281"/>
    <cellStyle name="Comma 2 4 7 3 3 2 2" xfId="14282"/>
    <cellStyle name="Comma 2 4 7 3 3 3" xfId="14283"/>
    <cellStyle name="Comma 2 4 7 3 3 4" xfId="14284"/>
    <cellStyle name="Comma 2 4 7 3 3 5" xfId="14285"/>
    <cellStyle name="Comma 2 4 7 3 4" xfId="14286"/>
    <cellStyle name="Comma 2 4 7 3 4 2" xfId="14287"/>
    <cellStyle name="Comma 2 4 7 3 4 3" xfId="14288"/>
    <cellStyle name="Comma 2 4 7 3 4 4" xfId="14289"/>
    <cellStyle name="Comma 2 4 7 3 5" xfId="14290"/>
    <cellStyle name="Comma 2 4 7 3 5 2" xfId="14291"/>
    <cellStyle name="Comma 2 4 7 3 6" xfId="14292"/>
    <cellStyle name="Comma 2 4 7 3 7" xfId="14293"/>
    <cellStyle name="Comma 2 4 7 3 8" xfId="14294"/>
    <cellStyle name="Comma 2 4 7 3 9" xfId="14295"/>
    <cellStyle name="Comma 2 4 7 4" xfId="14296"/>
    <cellStyle name="Comma 2 4 7 4 2" xfId="14297"/>
    <cellStyle name="Comma 2 4 7 4 2 2" xfId="14298"/>
    <cellStyle name="Comma 2 4 7 4 2 3" xfId="14299"/>
    <cellStyle name="Comma 2 4 7 4 3" xfId="14300"/>
    <cellStyle name="Comma 2 4 7 4 4" xfId="14301"/>
    <cellStyle name="Comma 2 4 7 4 5" xfId="14302"/>
    <cellStyle name="Comma 2 4 7 4 6" xfId="14303"/>
    <cellStyle name="Comma 2 4 7 5" xfId="14304"/>
    <cellStyle name="Comma 2 4 7 5 2" xfId="14305"/>
    <cellStyle name="Comma 2 4 7 5 2 2" xfId="14306"/>
    <cellStyle name="Comma 2 4 7 5 3" xfId="14307"/>
    <cellStyle name="Comma 2 4 7 5 4" xfId="14308"/>
    <cellStyle name="Comma 2 4 7 5 5" xfId="14309"/>
    <cellStyle name="Comma 2 4 7 6" xfId="14310"/>
    <cellStyle name="Comma 2 4 7 6 2" xfId="14311"/>
    <cellStyle name="Comma 2 4 7 6 3" xfId="14312"/>
    <cellStyle name="Comma 2 4 7 6 4" xfId="14313"/>
    <cellStyle name="Comma 2 4 7 7" xfId="14314"/>
    <cellStyle name="Comma 2 4 7 7 2" xfId="14315"/>
    <cellStyle name="Comma 2 4 7 8" xfId="14316"/>
    <cellStyle name="Comma 2 4 7 9" xfId="14317"/>
    <cellStyle name="Comma 2 4 8" xfId="14318"/>
    <cellStyle name="Comma 2 4 8 10" xfId="14319"/>
    <cellStyle name="Comma 2 4 8 11" xfId="14320"/>
    <cellStyle name="Comma 2 4 8 2" xfId="14321"/>
    <cellStyle name="Comma 2 4 8 2 2" xfId="14322"/>
    <cellStyle name="Comma 2 4 8 2 2 2" xfId="14323"/>
    <cellStyle name="Comma 2 4 8 2 2 2 2" xfId="14324"/>
    <cellStyle name="Comma 2 4 8 2 2 2 3" xfId="14325"/>
    <cellStyle name="Comma 2 4 8 2 2 3" xfId="14326"/>
    <cellStyle name="Comma 2 4 8 2 2 4" xfId="14327"/>
    <cellStyle name="Comma 2 4 8 2 2 5" xfId="14328"/>
    <cellStyle name="Comma 2 4 8 2 2 6" xfId="14329"/>
    <cellStyle name="Comma 2 4 8 2 3" xfId="14330"/>
    <cellStyle name="Comma 2 4 8 2 3 2" xfId="14331"/>
    <cellStyle name="Comma 2 4 8 2 3 2 2" xfId="14332"/>
    <cellStyle name="Comma 2 4 8 2 3 3" xfId="14333"/>
    <cellStyle name="Comma 2 4 8 2 3 4" xfId="14334"/>
    <cellStyle name="Comma 2 4 8 2 3 5" xfId="14335"/>
    <cellStyle name="Comma 2 4 8 2 4" xfId="14336"/>
    <cellStyle name="Comma 2 4 8 2 4 2" xfId="14337"/>
    <cellStyle name="Comma 2 4 8 2 4 3" xfId="14338"/>
    <cellStyle name="Comma 2 4 8 2 4 4" xfId="14339"/>
    <cellStyle name="Comma 2 4 8 2 5" xfId="14340"/>
    <cellStyle name="Comma 2 4 8 2 5 2" xfId="14341"/>
    <cellStyle name="Comma 2 4 8 2 6" xfId="14342"/>
    <cellStyle name="Comma 2 4 8 2 7" xfId="14343"/>
    <cellStyle name="Comma 2 4 8 2 8" xfId="14344"/>
    <cellStyle name="Comma 2 4 8 2 9" xfId="14345"/>
    <cellStyle name="Comma 2 4 8 3" xfId="14346"/>
    <cellStyle name="Comma 2 4 8 3 2" xfId="14347"/>
    <cellStyle name="Comma 2 4 8 3 2 2" xfId="14348"/>
    <cellStyle name="Comma 2 4 8 3 2 2 2" xfId="14349"/>
    <cellStyle name="Comma 2 4 8 3 2 2 3" xfId="14350"/>
    <cellStyle name="Comma 2 4 8 3 2 3" xfId="14351"/>
    <cellStyle name="Comma 2 4 8 3 2 4" xfId="14352"/>
    <cellStyle name="Comma 2 4 8 3 2 5" xfId="14353"/>
    <cellStyle name="Comma 2 4 8 3 2 6" xfId="14354"/>
    <cellStyle name="Comma 2 4 8 3 3" xfId="14355"/>
    <cellStyle name="Comma 2 4 8 3 3 2" xfId="14356"/>
    <cellStyle name="Comma 2 4 8 3 3 2 2" xfId="14357"/>
    <cellStyle name="Comma 2 4 8 3 3 3" xfId="14358"/>
    <cellStyle name="Comma 2 4 8 3 3 4" xfId="14359"/>
    <cellStyle name="Comma 2 4 8 3 3 5" xfId="14360"/>
    <cellStyle name="Comma 2 4 8 3 4" xfId="14361"/>
    <cellStyle name="Comma 2 4 8 3 4 2" xfId="14362"/>
    <cellStyle name="Comma 2 4 8 3 4 3" xfId="14363"/>
    <cellStyle name="Comma 2 4 8 3 4 4" xfId="14364"/>
    <cellStyle name="Comma 2 4 8 3 5" xfId="14365"/>
    <cellStyle name="Comma 2 4 8 3 5 2" xfId="14366"/>
    <cellStyle name="Comma 2 4 8 3 6" xfId="14367"/>
    <cellStyle name="Comma 2 4 8 3 7" xfId="14368"/>
    <cellStyle name="Comma 2 4 8 3 8" xfId="14369"/>
    <cellStyle name="Comma 2 4 8 3 9" xfId="14370"/>
    <cellStyle name="Comma 2 4 8 4" xfId="14371"/>
    <cellStyle name="Comma 2 4 8 4 2" xfId="14372"/>
    <cellStyle name="Comma 2 4 8 4 2 2" xfId="14373"/>
    <cellStyle name="Comma 2 4 8 4 2 3" xfId="14374"/>
    <cellStyle name="Comma 2 4 8 4 3" xfId="14375"/>
    <cellStyle name="Comma 2 4 8 4 4" xfId="14376"/>
    <cellStyle name="Comma 2 4 8 4 5" xfId="14377"/>
    <cellStyle name="Comma 2 4 8 4 6" xfId="14378"/>
    <cellStyle name="Comma 2 4 8 5" xfId="14379"/>
    <cellStyle name="Comma 2 4 8 5 2" xfId="14380"/>
    <cellStyle name="Comma 2 4 8 5 2 2" xfId="14381"/>
    <cellStyle name="Comma 2 4 8 5 3" xfId="14382"/>
    <cellStyle name="Comma 2 4 8 5 4" xfId="14383"/>
    <cellStyle name="Comma 2 4 8 5 5" xfId="14384"/>
    <cellStyle name="Comma 2 4 8 6" xfId="14385"/>
    <cellStyle name="Comma 2 4 8 6 2" xfId="14386"/>
    <cellStyle name="Comma 2 4 8 6 3" xfId="14387"/>
    <cellStyle name="Comma 2 4 8 6 4" xfId="14388"/>
    <cellStyle name="Comma 2 4 8 7" xfId="14389"/>
    <cellStyle name="Comma 2 4 8 7 2" xfId="14390"/>
    <cellStyle name="Comma 2 4 8 8" xfId="14391"/>
    <cellStyle name="Comma 2 4 8 9" xfId="14392"/>
    <cellStyle name="Comma 2 4 9" xfId="14393"/>
    <cellStyle name="Comma 2 4 9 10" xfId="14394"/>
    <cellStyle name="Comma 2 4 9 11" xfId="14395"/>
    <cellStyle name="Comma 2 4 9 2" xfId="14396"/>
    <cellStyle name="Comma 2 4 9 2 2" xfId="14397"/>
    <cellStyle name="Comma 2 4 9 2 2 2" xfId="14398"/>
    <cellStyle name="Comma 2 4 9 2 2 2 2" xfId="14399"/>
    <cellStyle name="Comma 2 4 9 2 2 2 3" xfId="14400"/>
    <cellStyle name="Comma 2 4 9 2 2 3" xfId="14401"/>
    <cellStyle name="Comma 2 4 9 2 2 4" xfId="14402"/>
    <cellStyle name="Comma 2 4 9 2 2 5" xfId="14403"/>
    <cellStyle name="Comma 2 4 9 2 2 6" xfId="14404"/>
    <cellStyle name="Comma 2 4 9 2 3" xfId="14405"/>
    <cellStyle name="Comma 2 4 9 2 3 2" xfId="14406"/>
    <cellStyle name="Comma 2 4 9 2 3 2 2" xfId="14407"/>
    <cellStyle name="Comma 2 4 9 2 3 3" xfId="14408"/>
    <cellStyle name="Comma 2 4 9 2 3 4" xfId="14409"/>
    <cellStyle name="Comma 2 4 9 2 3 5" xfId="14410"/>
    <cellStyle name="Comma 2 4 9 2 4" xfId="14411"/>
    <cellStyle name="Comma 2 4 9 2 4 2" xfId="14412"/>
    <cellStyle name="Comma 2 4 9 2 4 3" xfId="14413"/>
    <cellStyle name="Comma 2 4 9 2 4 4" xfId="14414"/>
    <cellStyle name="Comma 2 4 9 2 5" xfId="14415"/>
    <cellStyle name="Comma 2 4 9 2 5 2" xfId="14416"/>
    <cellStyle name="Comma 2 4 9 2 6" xfId="14417"/>
    <cellStyle name="Comma 2 4 9 2 7" xfId="14418"/>
    <cellStyle name="Comma 2 4 9 2 8" xfId="14419"/>
    <cellStyle name="Comma 2 4 9 2 9" xfId="14420"/>
    <cellStyle name="Comma 2 4 9 3" xfId="14421"/>
    <cellStyle name="Comma 2 4 9 3 2" xfId="14422"/>
    <cellStyle name="Comma 2 4 9 3 2 2" xfId="14423"/>
    <cellStyle name="Comma 2 4 9 3 2 2 2" xfId="14424"/>
    <cellStyle name="Comma 2 4 9 3 2 2 3" xfId="14425"/>
    <cellStyle name="Comma 2 4 9 3 2 3" xfId="14426"/>
    <cellStyle name="Comma 2 4 9 3 2 4" xfId="14427"/>
    <cellStyle name="Comma 2 4 9 3 2 5" xfId="14428"/>
    <cellStyle name="Comma 2 4 9 3 2 6" xfId="14429"/>
    <cellStyle name="Comma 2 4 9 3 3" xfId="14430"/>
    <cellStyle name="Comma 2 4 9 3 3 2" xfId="14431"/>
    <cellStyle name="Comma 2 4 9 3 3 2 2" xfId="14432"/>
    <cellStyle name="Comma 2 4 9 3 3 3" xfId="14433"/>
    <cellStyle name="Comma 2 4 9 3 3 4" xfId="14434"/>
    <cellStyle name="Comma 2 4 9 3 3 5" xfId="14435"/>
    <cellStyle name="Comma 2 4 9 3 4" xfId="14436"/>
    <cellStyle name="Comma 2 4 9 3 4 2" xfId="14437"/>
    <cellStyle name="Comma 2 4 9 3 4 3" xfId="14438"/>
    <cellStyle name="Comma 2 4 9 3 4 4" xfId="14439"/>
    <cellStyle name="Comma 2 4 9 3 5" xfId="14440"/>
    <cellStyle name="Comma 2 4 9 3 5 2" xfId="14441"/>
    <cellStyle name="Comma 2 4 9 3 6" xfId="14442"/>
    <cellStyle name="Comma 2 4 9 3 7" xfId="14443"/>
    <cellStyle name="Comma 2 4 9 3 8" xfId="14444"/>
    <cellStyle name="Comma 2 4 9 3 9" xfId="14445"/>
    <cellStyle name="Comma 2 4 9 4" xfId="14446"/>
    <cellStyle name="Comma 2 4 9 4 2" xfId="14447"/>
    <cellStyle name="Comma 2 4 9 4 2 2" xfId="14448"/>
    <cellStyle name="Comma 2 4 9 4 2 3" xfId="14449"/>
    <cellStyle name="Comma 2 4 9 4 3" xfId="14450"/>
    <cellStyle name="Comma 2 4 9 4 4" xfId="14451"/>
    <cellStyle name="Comma 2 4 9 4 5" xfId="14452"/>
    <cellStyle name="Comma 2 4 9 4 6" xfId="14453"/>
    <cellStyle name="Comma 2 4 9 5" xfId="14454"/>
    <cellStyle name="Comma 2 4 9 5 2" xfId="14455"/>
    <cellStyle name="Comma 2 4 9 5 2 2" xfId="14456"/>
    <cellStyle name="Comma 2 4 9 5 3" xfId="14457"/>
    <cellStyle name="Comma 2 4 9 5 4" xfId="14458"/>
    <cellStyle name="Comma 2 4 9 5 5" xfId="14459"/>
    <cellStyle name="Comma 2 4 9 6" xfId="14460"/>
    <cellStyle name="Comma 2 4 9 6 2" xfId="14461"/>
    <cellStyle name="Comma 2 4 9 6 3" xfId="14462"/>
    <cellStyle name="Comma 2 4 9 6 4" xfId="14463"/>
    <cellStyle name="Comma 2 4 9 7" xfId="14464"/>
    <cellStyle name="Comma 2 4 9 7 2" xfId="14465"/>
    <cellStyle name="Comma 2 4 9 8" xfId="14466"/>
    <cellStyle name="Comma 2 4 9 9" xfId="14467"/>
    <cellStyle name="Comma 2 40" xfId="14468"/>
    <cellStyle name="Comma 2 40 10" xfId="14469"/>
    <cellStyle name="Comma 2 40 2" xfId="14470"/>
    <cellStyle name="Comma 2 40 2 2" xfId="14471"/>
    <cellStyle name="Comma 2 40 2 2 2" xfId="14472"/>
    <cellStyle name="Comma 2 40 2 3" xfId="14473"/>
    <cellStyle name="Comma 2 40 2 4" xfId="14474"/>
    <cellStyle name="Comma 2 40 3" xfId="14475"/>
    <cellStyle name="Comma 2 40 3 2" xfId="14476"/>
    <cellStyle name="Comma 2 40 4" xfId="14477"/>
    <cellStyle name="Comma 2 40 4 2" xfId="14478"/>
    <cellStyle name="Comma 2 40 5" xfId="14479"/>
    <cellStyle name="Comma 2 40 6" xfId="14480"/>
    <cellStyle name="Comma 2 40 7" xfId="14481"/>
    <cellStyle name="Comma 2 40 8" xfId="14482"/>
    <cellStyle name="Comma 2 40 9" xfId="14483"/>
    <cellStyle name="Comma 2 41" xfId="14484"/>
    <cellStyle name="Comma 2 41 2" xfId="14485"/>
    <cellStyle name="Comma 2 41 2 2" xfId="14486"/>
    <cellStyle name="Comma 2 41 2 3" xfId="14487"/>
    <cellStyle name="Comma 2 41 3" xfId="14488"/>
    <cellStyle name="Comma 2 41 3 2" xfId="14489"/>
    <cellStyle name="Comma 2 41 4" xfId="14490"/>
    <cellStyle name="Comma 2 41 5" xfId="14491"/>
    <cellStyle name="Comma 2 41 6" xfId="14492"/>
    <cellStyle name="Comma 2 41 7" xfId="14493"/>
    <cellStyle name="Comma 2 41 8" xfId="14494"/>
    <cellStyle name="Comma 2 41 9" xfId="14495"/>
    <cellStyle name="Comma 2 42" xfId="14496"/>
    <cellStyle name="Comma 2 42 2" xfId="14497"/>
    <cellStyle name="Comma 2 42 2 2" xfId="14498"/>
    <cellStyle name="Comma 2 42 3" xfId="14499"/>
    <cellStyle name="Comma 2 42 3 2" xfId="14500"/>
    <cellStyle name="Comma 2 42 4" xfId="14501"/>
    <cellStyle name="Comma 2 42 5" xfId="14502"/>
    <cellStyle name="Comma 2 42 6" xfId="14503"/>
    <cellStyle name="Comma 2 42 7" xfId="14504"/>
    <cellStyle name="Comma 2 42 8" xfId="14505"/>
    <cellStyle name="Comma 2 42 9" xfId="14506"/>
    <cellStyle name="Comma 2 43" xfId="14507"/>
    <cellStyle name="Comma 2 43 2" xfId="14508"/>
    <cellStyle name="Comma 2 43 2 2" xfId="14509"/>
    <cellStyle name="Comma 2 43 3" xfId="14510"/>
    <cellStyle name="Comma 2 43 3 2" xfId="14511"/>
    <cellStyle name="Comma 2 43 4" xfId="14512"/>
    <cellStyle name="Comma 2 43 5" xfId="14513"/>
    <cellStyle name="Comma 2 43 6" xfId="14514"/>
    <cellStyle name="Comma 2 43 7" xfId="14515"/>
    <cellStyle name="Comma 2 43 8" xfId="14516"/>
    <cellStyle name="Comma 2 44" xfId="14517"/>
    <cellStyle name="Comma 2 44 2" xfId="14518"/>
    <cellStyle name="Comma 2 44 2 2" xfId="14519"/>
    <cellStyle name="Comma 2 44 3" xfId="14520"/>
    <cellStyle name="Comma 2 44 4" xfId="14521"/>
    <cellStyle name="Comma 2 44 5" xfId="14522"/>
    <cellStyle name="Comma 2 44 6" xfId="14523"/>
    <cellStyle name="Comma 2 44 7" xfId="14524"/>
    <cellStyle name="Comma 2 45" xfId="14525"/>
    <cellStyle name="Comma 2 45 2" xfId="14526"/>
    <cellStyle name="Comma 2 45 2 2" xfId="14527"/>
    <cellStyle name="Comma 2 45 3" xfId="14528"/>
    <cellStyle name="Comma 2 45 4" xfId="14529"/>
    <cellStyle name="Comma 2 45 5" xfId="14530"/>
    <cellStyle name="Comma 2 45 6" xfId="14531"/>
    <cellStyle name="Comma 2 45 7" xfId="14532"/>
    <cellStyle name="Comma 2 46" xfId="14533"/>
    <cellStyle name="Comma 2 46 2" xfId="14534"/>
    <cellStyle name="Comma 2 46 2 2" xfId="14535"/>
    <cellStyle name="Comma 2 46 3" xfId="14536"/>
    <cellStyle name="Comma 2 46 4" xfId="14537"/>
    <cellStyle name="Comma 2 46 5" xfId="14538"/>
    <cellStyle name="Comma 2 46 6" xfId="14539"/>
    <cellStyle name="Comma 2 46 7" xfId="14540"/>
    <cellStyle name="Comma 2 47" xfId="14541"/>
    <cellStyle name="Comma 2 47 2" xfId="14542"/>
    <cellStyle name="Comma 2 47 2 2" xfId="14543"/>
    <cellStyle name="Comma 2 47 3" xfId="14544"/>
    <cellStyle name="Comma 2 47 4" xfId="14545"/>
    <cellStyle name="Comma 2 47 5" xfId="14546"/>
    <cellStyle name="Comma 2 47 6" xfId="14547"/>
    <cellStyle name="Comma 2 47 7" xfId="14548"/>
    <cellStyle name="Comma 2 48" xfId="14549"/>
    <cellStyle name="Comma 2 48 2" xfId="14550"/>
    <cellStyle name="Comma 2 48 2 2" xfId="14551"/>
    <cellStyle name="Comma 2 48 3" xfId="14552"/>
    <cellStyle name="Comma 2 48 4" xfId="14553"/>
    <cellStyle name="Comma 2 48 5" xfId="14554"/>
    <cellStyle name="Comma 2 48 6" xfId="14555"/>
    <cellStyle name="Comma 2 48 7" xfId="14556"/>
    <cellStyle name="Comma 2 49" xfId="14557"/>
    <cellStyle name="Comma 2 49 2" xfId="14558"/>
    <cellStyle name="Comma 2 49 2 2" xfId="14559"/>
    <cellStyle name="Comma 2 49 3" xfId="14560"/>
    <cellStyle name="Comma 2 49 4" xfId="14561"/>
    <cellStyle name="Comma 2 49 5" xfId="14562"/>
    <cellStyle name="Comma 2 49 6" xfId="14563"/>
    <cellStyle name="Comma 2 49 7" xfId="14564"/>
    <cellStyle name="Comma 2 5" xfId="14565"/>
    <cellStyle name="Comma 2 5 10" xfId="14566"/>
    <cellStyle name="Comma 2 5 10 10" xfId="14567"/>
    <cellStyle name="Comma 2 5 10 2" xfId="14568"/>
    <cellStyle name="Comma 2 5 10 2 2" xfId="14569"/>
    <cellStyle name="Comma 2 5 10 2 2 2" xfId="14570"/>
    <cellStyle name="Comma 2 5 10 2 2 3" xfId="14571"/>
    <cellStyle name="Comma 2 5 10 2 3" xfId="14572"/>
    <cellStyle name="Comma 2 5 10 2 4" xfId="14573"/>
    <cellStyle name="Comma 2 5 10 2 5" xfId="14574"/>
    <cellStyle name="Comma 2 5 10 2 6" xfId="14575"/>
    <cellStyle name="Comma 2 5 10 3" xfId="14576"/>
    <cellStyle name="Comma 2 5 10 3 2" xfId="14577"/>
    <cellStyle name="Comma 2 5 10 3 2 2" xfId="14578"/>
    <cellStyle name="Comma 2 5 10 3 2 3" xfId="14579"/>
    <cellStyle name="Comma 2 5 10 3 3" xfId="14580"/>
    <cellStyle name="Comma 2 5 10 3 4" xfId="14581"/>
    <cellStyle name="Comma 2 5 10 3 5" xfId="14582"/>
    <cellStyle name="Comma 2 5 10 3 6" xfId="14583"/>
    <cellStyle name="Comma 2 5 10 4" xfId="14584"/>
    <cellStyle name="Comma 2 5 10 4 2" xfId="14585"/>
    <cellStyle name="Comma 2 5 10 4 2 2" xfId="14586"/>
    <cellStyle name="Comma 2 5 10 4 3" xfId="14587"/>
    <cellStyle name="Comma 2 5 10 4 4" xfId="14588"/>
    <cellStyle name="Comma 2 5 10 4 5" xfId="14589"/>
    <cellStyle name="Comma 2 5 10 5" xfId="14590"/>
    <cellStyle name="Comma 2 5 10 5 2" xfId="14591"/>
    <cellStyle name="Comma 2 5 10 5 3" xfId="14592"/>
    <cellStyle name="Comma 2 5 10 5 4" xfId="14593"/>
    <cellStyle name="Comma 2 5 10 6" xfId="14594"/>
    <cellStyle name="Comma 2 5 10 6 2" xfId="14595"/>
    <cellStyle name="Comma 2 5 10 7" xfId="14596"/>
    <cellStyle name="Comma 2 5 10 8" xfId="14597"/>
    <cellStyle name="Comma 2 5 10 9" xfId="14598"/>
    <cellStyle name="Comma 2 5 11" xfId="14599"/>
    <cellStyle name="Comma 2 5 11 10" xfId="14600"/>
    <cellStyle name="Comma 2 5 11 2" xfId="14601"/>
    <cellStyle name="Comma 2 5 11 2 2" xfId="14602"/>
    <cellStyle name="Comma 2 5 11 2 2 2" xfId="14603"/>
    <cellStyle name="Comma 2 5 11 2 2 3" xfId="14604"/>
    <cellStyle name="Comma 2 5 11 2 3" xfId="14605"/>
    <cellStyle name="Comma 2 5 11 2 4" xfId="14606"/>
    <cellStyle name="Comma 2 5 11 2 5" xfId="14607"/>
    <cellStyle name="Comma 2 5 11 2 6" xfId="14608"/>
    <cellStyle name="Comma 2 5 11 3" xfId="14609"/>
    <cellStyle name="Comma 2 5 11 3 2" xfId="14610"/>
    <cellStyle name="Comma 2 5 11 3 2 2" xfId="14611"/>
    <cellStyle name="Comma 2 5 11 3 2 3" xfId="14612"/>
    <cellStyle name="Comma 2 5 11 3 3" xfId="14613"/>
    <cellStyle name="Comma 2 5 11 3 4" xfId="14614"/>
    <cellStyle name="Comma 2 5 11 3 5" xfId="14615"/>
    <cellStyle name="Comma 2 5 11 3 6" xfId="14616"/>
    <cellStyle name="Comma 2 5 11 4" xfId="14617"/>
    <cellStyle name="Comma 2 5 11 4 2" xfId="14618"/>
    <cellStyle name="Comma 2 5 11 4 2 2" xfId="14619"/>
    <cellStyle name="Comma 2 5 11 4 3" xfId="14620"/>
    <cellStyle name="Comma 2 5 11 4 4" xfId="14621"/>
    <cellStyle name="Comma 2 5 11 4 5" xfId="14622"/>
    <cellStyle name="Comma 2 5 11 5" xfId="14623"/>
    <cellStyle name="Comma 2 5 11 5 2" xfId="14624"/>
    <cellStyle name="Comma 2 5 11 5 3" xfId="14625"/>
    <cellStyle name="Comma 2 5 11 5 4" xfId="14626"/>
    <cellStyle name="Comma 2 5 11 6" xfId="14627"/>
    <cellStyle name="Comma 2 5 11 6 2" xfId="14628"/>
    <cellStyle name="Comma 2 5 11 7" xfId="14629"/>
    <cellStyle name="Comma 2 5 11 8" xfId="14630"/>
    <cellStyle name="Comma 2 5 11 9" xfId="14631"/>
    <cellStyle name="Comma 2 5 12" xfId="14632"/>
    <cellStyle name="Comma 2 5 12 10" xfId="14633"/>
    <cellStyle name="Comma 2 5 12 2" xfId="14634"/>
    <cellStyle name="Comma 2 5 12 2 2" xfId="14635"/>
    <cellStyle name="Comma 2 5 12 2 2 2" xfId="14636"/>
    <cellStyle name="Comma 2 5 12 2 2 3" xfId="14637"/>
    <cellStyle name="Comma 2 5 12 2 3" xfId="14638"/>
    <cellStyle name="Comma 2 5 12 2 4" xfId="14639"/>
    <cellStyle name="Comma 2 5 12 2 5" xfId="14640"/>
    <cellStyle name="Comma 2 5 12 2 6" xfId="14641"/>
    <cellStyle name="Comma 2 5 12 3" xfId="14642"/>
    <cellStyle name="Comma 2 5 12 3 2" xfId="14643"/>
    <cellStyle name="Comma 2 5 12 3 2 2" xfId="14644"/>
    <cellStyle name="Comma 2 5 12 3 2 3" xfId="14645"/>
    <cellStyle name="Comma 2 5 12 3 3" xfId="14646"/>
    <cellStyle name="Comma 2 5 12 3 4" xfId="14647"/>
    <cellStyle name="Comma 2 5 12 3 5" xfId="14648"/>
    <cellStyle name="Comma 2 5 12 3 6" xfId="14649"/>
    <cellStyle name="Comma 2 5 12 4" xfId="14650"/>
    <cellStyle name="Comma 2 5 12 4 2" xfId="14651"/>
    <cellStyle name="Comma 2 5 12 4 2 2" xfId="14652"/>
    <cellStyle name="Comma 2 5 12 4 3" xfId="14653"/>
    <cellStyle name="Comma 2 5 12 4 4" xfId="14654"/>
    <cellStyle name="Comma 2 5 12 4 5" xfId="14655"/>
    <cellStyle name="Comma 2 5 12 5" xfId="14656"/>
    <cellStyle name="Comma 2 5 12 5 2" xfId="14657"/>
    <cellStyle name="Comma 2 5 12 5 3" xfId="14658"/>
    <cellStyle name="Comma 2 5 12 5 4" xfId="14659"/>
    <cellStyle name="Comma 2 5 12 6" xfId="14660"/>
    <cellStyle name="Comma 2 5 12 6 2" xfId="14661"/>
    <cellStyle name="Comma 2 5 12 7" xfId="14662"/>
    <cellStyle name="Comma 2 5 12 8" xfId="14663"/>
    <cellStyle name="Comma 2 5 12 9" xfId="14664"/>
    <cellStyle name="Comma 2 5 13" xfId="14665"/>
    <cellStyle name="Comma 2 5 13 2" xfId="14666"/>
    <cellStyle name="Comma 2 5 13 2 2" xfId="14667"/>
    <cellStyle name="Comma 2 5 13 2 2 2" xfId="14668"/>
    <cellStyle name="Comma 2 5 13 2 2 3" xfId="14669"/>
    <cellStyle name="Comma 2 5 13 2 3" xfId="14670"/>
    <cellStyle name="Comma 2 5 13 2 4" xfId="14671"/>
    <cellStyle name="Comma 2 5 13 2 5" xfId="14672"/>
    <cellStyle name="Comma 2 5 13 2 6" xfId="14673"/>
    <cellStyle name="Comma 2 5 13 3" xfId="14674"/>
    <cellStyle name="Comma 2 5 13 3 2" xfId="14675"/>
    <cellStyle name="Comma 2 5 13 3 2 2" xfId="14676"/>
    <cellStyle name="Comma 2 5 13 3 3" xfId="14677"/>
    <cellStyle name="Comma 2 5 13 3 4" xfId="14678"/>
    <cellStyle name="Comma 2 5 13 3 5" xfId="14679"/>
    <cellStyle name="Comma 2 5 13 4" xfId="14680"/>
    <cellStyle name="Comma 2 5 13 4 2" xfId="14681"/>
    <cellStyle name="Comma 2 5 13 4 3" xfId="14682"/>
    <cellStyle name="Comma 2 5 13 4 4" xfId="14683"/>
    <cellStyle name="Comma 2 5 13 5" xfId="14684"/>
    <cellStyle name="Comma 2 5 13 5 2" xfId="14685"/>
    <cellStyle name="Comma 2 5 13 6" xfId="14686"/>
    <cellStyle name="Comma 2 5 13 7" xfId="14687"/>
    <cellStyle name="Comma 2 5 13 8" xfId="14688"/>
    <cellStyle name="Comma 2 5 13 9" xfId="14689"/>
    <cellStyle name="Comma 2 5 14" xfId="14690"/>
    <cellStyle name="Comma 2 5 14 2" xfId="14691"/>
    <cellStyle name="Comma 2 5 14 2 2" xfId="14692"/>
    <cellStyle name="Comma 2 5 14 2 2 2" xfId="14693"/>
    <cellStyle name="Comma 2 5 14 2 2 3" xfId="14694"/>
    <cellStyle name="Comma 2 5 14 2 3" xfId="14695"/>
    <cellStyle name="Comma 2 5 14 2 4" xfId="14696"/>
    <cellStyle name="Comma 2 5 14 2 5" xfId="14697"/>
    <cellStyle name="Comma 2 5 14 2 6" xfId="14698"/>
    <cellStyle name="Comma 2 5 14 3" xfId="14699"/>
    <cellStyle name="Comma 2 5 14 3 2" xfId="14700"/>
    <cellStyle name="Comma 2 5 14 3 2 2" xfId="14701"/>
    <cellStyle name="Comma 2 5 14 3 3" xfId="14702"/>
    <cellStyle name="Comma 2 5 14 3 4" xfId="14703"/>
    <cellStyle name="Comma 2 5 14 3 5" xfId="14704"/>
    <cellStyle name="Comma 2 5 14 4" xfId="14705"/>
    <cellStyle name="Comma 2 5 14 4 2" xfId="14706"/>
    <cellStyle name="Comma 2 5 14 4 3" xfId="14707"/>
    <cellStyle name="Comma 2 5 14 4 4" xfId="14708"/>
    <cellStyle name="Comma 2 5 14 5" xfId="14709"/>
    <cellStyle name="Comma 2 5 14 5 2" xfId="14710"/>
    <cellStyle name="Comma 2 5 14 6" xfId="14711"/>
    <cellStyle name="Comma 2 5 14 7" xfId="14712"/>
    <cellStyle name="Comma 2 5 14 8" xfId="14713"/>
    <cellStyle name="Comma 2 5 14 9" xfId="14714"/>
    <cellStyle name="Comma 2 5 15" xfId="14715"/>
    <cellStyle name="Comma 2 5 15 2" xfId="14716"/>
    <cellStyle name="Comma 2 5 15 2 2" xfId="14717"/>
    <cellStyle name="Comma 2 5 15 2 3" xfId="14718"/>
    <cellStyle name="Comma 2 5 15 3" xfId="14719"/>
    <cellStyle name="Comma 2 5 15 4" xfId="14720"/>
    <cellStyle name="Comma 2 5 15 5" xfId="14721"/>
    <cellStyle name="Comma 2 5 15 6" xfId="14722"/>
    <cellStyle name="Comma 2 5 16" xfId="14723"/>
    <cellStyle name="Comma 2 5 16 2" xfId="14724"/>
    <cellStyle name="Comma 2 5 16 2 2" xfId="14725"/>
    <cellStyle name="Comma 2 5 16 3" xfId="14726"/>
    <cellStyle name="Comma 2 5 16 4" xfId="14727"/>
    <cellStyle name="Comma 2 5 16 5" xfId="14728"/>
    <cellStyle name="Comma 2 5 17" xfId="14729"/>
    <cellStyle name="Comma 2 5 17 2" xfId="14730"/>
    <cellStyle name="Comma 2 5 17 2 2" xfId="14731"/>
    <cellStyle name="Comma 2 5 17 3" xfId="14732"/>
    <cellStyle name="Comma 2 5 17 4" xfId="14733"/>
    <cellStyle name="Comma 2 5 17 5" xfId="14734"/>
    <cellStyle name="Comma 2 5 18" xfId="14735"/>
    <cellStyle name="Comma 2 5 18 2" xfId="14736"/>
    <cellStyle name="Comma 2 5 19" xfId="14737"/>
    <cellStyle name="Comma 2 5 2" xfId="14738"/>
    <cellStyle name="Comma 2 5 2 10" xfId="14739"/>
    <cellStyle name="Comma 2 5 2 11" xfId="14740"/>
    <cellStyle name="Comma 2 5 2 2" xfId="14741"/>
    <cellStyle name="Comma 2 5 2 2 2" xfId="14742"/>
    <cellStyle name="Comma 2 5 2 2 2 2" xfId="14743"/>
    <cellStyle name="Comma 2 5 2 2 2 2 2" xfId="14744"/>
    <cellStyle name="Comma 2 5 2 2 2 2 3" xfId="14745"/>
    <cellStyle name="Comma 2 5 2 2 2 3" xfId="14746"/>
    <cellStyle name="Comma 2 5 2 2 2 4" xfId="14747"/>
    <cellStyle name="Comma 2 5 2 2 2 5" xfId="14748"/>
    <cellStyle name="Comma 2 5 2 2 2 6" xfId="14749"/>
    <cellStyle name="Comma 2 5 2 2 3" xfId="14750"/>
    <cellStyle name="Comma 2 5 2 2 3 2" xfId="14751"/>
    <cellStyle name="Comma 2 5 2 2 3 2 2" xfId="14752"/>
    <cellStyle name="Comma 2 5 2 2 3 3" xfId="14753"/>
    <cellStyle name="Comma 2 5 2 2 3 4" xfId="14754"/>
    <cellStyle name="Comma 2 5 2 2 3 5" xfId="14755"/>
    <cellStyle name="Comma 2 5 2 2 4" xfId="14756"/>
    <cellStyle name="Comma 2 5 2 2 4 2" xfId="14757"/>
    <cellStyle name="Comma 2 5 2 2 4 3" xfId="14758"/>
    <cellStyle name="Comma 2 5 2 2 4 4" xfId="14759"/>
    <cellStyle name="Comma 2 5 2 2 5" xfId="14760"/>
    <cellStyle name="Comma 2 5 2 2 5 2" xfId="14761"/>
    <cellStyle name="Comma 2 5 2 2 6" xfId="14762"/>
    <cellStyle name="Comma 2 5 2 2 7" xfId="14763"/>
    <cellStyle name="Comma 2 5 2 2 8" xfId="14764"/>
    <cellStyle name="Comma 2 5 2 2 9" xfId="14765"/>
    <cellStyle name="Comma 2 5 2 3" xfId="14766"/>
    <cellStyle name="Comma 2 5 2 3 2" xfId="14767"/>
    <cellStyle name="Comma 2 5 2 3 2 2" xfId="14768"/>
    <cellStyle name="Comma 2 5 2 3 2 2 2" xfId="14769"/>
    <cellStyle name="Comma 2 5 2 3 2 2 3" xfId="14770"/>
    <cellStyle name="Comma 2 5 2 3 2 3" xfId="14771"/>
    <cellStyle name="Comma 2 5 2 3 2 4" xfId="14772"/>
    <cellStyle name="Comma 2 5 2 3 2 5" xfId="14773"/>
    <cellStyle name="Comma 2 5 2 3 2 6" xfId="14774"/>
    <cellStyle name="Comma 2 5 2 3 3" xfId="14775"/>
    <cellStyle name="Comma 2 5 2 3 3 2" xfId="14776"/>
    <cellStyle name="Comma 2 5 2 3 3 2 2" xfId="14777"/>
    <cellStyle name="Comma 2 5 2 3 3 3" xfId="14778"/>
    <cellStyle name="Comma 2 5 2 3 3 4" xfId="14779"/>
    <cellStyle name="Comma 2 5 2 3 3 5" xfId="14780"/>
    <cellStyle name="Comma 2 5 2 3 4" xfId="14781"/>
    <cellStyle name="Comma 2 5 2 3 4 2" xfId="14782"/>
    <cellStyle name="Comma 2 5 2 3 4 3" xfId="14783"/>
    <cellStyle name="Comma 2 5 2 3 4 4" xfId="14784"/>
    <cellStyle name="Comma 2 5 2 3 5" xfId="14785"/>
    <cellStyle name="Comma 2 5 2 3 5 2" xfId="14786"/>
    <cellStyle name="Comma 2 5 2 3 6" xfId="14787"/>
    <cellStyle name="Comma 2 5 2 3 7" xfId="14788"/>
    <cellStyle name="Comma 2 5 2 3 8" xfId="14789"/>
    <cellStyle name="Comma 2 5 2 3 9" xfId="14790"/>
    <cellStyle name="Comma 2 5 2 4" xfId="14791"/>
    <cellStyle name="Comma 2 5 2 4 2" xfId="14792"/>
    <cellStyle name="Comma 2 5 2 4 2 2" xfId="14793"/>
    <cellStyle name="Comma 2 5 2 4 2 3" xfId="14794"/>
    <cellStyle name="Comma 2 5 2 4 3" xfId="14795"/>
    <cellStyle name="Comma 2 5 2 4 4" xfId="14796"/>
    <cellStyle name="Comma 2 5 2 4 5" xfId="14797"/>
    <cellStyle name="Comma 2 5 2 4 6" xfId="14798"/>
    <cellStyle name="Comma 2 5 2 5" xfId="14799"/>
    <cellStyle name="Comma 2 5 2 5 2" xfId="14800"/>
    <cellStyle name="Comma 2 5 2 5 2 2" xfId="14801"/>
    <cellStyle name="Comma 2 5 2 5 3" xfId="14802"/>
    <cellStyle name="Comma 2 5 2 5 4" xfId="14803"/>
    <cellStyle name="Comma 2 5 2 5 5" xfId="14804"/>
    <cellStyle name="Comma 2 5 2 6" xfId="14805"/>
    <cellStyle name="Comma 2 5 2 6 2" xfId="14806"/>
    <cellStyle name="Comma 2 5 2 6 3" xfId="14807"/>
    <cellStyle name="Comma 2 5 2 6 4" xfId="14808"/>
    <cellStyle name="Comma 2 5 2 7" xfId="14809"/>
    <cellStyle name="Comma 2 5 2 7 2" xfId="14810"/>
    <cellStyle name="Comma 2 5 2 8" xfId="14811"/>
    <cellStyle name="Comma 2 5 2 9" xfId="14812"/>
    <cellStyle name="Comma 2 5 20" xfId="14813"/>
    <cellStyle name="Comma 2 5 21" xfId="14814"/>
    <cellStyle name="Comma 2 5 22" xfId="14815"/>
    <cellStyle name="Comma 2 5 3" xfId="14816"/>
    <cellStyle name="Comma 2 5 3 10" xfId="14817"/>
    <cellStyle name="Comma 2 5 3 11" xfId="14818"/>
    <cellStyle name="Comma 2 5 3 2" xfId="14819"/>
    <cellStyle name="Comma 2 5 3 2 2" xfId="14820"/>
    <cellStyle name="Comma 2 5 3 2 2 2" xfId="14821"/>
    <cellStyle name="Comma 2 5 3 2 2 2 2" xfId="14822"/>
    <cellStyle name="Comma 2 5 3 2 2 2 3" xfId="14823"/>
    <cellStyle name="Comma 2 5 3 2 2 3" xfId="14824"/>
    <cellStyle name="Comma 2 5 3 2 2 4" xfId="14825"/>
    <cellStyle name="Comma 2 5 3 2 2 5" xfId="14826"/>
    <cellStyle name="Comma 2 5 3 2 2 6" xfId="14827"/>
    <cellStyle name="Comma 2 5 3 2 3" xfId="14828"/>
    <cellStyle name="Comma 2 5 3 2 3 2" xfId="14829"/>
    <cellStyle name="Comma 2 5 3 2 3 2 2" xfId="14830"/>
    <cellStyle name="Comma 2 5 3 2 3 3" xfId="14831"/>
    <cellStyle name="Comma 2 5 3 2 3 4" xfId="14832"/>
    <cellStyle name="Comma 2 5 3 2 3 5" xfId="14833"/>
    <cellStyle name="Comma 2 5 3 2 4" xfId="14834"/>
    <cellStyle name="Comma 2 5 3 2 4 2" xfId="14835"/>
    <cellStyle name="Comma 2 5 3 2 4 3" xfId="14836"/>
    <cellStyle name="Comma 2 5 3 2 4 4" xfId="14837"/>
    <cellStyle name="Comma 2 5 3 2 5" xfId="14838"/>
    <cellStyle name="Comma 2 5 3 2 5 2" xfId="14839"/>
    <cellStyle name="Comma 2 5 3 2 6" xfId="14840"/>
    <cellStyle name="Comma 2 5 3 2 7" xfId="14841"/>
    <cellStyle name="Comma 2 5 3 2 8" xfId="14842"/>
    <cellStyle name="Comma 2 5 3 2 9" xfId="14843"/>
    <cellStyle name="Comma 2 5 3 3" xfId="14844"/>
    <cellStyle name="Comma 2 5 3 3 2" xfId="14845"/>
    <cellStyle name="Comma 2 5 3 3 2 2" xfId="14846"/>
    <cellStyle name="Comma 2 5 3 3 2 2 2" xfId="14847"/>
    <cellStyle name="Comma 2 5 3 3 2 2 3" xfId="14848"/>
    <cellStyle name="Comma 2 5 3 3 2 3" xfId="14849"/>
    <cellStyle name="Comma 2 5 3 3 2 4" xfId="14850"/>
    <cellStyle name="Comma 2 5 3 3 2 5" xfId="14851"/>
    <cellStyle name="Comma 2 5 3 3 2 6" xfId="14852"/>
    <cellStyle name="Comma 2 5 3 3 3" xfId="14853"/>
    <cellStyle name="Comma 2 5 3 3 3 2" xfId="14854"/>
    <cellStyle name="Comma 2 5 3 3 3 2 2" xfId="14855"/>
    <cellStyle name="Comma 2 5 3 3 3 3" xfId="14856"/>
    <cellStyle name="Comma 2 5 3 3 3 4" xfId="14857"/>
    <cellStyle name="Comma 2 5 3 3 3 5" xfId="14858"/>
    <cellStyle name="Comma 2 5 3 3 4" xfId="14859"/>
    <cellStyle name="Comma 2 5 3 3 4 2" xfId="14860"/>
    <cellStyle name="Comma 2 5 3 3 4 3" xfId="14861"/>
    <cellStyle name="Comma 2 5 3 3 4 4" xfId="14862"/>
    <cellStyle name="Comma 2 5 3 3 5" xfId="14863"/>
    <cellStyle name="Comma 2 5 3 3 5 2" xfId="14864"/>
    <cellStyle name="Comma 2 5 3 3 6" xfId="14865"/>
    <cellStyle name="Comma 2 5 3 3 7" xfId="14866"/>
    <cellStyle name="Comma 2 5 3 3 8" xfId="14867"/>
    <cellStyle name="Comma 2 5 3 3 9" xfId="14868"/>
    <cellStyle name="Comma 2 5 3 4" xfId="14869"/>
    <cellStyle name="Comma 2 5 3 4 2" xfId="14870"/>
    <cellStyle name="Comma 2 5 3 4 2 2" xfId="14871"/>
    <cellStyle name="Comma 2 5 3 4 2 3" xfId="14872"/>
    <cellStyle name="Comma 2 5 3 4 3" xfId="14873"/>
    <cellStyle name="Comma 2 5 3 4 4" xfId="14874"/>
    <cellStyle name="Comma 2 5 3 4 5" xfId="14875"/>
    <cellStyle name="Comma 2 5 3 4 6" xfId="14876"/>
    <cellStyle name="Comma 2 5 3 5" xfId="14877"/>
    <cellStyle name="Comma 2 5 3 5 2" xfId="14878"/>
    <cellStyle name="Comma 2 5 3 5 2 2" xfId="14879"/>
    <cellStyle name="Comma 2 5 3 5 3" xfId="14880"/>
    <cellStyle name="Comma 2 5 3 5 4" xfId="14881"/>
    <cellStyle name="Comma 2 5 3 5 5" xfId="14882"/>
    <cellStyle name="Comma 2 5 3 6" xfId="14883"/>
    <cellStyle name="Comma 2 5 3 6 2" xfId="14884"/>
    <cellStyle name="Comma 2 5 3 6 3" xfId="14885"/>
    <cellStyle name="Comma 2 5 3 6 4" xfId="14886"/>
    <cellStyle name="Comma 2 5 3 7" xfId="14887"/>
    <cellStyle name="Comma 2 5 3 7 2" xfId="14888"/>
    <cellStyle name="Comma 2 5 3 8" xfId="14889"/>
    <cellStyle name="Comma 2 5 3 9" xfId="14890"/>
    <cellStyle name="Comma 2 5 4" xfId="14891"/>
    <cellStyle name="Comma 2 5 4 10" xfId="14892"/>
    <cellStyle name="Comma 2 5 4 11" xfId="14893"/>
    <cellStyle name="Comma 2 5 4 2" xfId="14894"/>
    <cellStyle name="Comma 2 5 4 2 2" xfId="14895"/>
    <cellStyle name="Comma 2 5 4 2 2 2" xfId="14896"/>
    <cellStyle name="Comma 2 5 4 2 2 2 2" xfId="14897"/>
    <cellStyle name="Comma 2 5 4 2 2 2 3" xfId="14898"/>
    <cellStyle name="Comma 2 5 4 2 2 3" xfId="14899"/>
    <cellStyle name="Comma 2 5 4 2 2 4" xfId="14900"/>
    <cellStyle name="Comma 2 5 4 2 2 5" xfId="14901"/>
    <cellStyle name="Comma 2 5 4 2 2 6" xfId="14902"/>
    <cellStyle name="Comma 2 5 4 2 3" xfId="14903"/>
    <cellStyle name="Comma 2 5 4 2 3 2" xfId="14904"/>
    <cellStyle name="Comma 2 5 4 2 3 2 2" xfId="14905"/>
    <cellStyle name="Comma 2 5 4 2 3 3" xfId="14906"/>
    <cellStyle name="Comma 2 5 4 2 3 4" xfId="14907"/>
    <cellStyle name="Comma 2 5 4 2 3 5" xfId="14908"/>
    <cellStyle name="Comma 2 5 4 2 4" xfId="14909"/>
    <cellStyle name="Comma 2 5 4 2 4 2" xfId="14910"/>
    <cellStyle name="Comma 2 5 4 2 4 3" xfId="14911"/>
    <cellStyle name="Comma 2 5 4 2 4 4" xfId="14912"/>
    <cellStyle name="Comma 2 5 4 2 5" xfId="14913"/>
    <cellStyle name="Comma 2 5 4 2 5 2" xfId="14914"/>
    <cellStyle name="Comma 2 5 4 2 6" xfId="14915"/>
    <cellStyle name="Comma 2 5 4 2 7" xfId="14916"/>
    <cellStyle name="Comma 2 5 4 2 8" xfId="14917"/>
    <cellStyle name="Comma 2 5 4 2 9" xfId="14918"/>
    <cellStyle name="Comma 2 5 4 3" xfId="14919"/>
    <cellStyle name="Comma 2 5 4 3 2" xfId="14920"/>
    <cellStyle name="Comma 2 5 4 3 2 2" xfId="14921"/>
    <cellStyle name="Comma 2 5 4 3 2 2 2" xfId="14922"/>
    <cellStyle name="Comma 2 5 4 3 2 2 3" xfId="14923"/>
    <cellStyle name="Comma 2 5 4 3 2 3" xfId="14924"/>
    <cellStyle name="Comma 2 5 4 3 2 4" xfId="14925"/>
    <cellStyle name="Comma 2 5 4 3 2 5" xfId="14926"/>
    <cellStyle name="Comma 2 5 4 3 2 6" xfId="14927"/>
    <cellStyle name="Comma 2 5 4 3 3" xfId="14928"/>
    <cellStyle name="Comma 2 5 4 3 3 2" xfId="14929"/>
    <cellStyle name="Comma 2 5 4 3 3 2 2" xfId="14930"/>
    <cellStyle name="Comma 2 5 4 3 3 3" xfId="14931"/>
    <cellStyle name="Comma 2 5 4 3 3 4" xfId="14932"/>
    <cellStyle name="Comma 2 5 4 3 3 5" xfId="14933"/>
    <cellStyle name="Comma 2 5 4 3 4" xfId="14934"/>
    <cellStyle name="Comma 2 5 4 3 4 2" xfId="14935"/>
    <cellStyle name="Comma 2 5 4 3 4 3" xfId="14936"/>
    <cellStyle name="Comma 2 5 4 3 4 4" xfId="14937"/>
    <cellStyle name="Comma 2 5 4 3 5" xfId="14938"/>
    <cellStyle name="Comma 2 5 4 3 5 2" xfId="14939"/>
    <cellStyle name="Comma 2 5 4 3 6" xfId="14940"/>
    <cellStyle name="Comma 2 5 4 3 7" xfId="14941"/>
    <cellStyle name="Comma 2 5 4 3 8" xfId="14942"/>
    <cellStyle name="Comma 2 5 4 3 9" xfId="14943"/>
    <cellStyle name="Comma 2 5 4 4" xfId="14944"/>
    <cellStyle name="Comma 2 5 4 4 2" xfId="14945"/>
    <cellStyle name="Comma 2 5 4 4 2 2" xfId="14946"/>
    <cellStyle name="Comma 2 5 4 4 2 3" xfId="14947"/>
    <cellStyle name="Comma 2 5 4 4 3" xfId="14948"/>
    <cellStyle name="Comma 2 5 4 4 4" xfId="14949"/>
    <cellStyle name="Comma 2 5 4 4 5" xfId="14950"/>
    <cellStyle name="Comma 2 5 4 4 6" xfId="14951"/>
    <cellStyle name="Comma 2 5 4 5" xfId="14952"/>
    <cellStyle name="Comma 2 5 4 5 2" xfId="14953"/>
    <cellStyle name="Comma 2 5 4 5 2 2" xfId="14954"/>
    <cellStyle name="Comma 2 5 4 5 3" xfId="14955"/>
    <cellStyle name="Comma 2 5 4 5 4" xfId="14956"/>
    <cellStyle name="Comma 2 5 4 5 5" xfId="14957"/>
    <cellStyle name="Comma 2 5 4 6" xfId="14958"/>
    <cellStyle name="Comma 2 5 4 6 2" xfId="14959"/>
    <cellStyle name="Comma 2 5 4 6 3" xfId="14960"/>
    <cellStyle name="Comma 2 5 4 6 4" xfId="14961"/>
    <cellStyle name="Comma 2 5 4 7" xfId="14962"/>
    <cellStyle name="Comma 2 5 4 7 2" xfId="14963"/>
    <cellStyle name="Comma 2 5 4 8" xfId="14964"/>
    <cellStyle name="Comma 2 5 4 9" xfId="14965"/>
    <cellStyle name="Comma 2 5 5" xfId="14966"/>
    <cellStyle name="Comma 2 5 5 10" xfId="14967"/>
    <cellStyle name="Comma 2 5 5 11" xfId="14968"/>
    <cellStyle name="Comma 2 5 5 2" xfId="14969"/>
    <cellStyle name="Comma 2 5 5 2 2" xfId="14970"/>
    <cellStyle name="Comma 2 5 5 2 2 2" xfId="14971"/>
    <cellStyle name="Comma 2 5 5 2 2 2 2" xfId="14972"/>
    <cellStyle name="Comma 2 5 5 2 2 2 3" xfId="14973"/>
    <cellStyle name="Comma 2 5 5 2 2 3" xfId="14974"/>
    <cellStyle name="Comma 2 5 5 2 2 4" xfId="14975"/>
    <cellStyle name="Comma 2 5 5 2 2 5" xfId="14976"/>
    <cellStyle name="Comma 2 5 5 2 2 6" xfId="14977"/>
    <cellStyle name="Comma 2 5 5 2 3" xfId="14978"/>
    <cellStyle name="Comma 2 5 5 2 3 2" xfId="14979"/>
    <cellStyle name="Comma 2 5 5 2 3 2 2" xfId="14980"/>
    <cellStyle name="Comma 2 5 5 2 3 3" xfId="14981"/>
    <cellStyle name="Comma 2 5 5 2 3 4" xfId="14982"/>
    <cellStyle name="Comma 2 5 5 2 3 5" xfId="14983"/>
    <cellStyle name="Comma 2 5 5 2 4" xfId="14984"/>
    <cellStyle name="Comma 2 5 5 2 4 2" xfId="14985"/>
    <cellStyle name="Comma 2 5 5 2 4 3" xfId="14986"/>
    <cellStyle name="Comma 2 5 5 2 4 4" xfId="14987"/>
    <cellStyle name="Comma 2 5 5 2 5" xfId="14988"/>
    <cellStyle name="Comma 2 5 5 2 5 2" xfId="14989"/>
    <cellStyle name="Comma 2 5 5 2 6" xfId="14990"/>
    <cellStyle name="Comma 2 5 5 2 7" xfId="14991"/>
    <cellStyle name="Comma 2 5 5 2 8" xfId="14992"/>
    <cellStyle name="Comma 2 5 5 2 9" xfId="14993"/>
    <cellStyle name="Comma 2 5 5 3" xfId="14994"/>
    <cellStyle name="Comma 2 5 5 3 2" xfId="14995"/>
    <cellStyle name="Comma 2 5 5 3 2 2" xfId="14996"/>
    <cellStyle name="Comma 2 5 5 3 2 2 2" xfId="14997"/>
    <cellStyle name="Comma 2 5 5 3 2 2 3" xfId="14998"/>
    <cellStyle name="Comma 2 5 5 3 2 3" xfId="14999"/>
    <cellStyle name="Comma 2 5 5 3 2 4" xfId="15000"/>
    <cellStyle name="Comma 2 5 5 3 2 5" xfId="15001"/>
    <cellStyle name="Comma 2 5 5 3 2 6" xfId="15002"/>
    <cellStyle name="Comma 2 5 5 3 3" xfId="15003"/>
    <cellStyle name="Comma 2 5 5 3 3 2" xfId="15004"/>
    <cellStyle name="Comma 2 5 5 3 3 2 2" xfId="15005"/>
    <cellStyle name="Comma 2 5 5 3 3 3" xfId="15006"/>
    <cellStyle name="Comma 2 5 5 3 3 4" xfId="15007"/>
    <cellStyle name="Comma 2 5 5 3 3 5" xfId="15008"/>
    <cellStyle name="Comma 2 5 5 3 4" xfId="15009"/>
    <cellStyle name="Comma 2 5 5 3 4 2" xfId="15010"/>
    <cellStyle name="Comma 2 5 5 3 4 3" xfId="15011"/>
    <cellStyle name="Comma 2 5 5 3 4 4" xfId="15012"/>
    <cellStyle name="Comma 2 5 5 3 5" xfId="15013"/>
    <cellStyle name="Comma 2 5 5 3 5 2" xfId="15014"/>
    <cellStyle name="Comma 2 5 5 3 6" xfId="15015"/>
    <cellStyle name="Comma 2 5 5 3 7" xfId="15016"/>
    <cellStyle name="Comma 2 5 5 3 8" xfId="15017"/>
    <cellStyle name="Comma 2 5 5 3 9" xfId="15018"/>
    <cellStyle name="Comma 2 5 5 4" xfId="15019"/>
    <cellStyle name="Comma 2 5 5 4 2" xfId="15020"/>
    <cellStyle name="Comma 2 5 5 4 2 2" xfId="15021"/>
    <cellStyle name="Comma 2 5 5 4 2 3" xfId="15022"/>
    <cellStyle name="Comma 2 5 5 4 3" xfId="15023"/>
    <cellStyle name="Comma 2 5 5 4 4" xfId="15024"/>
    <cellStyle name="Comma 2 5 5 4 5" xfId="15025"/>
    <cellStyle name="Comma 2 5 5 4 6" xfId="15026"/>
    <cellStyle name="Comma 2 5 5 5" xfId="15027"/>
    <cellStyle name="Comma 2 5 5 5 2" xfId="15028"/>
    <cellStyle name="Comma 2 5 5 5 2 2" xfId="15029"/>
    <cellStyle name="Comma 2 5 5 5 3" xfId="15030"/>
    <cellStyle name="Comma 2 5 5 5 4" xfId="15031"/>
    <cellStyle name="Comma 2 5 5 5 5" xfId="15032"/>
    <cellStyle name="Comma 2 5 5 6" xfId="15033"/>
    <cellStyle name="Comma 2 5 5 6 2" xfId="15034"/>
    <cellStyle name="Comma 2 5 5 6 3" xfId="15035"/>
    <cellStyle name="Comma 2 5 5 6 4" xfId="15036"/>
    <cellStyle name="Comma 2 5 5 7" xfId="15037"/>
    <cellStyle name="Comma 2 5 5 7 2" xfId="15038"/>
    <cellStyle name="Comma 2 5 5 8" xfId="15039"/>
    <cellStyle name="Comma 2 5 5 9" xfId="15040"/>
    <cellStyle name="Comma 2 5 6" xfId="15041"/>
    <cellStyle name="Comma 2 5 6 10" xfId="15042"/>
    <cellStyle name="Comma 2 5 6 11" xfId="15043"/>
    <cellStyle name="Comma 2 5 6 2" xfId="15044"/>
    <cellStyle name="Comma 2 5 6 2 2" xfId="15045"/>
    <cellStyle name="Comma 2 5 6 2 2 2" xfId="15046"/>
    <cellStyle name="Comma 2 5 6 2 2 2 2" xfId="15047"/>
    <cellStyle name="Comma 2 5 6 2 2 2 3" xfId="15048"/>
    <cellStyle name="Comma 2 5 6 2 2 3" xfId="15049"/>
    <cellStyle name="Comma 2 5 6 2 2 4" xfId="15050"/>
    <cellStyle name="Comma 2 5 6 2 2 5" xfId="15051"/>
    <cellStyle name="Comma 2 5 6 2 2 6" xfId="15052"/>
    <cellStyle name="Comma 2 5 6 2 3" xfId="15053"/>
    <cellStyle name="Comma 2 5 6 2 3 2" xfId="15054"/>
    <cellStyle name="Comma 2 5 6 2 3 2 2" xfId="15055"/>
    <cellStyle name="Comma 2 5 6 2 3 3" xfId="15056"/>
    <cellStyle name="Comma 2 5 6 2 3 4" xfId="15057"/>
    <cellStyle name="Comma 2 5 6 2 3 5" xfId="15058"/>
    <cellStyle name="Comma 2 5 6 2 4" xfId="15059"/>
    <cellStyle name="Comma 2 5 6 2 4 2" xfId="15060"/>
    <cellStyle name="Comma 2 5 6 2 4 3" xfId="15061"/>
    <cellStyle name="Comma 2 5 6 2 4 4" xfId="15062"/>
    <cellStyle name="Comma 2 5 6 2 5" xfId="15063"/>
    <cellStyle name="Comma 2 5 6 2 5 2" xfId="15064"/>
    <cellStyle name="Comma 2 5 6 2 6" xfId="15065"/>
    <cellStyle name="Comma 2 5 6 2 7" xfId="15066"/>
    <cellStyle name="Comma 2 5 6 2 8" xfId="15067"/>
    <cellStyle name="Comma 2 5 6 2 9" xfId="15068"/>
    <cellStyle name="Comma 2 5 6 3" xfId="15069"/>
    <cellStyle name="Comma 2 5 6 3 2" xfId="15070"/>
    <cellStyle name="Comma 2 5 6 3 2 2" xfId="15071"/>
    <cellStyle name="Comma 2 5 6 3 2 2 2" xfId="15072"/>
    <cellStyle name="Comma 2 5 6 3 2 2 3" xfId="15073"/>
    <cellStyle name="Comma 2 5 6 3 2 3" xfId="15074"/>
    <cellStyle name="Comma 2 5 6 3 2 4" xfId="15075"/>
    <cellStyle name="Comma 2 5 6 3 2 5" xfId="15076"/>
    <cellStyle name="Comma 2 5 6 3 2 6" xfId="15077"/>
    <cellStyle name="Comma 2 5 6 3 3" xfId="15078"/>
    <cellStyle name="Comma 2 5 6 3 3 2" xfId="15079"/>
    <cellStyle name="Comma 2 5 6 3 3 2 2" xfId="15080"/>
    <cellStyle name="Comma 2 5 6 3 3 3" xfId="15081"/>
    <cellStyle name="Comma 2 5 6 3 3 4" xfId="15082"/>
    <cellStyle name="Comma 2 5 6 3 3 5" xfId="15083"/>
    <cellStyle name="Comma 2 5 6 3 4" xfId="15084"/>
    <cellStyle name="Comma 2 5 6 3 4 2" xfId="15085"/>
    <cellStyle name="Comma 2 5 6 3 4 3" xfId="15086"/>
    <cellStyle name="Comma 2 5 6 3 4 4" xfId="15087"/>
    <cellStyle name="Comma 2 5 6 3 5" xfId="15088"/>
    <cellStyle name="Comma 2 5 6 3 5 2" xfId="15089"/>
    <cellStyle name="Comma 2 5 6 3 6" xfId="15090"/>
    <cellStyle name="Comma 2 5 6 3 7" xfId="15091"/>
    <cellStyle name="Comma 2 5 6 3 8" xfId="15092"/>
    <cellStyle name="Comma 2 5 6 3 9" xfId="15093"/>
    <cellStyle name="Comma 2 5 6 4" xfId="15094"/>
    <cellStyle name="Comma 2 5 6 4 2" xfId="15095"/>
    <cellStyle name="Comma 2 5 6 4 2 2" xfId="15096"/>
    <cellStyle name="Comma 2 5 6 4 2 3" xfId="15097"/>
    <cellStyle name="Comma 2 5 6 4 3" xfId="15098"/>
    <cellStyle name="Comma 2 5 6 4 4" xfId="15099"/>
    <cellStyle name="Comma 2 5 6 4 5" xfId="15100"/>
    <cellStyle name="Comma 2 5 6 4 6" xfId="15101"/>
    <cellStyle name="Comma 2 5 6 5" xfId="15102"/>
    <cellStyle name="Comma 2 5 6 5 2" xfId="15103"/>
    <cellStyle name="Comma 2 5 6 5 2 2" xfId="15104"/>
    <cellStyle name="Comma 2 5 6 5 3" xfId="15105"/>
    <cellStyle name="Comma 2 5 6 5 4" xfId="15106"/>
    <cellStyle name="Comma 2 5 6 5 5" xfId="15107"/>
    <cellStyle name="Comma 2 5 6 6" xfId="15108"/>
    <cellStyle name="Comma 2 5 6 6 2" xfId="15109"/>
    <cellStyle name="Comma 2 5 6 6 3" xfId="15110"/>
    <cellStyle name="Comma 2 5 6 6 4" xfId="15111"/>
    <cellStyle name="Comma 2 5 6 7" xfId="15112"/>
    <cellStyle name="Comma 2 5 6 7 2" xfId="15113"/>
    <cellStyle name="Comma 2 5 6 8" xfId="15114"/>
    <cellStyle name="Comma 2 5 6 9" xfId="15115"/>
    <cellStyle name="Comma 2 5 7" xfId="15116"/>
    <cellStyle name="Comma 2 5 7 10" xfId="15117"/>
    <cellStyle name="Comma 2 5 7 11" xfId="15118"/>
    <cellStyle name="Comma 2 5 7 2" xfId="15119"/>
    <cellStyle name="Comma 2 5 7 2 2" xfId="15120"/>
    <cellStyle name="Comma 2 5 7 2 2 2" xfId="15121"/>
    <cellStyle name="Comma 2 5 7 2 2 2 2" xfId="15122"/>
    <cellStyle name="Comma 2 5 7 2 2 2 3" xfId="15123"/>
    <cellStyle name="Comma 2 5 7 2 2 3" xfId="15124"/>
    <cellStyle name="Comma 2 5 7 2 2 4" xfId="15125"/>
    <cellStyle name="Comma 2 5 7 2 2 5" xfId="15126"/>
    <cellStyle name="Comma 2 5 7 2 2 6" xfId="15127"/>
    <cellStyle name="Comma 2 5 7 2 3" xfId="15128"/>
    <cellStyle name="Comma 2 5 7 2 3 2" xfId="15129"/>
    <cellStyle name="Comma 2 5 7 2 3 2 2" xfId="15130"/>
    <cellStyle name="Comma 2 5 7 2 3 3" xfId="15131"/>
    <cellStyle name="Comma 2 5 7 2 3 4" xfId="15132"/>
    <cellStyle name="Comma 2 5 7 2 3 5" xfId="15133"/>
    <cellStyle name="Comma 2 5 7 2 4" xfId="15134"/>
    <cellStyle name="Comma 2 5 7 2 4 2" xfId="15135"/>
    <cellStyle name="Comma 2 5 7 2 4 3" xfId="15136"/>
    <cellStyle name="Comma 2 5 7 2 4 4" xfId="15137"/>
    <cellStyle name="Comma 2 5 7 2 5" xfId="15138"/>
    <cellStyle name="Comma 2 5 7 2 5 2" xfId="15139"/>
    <cellStyle name="Comma 2 5 7 2 6" xfId="15140"/>
    <cellStyle name="Comma 2 5 7 2 7" xfId="15141"/>
    <cellStyle name="Comma 2 5 7 2 8" xfId="15142"/>
    <cellStyle name="Comma 2 5 7 2 9" xfId="15143"/>
    <cellStyle name="Comma 2 5 7 3" xfId="15144"/>
    <cellStyle name="Comma 2 5 7 3 2" xfId="15145"/>
    <cellStyle name="Comma 2 5 7 3 2 2" xfId="15146"/>
    <cellStyle name="Comma 2 5 7 3 2 2 2" xfId="15147"/>
    <cellStyle name="Comma 2 5 7 3 2 2 3" xfId="15148"/>
    <cellStyle name="Comma 2 5 7 3 2 3" xfId="15149"/>
    <cellStyle name="Comma 2 5 7 3 2 4" xfId="15150"/>
    <cellStyle name="Comma 2 5 7 3 2 5" xfId="15151"/>
    <cellStyle name="Comma 2 5 7 3 2 6" xfId="15152"/>
    <cellStyle name="Comma 2 5 7 3 3" xfId="15153"/>
    <cellStyle name="Comma 2 5 7 3 3 2" xfId="15154"/>
    <cellStyle name="Comma 2 5 7 3 3 2 2" xfId="15155"/>
    <cellStyle name="Comma 2 5 7 3 3 3" xfId="15156"/>
    <cellStyle name="Comma 2 5 7 3 3 4" xfId="15157"/>
    <cellStyle name="Comma 2 5 7 3 3 5" xfId="15158"/>
    <cellStyle name="Comma 2 5 7 3 4" xfId="15159"/>
    <cellStyle name="Comma 2 5 7 3 4 2" xfId="15160"/>
    <cellStyle name="Comma 2 5 7 3 4 3" xfId="15161"/>
    <cellStyle name="Comma 2 5 7 3 4 4" xfId="15162"/>
    <cellStyle name="Comma 2 5 7 3 5" xfId="15163"/>
    <cellStyle name="Comma 2 5 7 3 5 2" xfId="15164"/>
    <cellStyle name="Comma 2 5 7 3 6" xfId="15165"/>
    <cellStyle name="Comma 2 5 7 3 7" xfId="15166"/>
    <cellStyle name="Comma 2 5 7 3 8" xfId="15167"/>
    <cellStyle name="Comma 2 5 7 3 9" xfId="15168"/>
    <cellStyle name="Comma 2 5 7 4" xfId="15169"/>
    <cellStyle name="Comma 2 5 7 4 2" xfId="15170"/>
    <cellStyle name="Comma 2 5 7 4 2 2" xfId="15171"/>
    <cellStyle name="Comma 2 5 7 4 2 3" xfId="15172"/>
    <cellStyle name="Comma 2 5 7 4 3" xfId="15173"/>
    <cellStyle name="Comma 2 5 7 4 4" xfId="15174"/>
    <cellStyle name="Comma 2 5 7 4 5" xfId="15175"/>
    <cellStyle name="Comma 2 5 7 4 6" xfId="15176"/>
    <cellStyle name="Comma 2 5 7 5" xfId="15177"/>
    <cellStyle name="Comma 2 5 7 5 2" xfId="15178"/>
    <cellStyle name="Comma 2 5 7 5 2 2" xfId="15179"/>
    <cellStyle name="Comma 2 5 7 5 3" xfId="15180"/>
    <cellStyle name="Comma 2 5 7 5 4" xfId="15181"/>
    <cellStyle name="Comma 2 5 7 5 5" xfId="15182"/>
    <cellStyle name="Comma 2 5 7 6" xfId="15183"/>
    <cellStyle name="Comma 2 5 7 6 2" xfId="15184"/>
    <cellStyle name="Comma 2 5 7 6 3" xfId="15185"/>
    <cellStyle name="Comma 2 5 7 6 4" xfId="15186"/>
    <cellStyle name="Comma 2 5 7 7" xfId="15187"/>
    <cellStyle name="Comma 2 5 7 7 2" xfId="15188"/>
    <cellStyle name="Comma 2 5 7 8" xfId="15189"/>
    <cellStyle name="Comma 2 5 7 9" xfId="15190"/>
    <cellStyle name="Comma 2 5 8" xfId="15191"/>
    <cellStyle name="Comma 2 5 8 10" xfId="15192"/>
    <cellStyle name="Comma 2 5 8 2" xfId="15193"/>
    <cellStyle name="Comma 2 5 8 2 2" xfId="15194"/>
    <cellStyle name="Comma 2 5 8 2 2 2" xfId="15195"/>
    <cellStyle name="Comma 2 5 8 2 2 3" xfId="15196"/>
    <cellStyle name="Comma 2 5 8 2 3" xfId="15197"/>
    <cellStyle name="Comma 2 5 8 2 4" xfId="15198"/>
    <cellStyle name="Comma 2 5 8 2 5" xfId="15199"/>
    <cellStyle name="Comma 2 5 8 2 6" xfId="15200"/>
    <cellStyle name="Comma 2 5 8 3" xfId="15201"/>
    <cellStyle name="Comma 2 5 8 3 2" xfId="15202"/>
    <cellStyle name="Comma 2 5 8 3 2 2" xfId="15203"/>
    <cellStyle name="Comma 2 5 8 3 2 3" xfId="15204"/>
    <cellStyle name="Comma 2 5 8 3 3" xfId="15205"/>
    <cellStyle name="Comma 2 5 8 3 4" xfId="15206"/>
    <cellStyle name="Comma 2 5 8 3 5" xfId="15207"/>
    <cellStyle name="Comma 2 5 8 3 6" xfId="15208"/>
    <cellStyle name="Comma 2 5 8 4" xfId="15209"/>
    <cellStyle name="Comma 2 5 8 4 2" xfId="15210"/>
    <cellStyle name="Comma 2 5 8 4 2 2" xfId="15211"/>
    <cellStyle name="Comma 2 5 8 4 3" xfId="15212"/>
    <cellStyle name="Comma 2 5 8 4 4" xfId="15213"/>
    <cellStyle name="Comma 2 5 8 4 5" xfId="15214"/>
    <cellStyle name="Comma 2 5 8 5" xfId="15215"/>
    <cellStyle name="Comma 2 5 8 5 2" xfId="15216"/>
    <cellStyle name="Comma 2 5 8 5 3" xfId="15217"/>
    <cellStyle name="Comma 2 5 8 5 4" xfId="15218"/>
    <cellStyle name="Comma 2 5 8 6" xfId="15219"/>
    <cellStyle name="Comma 2 5 8 6 2" xfId="15220"/>
    <cellStyle name="Comma 2 5 8 7" xfId="15221"/>
    <cellStyle name="Comma 2 5 8 8" xfId="15222"/>
    <cellStyle name="Comma 2 5 8 9" xfId="15223"/>
    <cellStyle name="Comma 2 5 9" xfId="15224"/>
    <cellStyle name="Comma 2 5 9 10" xfId="15225"/>
    <cellStyle name="Comma 2 5 9 2" xfId="15226"/>
    <cellStyle name="Comma 2 5 9 2 2" xfId="15227"/>
    <cellStyle name="Comma 2 5 9 2 2 2" xfId="15228"/>
    <cellStyle name="Comma 2 5 9 2 2 3" xfId="15229"/>
    <cellStyle name="Comma 2 5 9 2 3" xfId="15230"/>
    <cellStyle name="Comma 2 5 9 2 4" xfId="15231"/>
    <cellStyle name="Comma 2 5 9 2 5" xfId="15232"/>
    <cellStyle name="Comma 2 5 9 2 6" xfId="15233"/>
    <cellStyle name="Comma 2 5 9 3" xfId="15234"/>
    <cellStyle name="Comma 2 5 9 3 2" xfId="15235"/>
    <cellStyle name="Comma 2 5 9 3 2 2" xfId="15236"/>
    <cellStyle name="Comma 2 5 9 3 2 3" xfId="15237"/>
    <cellStyle name="Comma 2 5 9 3 3" xfId="15238"/>
    <cellStyle name="Comma 2 5 9 3 4" xfId="15239"/>
    <cellStyle name="Comma 2 5 9 3 5" xfId="15240"/>
    <cellStyle name="Comma 2 5 9 3 6" xfId="15241"/>
    <cellStyle name="Comma 2 5 9 4" xfId="15242"/>
    <cellStyle name="Comma 2 5 9 4 2" xfId="15243"/>
    <cellStyle name="Comma 2 5 9 4 2 2" xfId="15244"/>
    <cellStyle name="Comma 2 5 9 4 3" xfId="15245"/>
    <cellStyle name="Comma 2 5 9 4 4" xfId="15246"/>
    <cellStyle name="Comma 2 5 9 4 5" xfId="15247"/>
    <cellStyle name="Comma 2 5 9 5" xfId="15248"/>
    <cellStyle name="Comma 2 5 9 5 2" xfId="15249"/>
    <cellStyle name="Comma 2 5 9 5 3" xfId="15250"/>
    <cellStyle name="Comma 2 5 9 5 4" xfId="15251"/>
    <cellStyle name="Comma 2 5 9 6" xfId="15252"/>
    <cellStyle name="Comma 2 5 9 6 2" xfId="15253"/>
    <cellStyle name="Comma 2 5 9 7" xfId="15254"/>
    <cellStyle name="Comma 2 5 9 8" xfId="15255"/>
    <cellStyle name="Comma 2 5 9 9" xfId="15256"/>
    <cellStyle name="Comma 2 50" xfId="15257"/>
    <cellStyle name="Comma 2 50 2" xfId="15258"/>
    <cellStyle name="Comma 2 50 2 2" xfId="15259"/>
    <cellStyle name="Comma 2 50 3" xfId="15260"/>
    <cellStyle name="Comma 2 50 4" xfId="15261"/>
    <cellStyle name="Comma 2 50 5" xfId="15262"/>
    <cellStyle name="Comma 2 50 6" xfId="15263"/>
    <cellStyle name="Comma 2 50 7" xfId="15264"/>
    <cellStyle name="Comma 2 51" xfId="15265"/>
    <cellStyle name="Comma 2 51 2" xfId="15266"/>
    <cellStyle name="Comma 2 51 2 2" xfId="15267"/>
    <cellStyle name="Comma 2 51 3" xfId="15268"/>
    <cellStyle name="Comma 2 51 4" xfId="15269"/>
    <cellStyle name="Comma 2 51 5" xfId="15270"/>
    <cellStyle name="Comma 2 51 6" xfId="15271"/>
    <cellStyle name="Comma 2 51 7" xfId="15272"/>
    <cellStyle name="Comma 2 52" xfId="15273"/>
    <cellStyle name="Comma 2 52 2" xfId="15274"/>
    <cellStyle name="Comma 2 52 2 2" xfId="15275"/>
    <cellStyle name="Comma 2 52 3" xfId="15276"/>
    <cellStyle name="Comma 2 52 4" xfId="15277"/>
    <cellStyle name="Comma 2 52 5" xfId="15278"/>
    <cellStyle name="Comma 2 52 6" xfId="15279"/>
    <cellStyle name="Comma 2 52 7" xfId="15280"/>
    <cellStyle name="Comma 2 53" xfId="15281"/>
    <cellStyle name="Comma 2 53 2" xfId="15282"/>
    <cellStyle name="Comma 2 53 2 2" xfId="15283"/>
    <cellStyle name="Comma 2 53 3" xfId="15284"/>
    <cellStyle name="Comma 2 53 4" xfId="15285"/>
    <cellStyle name="Comma 2 53 5" xfId="15286"/>
    <cellStyle name="Comma 2 53 6" xfId="15287"/>
    <cellStyle name="Comma 2 53 7" xfId="15288"/>
    <cellStyle name="Comma 2 54" xfId="15289"/>
    <cellStyle name="Comma 2 54 2" xfId="15290"/>
    <cellStyle name="Comma 2 54 2 2" xfId="15291"/>
    <cellStyle name="Comma 2 54 3" xfId="15292"/>
    <cellStyle name="Comma 2 54 4" xfId="15293"/>
    <cellStyle name="Comma 2 54 5" xfId="15294"/>
    <cellStyle name="Comma 2 54 6" xfId="15295"/>
    <cellStyle name="Comma 2 54 7" xfId="15296"/>
    <cellStyle name="Comma 2 55" xfId="15297"/>
    <cellStyle name="Comma 2 55 2" xfId="15298"/>
    <cellStyle name="Comma 2 55 2 2" xfId="15299"/>
    <cellStyle name="Comma 2 55 3" xfId="15300"/>
    <cellStyle name="Comma 2 55 4" xfId="15301"/>
    <cellStyle name="Comma 2 55 5" xfId="15302"/>
    <cellStyle name="Comma 2 55 6" xfId="15303"/>
    <cellStyle name="Comma 2 55 7" xfId="15304"/>
    <cellStyle name="Comma 2 56" xfId="15305"/>
    <cellStyle name="Comma 2 56 2" xfId="15306"/>
    <cellStyle name="Comma 2 57" xfId="15307"/>
    <cellStyle name="Comma 2 57 2" xfId="15308"/>
    <cellStyle name="Comma 2 58" xfId="15309"/>
    <cellStyle name="Comma 2 58 2" xfId="15310"/>
    <cellStyle name="Comma 2 59" xfId="15311"/>
    <cellStyle name="Comma 2 59 2" xfId="15312"/>
    <cellStyle name="Comma 2 6" xfId="15313"/>
    <cellStyle name="Comma 2 6 10" xfId="15314"/>
    <cellStyle name="Comma 2 6 10 10" xfId="15315"/>
    <cellStyle name="Comma 2 6 10 2" xfId="15316"/>
    <cellStyle name="Comma 2 6 10 2 2" xfId="15317"/>
    <cellStyle name="Comma 2 6 10 2 2 2" xfId="15318"/>
    <cellStyle name="Comma 2 6 10 2 2 3" xfId="15319"/>
    <cellStyle name="Comma 2 6 10 2 3" xfId="15320"/>
    <cellStyle name="Comma 2 6 10 2 4" xfId="15321"/>
    <cellStyle name="Comma 2 6 10 2 5" xfId="15322"/>
    <cellStyle name="Comma 2 6 10 2 6" xfId="15323"/>
    <cellStyle name="Comma 2 6 10 3" xfId="15324"/>
    <cellStyle name="Comma 2 6 10 3 2" xfId="15325"/>
    <cellStyle name="Comma 2 6 10 3 2 2" xfId="15326"/>
    <cellStyle name="Comma 2 6 10 3 2 3" xfId="15327"/>
    <cellStyle name="Comma 2 6 10 3 3" xfId="15328"/>
    <cellStyle name="Comma 2 6 10 3 4" xfId="15329"/>
    <cellStyle name="Comma 2 6 10 3 5" xfId="15330"/>
    <cellStyle name="Comma 2 6 10 3 6" xfId="15331"/>
    <cellStyle name="Comma 2 6 10 4" xfId="15332"/>
    <cellStyle name="Comma 2 6 10 4 2" xfId="15333"/>
    <cellStyle name="Comma 2 6 10 4 2 2" xfId="15334"/>
    <cellStyle name="Comma 2 6 10 4 3" xfId="15335"/>
    <cellStyle name="Comma 2 6 10 4 4" xfId="15336"/>
    <cellStyle name="Comma 2 6 10 4 5" xfId="15337"/>
    <cellStyle name="Comma 2 6 10 5" xfId="15338"/>
    <cellStyle name="Comma 2 6 10 5 2" xfId="15339"/>
    <cellStyle name="Comma 2 6 10 5 3" xfId="15340"/>
    <cellStyle name="Comma 2 6 10 5 4" xfId="15341"/>
    <cellStyle name="Comma 2 6 10 6" xfId="15342"/>
    <cellStyle name="Comma 2 6 10 6 2" xfId="15343"/>
    <cellStyle name="Comma 2 6 10 7" xfId="15344"/>
    <cellStyle name="Comma 2 6 10 8" xfId="15345"/>
    <cellStyle name="Comma 2 6 10 9" xfId="15346"/>
    <cellStyle name="Comma 2 6 11" xfId="15347"/>
    <cellStyle name="Comma 2 6 11 10" xfId="15348"/>
    <cellStyle name="Comma 2 6 11 2" xfId="15349"/>
    <cellStyle name="Comma 2 6 11 2 2" xfId="15350"/>
    <cellStyle name="Comma 2 6 11 2 2 2" xfId="15351"/>
    <cellStyle name="Comma 2 6 11 2 2 3" xfId="15352"/>
    <cellStyle name="Comma 2 6 11 2 3" xfId="15353"/>
    <cellStyle name="Comma 2 6 11 2 4" xfId="15354"/>
    <cellStyle name="Comma 2 6 11 2 5" xfId="15355"/>
    <cellStyle name="Comma 2 6 11 2 6" xfId="15356"/>
    <cellStyle name="Comma 2 6 11 3" xfId="15357"/>
    <cellStyle name="Comma 2 6 11 3 2" xfId="15358"/>
    <cellStyle name="Comma 2 6 11 3 2 2" xfId="15359"/>
    <cellStyle name="Comma 2 6 11 3 2 3" xfId="15360"/>
    <cellStyle name="Comma 2 6 11 3 3" xfId="15361"/>
    <cellStyle name="Comma 2 6 11 3 4" xfId="15362"/>
    <cellStyle name="Comma 2 6 11 3 5" xfId="15363"/>
    <cellStyle name="Comma 2 6 11 3 6" xfId="15364"/>
    <cellStyle name="Comma 2 6 11 4" xfId="15365"/>
    <cellStyle name="Comma 2 6 11 4 2" xfId="15366"/>
    <cellStyle name="Comma 2 6 11 4 2 2" xfId="15367"/>
    <cellStyle name="Comma 2 6 11 4 3" xfId="15368"/>
    <cellStyle name="Comma 2 6 11 4 4" xfId="15369"/>
    <cellStyle name="Comma 2 6 11 4 5" xfId="15370"/>
    <cellStyle name="Comma 2 6 11 5" xfId="15371"/>
    <cellStyle name="Comma 2 6 11 5 2" xfId="15372"/>
    <cellStyle name="Comma 2 6 11 5 3" xfId="15373"/>
    <cellStyle name="Comma 2 6 11 5 4" xfId="15374"/>
    <cellStyle name="Comma 2 6 11 6" xfId="15375"/>
    <cellStyle name="Comma 2 6 11 6 2" xfId="15376"/>
    <cellStyle name="Comma 2 6 11 7" xfId="15377"/>
    <cellStyle name="Comma 2 6 11 8" xfId="15378"/>
    <cellStyle name="Comma 2 6 11 9" xfId="15379"/>
    <cellStyle name="Comma 2 6 12" xfId="15380"/>
    <cellStyle name="Comma 2 6 12 10" xfId="15381"/>
    <cellStyle name="Comma 2 6 12 2" xfId="15382"/>
    <cellStyle name="Comma 2 6 12 2 2" xfId="15383"/>
    <cellStyle name="Comma 2 6 12 2 2 2" xfId="15384"/>
    <cellStyle name="Comma 2 6 12 2 2 3" xfId="15385"/>
    <cellStyle name="Comma 2 6 12 2 3" xfId="15386"/>
    <cellStyle name="Comma 2 6 12 2 4" xfId="15387"/>
    <cellStyle name="Comma 2 6 12 2 5" xfId="15388"/>
    <cellStyle name="Comma 2 6 12 2 6" xfId="15389"/>
    <cellStyle name="Comma 2 6 12 3" xfId="15390"/>
    <cellStyle name="Comma 2 6 12 3 2" xfId="15391"/>
    <cellStyle name="Comma 2 6 12 3 2 2" xfId="15392"/>
    <cellStyle name="Comma 2 6 12 3 2 3" xfId="15393"/>
    <cellStyle name="Comma 2 6 12 3 3" xfId="15394"/>
    <cellStyle name="Comma 2 6 12 3 4" xfId="15395"/>
    <cellStyle name="Comma 2 6 12 3 5" xfId="15396"/>
    <cellStyle name="Comma 2 6 12 3 6" xfId="15397"/>
    <cellStyle name="Comma 2 6 12 4" xfId="15398"/>
    <cellStyle name="Comma 2 6 12 4 2" xfId="15399"/>
    <cellStyle name="Comma 2 6 12 4 2 2" xfId="15400"/>
    <cellStyle name="Comma 2 6 12 4 3" xfId="15401"/>
    <cellStyle name="Comma 2 6 12 4 4" xfId="15402"/>
    <cellStyle name="Comma 2 6 12 4 5" xfId="15403"/>
    <cellStyle name="Comma 2 6 12 5" xfId="15404"/>
    <cellStyle name="Comma 2 6 12 5 2" xfId="15405"/>
    <cellStyle name="Comma 2 6 12 5 3" xfId="15406"/>
    <cellStyle name="Comma 2 6 12 5 4" xfId="15407"/>
    <cellStyle name="Comma 2 6 12 6" xfId="15408"/>
    <cellStyle name="Comma 2 6 12 6 2" xfId="15409"/>
    <cellStyle name="Comma 2 6 12 7" xfId="15410"/>
    <cellStyle name="Comma 2 6 12 8" xfId="15411"/>
    <cellStyle name="Comma 2 6 12 9" xfId="15412"/>
    <cellStyle name="Comma 2 6 13" xfId="15413"/>
    <cellStyle name="Comma 2 6 13 2" xfId="15414"/>
    <cellStyle name="Comma 2 6 13 2 2" xfId="15415"/>
    <cellStyle name="Comma 2 6 13 2 2 2" xfId="15416"/>
    <cellStyle name="Comma 2 6 13 2 2 3" xfId="15417"/>
    <cellStyle name="Comma 2 6 13 2 3" xfId="15418"/>
    <cellStyle name="Comma 2 6 13 2 4" xfId="15419"/>
    <cellStyle name="Comma 2 6 13 2 5" xfId="15420"/>
    <cellStyle name="Comma 2 6 13 2 6" xfId="15421"/>
    <cellStyle name="Comma 2 6 13 3" xfId="15422"/>
    <cellStyle name="Comma 2 6 13 3 2" xfId="15423"/>
    <cellStyle name="Comma 2 6 13 3 2 2" xfId="15424"/>
    <cellStyle name="Comma 2 6 13 3 3" xfId="15425"/>
    <cellStyle name="Comma 2 6 13 3 4" xfId="15426"/>
    <cellStyle name="Comma 2 6 13 3 5" xfId="15427"/>
    <cellStyle name="Comma 2 6 13 4" xfId="15428"/>
    <cellStyle name="Comma 2 6 13 4 2" xfId="15429"/>
    <cellStyle name="Comma 2 6 13 4 3" xfId="15430"/>
    <cellStyle name="Comma 2 6 13 4 4" xfId="15431"/>
    <cellStyle name="Comma 2 6 13 5" xfId="15432"/>
    <cellStyle name="Comma 2 6 13 5 2" xfId="15433"/>
    <cellStyle name="Comma 2 6 13 6" xfId="15434"/>
    <cellStyle name="Comma 2 6 13 7" xfId="15435"/>
    <cellStyle name="Comma 2 6 13 8" xfId="15436"/>
    <cellStyle name="Comma 2 6 13 9" xfId="15437"/>
    <cellStyle name="Comma 2 6 14" xfId="15438"/>
    <cellStyle name="Comma 2 6 14 2" xfId="15439"/>
    <cellStyle name="Comma 2 6 14 2 2" xfId="15440"/>
    <cellStyle name="Comma 2 6 14 2 2 2" xfId="15441"/>
    <cellStyle name="Comma 2 6 14 2 2 3" xfId="15442"/>
    <cellStyle name="Comma 2 6 14 2 3" xfId="15443"/>
    <cellStyle name="Comma 2 6 14 2 4" xfId="15444"/>
    <cellStyle name="Comma 2 6 14 2 5" xfId="15445"/>
    <cellStyle name="Comma 2 6 14 2 6" xfId="15446"/>
    <cellStyle name="Comma 2 6 14 3" xfId="15447"/>
    <cellStyle name="Comma 2 6 14 3 2" xfId="15448"/>
    <cellStyle name="Comma 2 6 14 3 2 2" xfId="15449"/>
    <cellStyle name="Comma 2 6 14 3 3" xfId="15450"/>
    <cellStyle name="Comma 2 6 14 3 4" xfId="15451"/>
    <cellStyle name="Comma 2 6 14 3 5" xfId="15452"/>
    <cellStyle name="Comma 2 6 14 4" xfId="15453"/>
    <cellStyle name="Comma 2 6 14 4 2" xfId="15454"/>
    <cellStyle name="Comma 2 6 14 4 3" xfId="15455"/>
    <cellStyle name="Comma 2 6 14 4 4" xfId="15456"/>
    <cellStyle name="Comma 2 6 14 5" xfId="15457"/>
    <cellStyle name="Comma 2 6 14 5 2" xfId="15458"/>
    <cellStyle name="Comma 2 6 14 6" xfId="15459"/>
    <cellStyle name="Comma 2 6 14 7" xfId="15460"/>
    <cellStyle name="Comma 2 6 14 8" xfId="15461"/>
    <cellStyle name="Comma 2 6 14 9" xfId="15462"/>
    <cellStyle name="Comma 2 6 15" xfId="15463"/>
    <cellStyle name="Comma 2 6 15 2" xfId="15464"/>
    <cellStyle name="Comma 2 6 15 2 2" xfId="15465"/>
    <cellStyle name="Comma 2 6 15 2 3" xfId="15466"/>
    <cellStyle name="Comma 2 6 15 3" xfId="15467"/>
    <cellStyle name="Comma 2 6 15 4" xfId="15468"/>
    <cellStyle name="Comma 2 6 15 5" xfId="15469"/>
    <cellStyle name="Comma 2 6 15 6" xfId="15470"/>
    <cellStyle name="Comma 2 6 16" xfId="15471"/>
    <cellStyle name="Comma 2 6 16 2" xfId="15472"/>
    <cellStyle name="Comma 2 6 16 2 2" xfId="15473"/>
    <cellStyle name="Comma 2 6 16 3" xfId="15474"/>
    <cellStyle name="Comma 2 6 16 4" xfId="15475"/>
    <cellStyle name="Comma 2 6 16 5" xfId="15476"/>
    <cellStyle name="Comma 2 6 17" xfId="15477"/>
    <cellStyle name="Comma 2 6 17 2" xfId="15478"/>
    <cellStyle name="Comma 2 6 17 2 2" xfId="15479"/>
    <cellStyle name="Comma 2 6 17 3" xfId="15480"/>
    <cellStyle name="Comma 2 6 17 4" xfId="15481"/>
    <cellStyle name="Comma 2 6 17 5" xfId="15482"/>
    <cellStyle name="Comma 2 6 18" xfId="15483"/>
    <cellStyle name="Comma 2 6 18 2" xfId="15484"/>
    <cellStyle name="Comma 2 6 19" xfId="15485"/>
    <cellStyle name="Comma 2 6 2" xfId="15486"/>
    <cellStyle name="Comma 2 6 2 10" xfId="15487"/>
    <cellStyle name="Comma 2 6 2 11" xfId="15488"/>
    <cellStyle name="Comma 2 6 2 2" xfId="15489"/>
    <cellStyle name="Comma 2 6 2 2 2" xfId="15490"/>
    <cellStyle name="Comma 2 6 2 2 2 2" xfId="15491"/>
    <cellStyle name="Comma 2 6 2 2 2 2 2" xfId="15492"/>
    <cellStyle name="Comma 2 6 2 2 2 2 3" xfId="15493"/>
    <cellStyle name="Comma 2 6 2 2 2 3" xfId="15494"/>
    <cellStyle name="Comma 2 6 2 2 2 4" xfId="15495"/>
    <cellStyle name="Comma 2 6 2 2 2 5" xfId="15496"/>
    <cellStyle name="Comma 2 6 2 2 2 6" xfId="15497"/>
    <cellStyle name="Comma 2 6 2 2 3" xfId="15498"/>
    <cellStyle name="Comma 2 6 2 2 3 2" xfId="15499"/>
    <cellStyle name="Comma 2 6 2 2 3 2 2" xfId="15500"/>
    <cellStyle name="Comma 2 6 2 2 3 3" xfId="15501"/>
    <cellStyle name="Comma 2 6 2 2 3 4" xfId="15502"/>
    <cellStyle name="Comma 2 6 2 2 3 5" xfId="15503"/>
    <cellStyle name="Comma 2 6 2 2 4" xfId="15504"/>
    <cellStyle name="Comma 2 6 2 2 4 2" xfId="15505"/>
    <cellStyle name="Comma 2 6 2 2 4 3" xfId="15506"/>
    <cellStyle name="Comma 2 6 2 2 4 4" xfId="15507"/>
    <cellStyle name="Comma 2 6 2 2 5" xfId="15508"/>
    <cellStyle name="Comma 2 6 2 2 5 2" xfId="15509"/>
    <cellStyle name="Comma 2 6 2 2 6" xfId="15510"/>
    <cellStyle name="Comma 2 6 2 2 7" xfId="15511"/>
    <cellStyle name="Comma 2 6 2 2 8" xfId="15512"/>
    <cellStyle name="Comma 2 6 2 2 9" xfId="15513"/>
    <cellStyle name="Comma 2 6 2 3" xfId="15514"/>
    <cellStyle name="Comma 2 6 2 3 2" xfId="15515"/>
    <cellStyle name="Comma 2 6 2 3 2 2" xfId="15516"/>
    <cellStyle name="Comma 2 6 2 3 2 2 2" xfId="15517"/>
    <cellStyle name="Comma 2 6 2 3 2 2 3" xfId="15518"/>
    <cellStyle name="Comma 2 6 2 3 2 3" xfId="15519"/>
    <cellStyle name="Comma 2 6 2 3 2 4" xfId="15520"/>
    <cellStyle name="Comma 2 6 2 3 2 5" xfId="15521"/>
    <cellStyle name="Comma 2 6 2 3 2 6" xfId="15522"/>
    <cellStyle name="Comma 2 6 2 3 3" xfId="15523"/>
    <cellStyle name="Comma 2 6 2 3 3 2" xfId="15524"/>
    <cellStyle name="Comma 2 6 2 3 3 2 2" xfId="15525"/>
    <cellStyle name="Comma 2 6 2 3 3 3" xfId="15526"/>
    <cellStyle name="Comma 2 6 2 3 3 4" xfId="15527"/>
    <cellStyle name="Comma 2 6 2 3 3 5" xfId="15528"/>
    <cellStyle name="Comma 2 6 2 3 4" xfId="15529"/>
    <cellStyle name="Comma 2 6 2 3 4 2" xfId="15530"/>
    <cellStyle name="Comma 2 6 2 3 4 3" xfId="15531"/>
    <cellStyle name="Comma 2 6 2 3 4 4" xfId="15532"/>
    <cellStyle name="Comma 2 6 2 3 5" xfId="15533"/>
    <cellStyle name="Comma 2 6 2 3 5 2" xfId="15534"/>
    <cellStyle name="Comma 2 6 2 3 6" xfId="15535"/>
    <cellStyle name="Comma 2 6 2 3 7" xfId="15536"/>
    <cellStyle name="Comma 2 6 2 3 8" xfId="15537"/>
    <cellStyle name="Comma 2 6 2 3 9" xfId="15538"/>
    <cellStyle name="Comma 2 6 2 4" xfId="15539"/>
    <cellStyle name="Comma 2 6 2 4 2" xfId="15540"/>
    <cellStyle name="Comma 2 6 2 4 2 2" xfId="15541"/>
    <cellStyle name="Comma 2 6 2 4 2 3" xfId="15542"/>
    <cellStyle name="Comma 2 6 2 4 3" xfId="15543"/>
    <cellStyle name="Comma 2 6 2 4 4" xfId="15544"/>
    <cellStyle name="Comma 2 6 2 4 5" xfId="15545"/>
    <cellStyle name="Comma 2 6 2 4 6" xfId="15546"/>
    <cellStyle name="Comma 2 6 2 5" xfId="15547"/>
    <cellStyle name="Comma 2 6 2 5 2" xfId="15548"/>
    <cellStyle name="Comma 2 6 2 5 2 2" xfId="15549"/>
    <cellStyle name="Comma 2 6 2 5 3" xfId="15550"/>
    <cellStyle name="Comma 2 6 2 5 4" xfId="15551"/>
    <cellStyle name="Comma 2 6 2 5 5" xfId="15552"/>
    <cellStyle name="Comma 2 6 2 6" xfId="15553"/>
    <cellStyle name="Comma 2 6 2 6 2" xfId="15554"/>
    <cellStyle name="Comma 2 6 2 6 3" xfId="15555"/>
    <cellStyle name="Comma 2 6 2 6 4" xfId="15556"/>
    <cellStyle name="Comma 2 6 2 7" xfId="15557"/>
    <cellStyle name="Comma 2 6 2 7 2" xfId="15558"/>
    <cellStyle name="Comma 2 6 2 8" xfId="15559"/>
    <cellStyle name="Comma 2 6 2 9" xfId="15560"/>
    <cellStyle name="Comma 2 6 20" xfId="15561"/>
    <cellStyle name="Comma 2 6 21" xfId="15562"/>
    <cellStyle name="Comma 2 6 22" xfId="15563"/>
    <cellStyle name="Comma 2 6 3" xfId="15564"/>
    <cellStyle name="Comma 2 6 3 10" xfId="15565"/>
    <cellStyle name="Comma 2 6 3 11" xfId="15566"/>
    <cellStyle name="Comma 2 6 3 2" xfId="15567"/>
    <cellStyle name="Comma 2 6 3 2 2" xfId="15568"/>
    <cellStyle name="Comma 2 6 3 2 2 2" xfId="15569"/>
    <cellStyle name="Comma 2 6 3 2 2 2 2" xfId="15570"/>
    <cellStyle name="Comma 2 6 3 2 2 2 3" xfId="15571"/>
    <cellStyle name="Comma 2 6 3 2 2 3" xfId="15572"/>
    <cellStyle name="Comma 2 6 3 2 2 4" xfId="15573"/>
    <cellStyle name="Comma 2 6 3 2 2 5" xfId="15574"/>
    <cellStyle name="Comma 2 6 3 2 2 6" xfId="15575"/>
    <cellStyle name="Comma 2 6 3 2 3" xfId="15576"/>
    <cellStyle name="Comma 2 6 3 2 3 2" xfId="15577"/>
    <cellStyle name="Comma 2 6 3 2 3 2 2" xfId="15578"/>
    <cellStyle name="Comma 2 6 3 2 3 3" xfId="15579"/>
    <cellStyle name="Comma 2 6 3 2 3 4" xfId="15580"/>
    <cellStyle name="Comma 2 6 3 2 3 5" xfId="15581"/>
    <cellStyle name="Comma 2 6 3 2 4" xfId="15582"/>
    <cellStyle name="Comma 2 6 3 2 4 2" xfId="15583"/>
    <cellStyle name="Comma 2 6 3 2 4 3" xfId="15584"/>
    <cellStyle name="Comma 2 6 3 2 4 4" xfId="15585"/>
    <cellStyle name="Comma 2 6 3 2 5" xfId="15586"/>
    <cellStyle name="Comma 2 6 3 2 5 2" xfId="15587"/>
    <cellStyle name="Comma 2 6 3 2 6" xfId="15588"/>
    <cellStyle name="Comma 2 6 3 2 7" xfId="15589"/>
    <cellStyle name="Comma 2 6 3 2 8" xfId="15590"/>
    <cellStyle name="Comma 2 6 3 2 9" xfId="15591"/>
    <cellStyle name="Comma 2 6 3 3" xfId="15592"/>
    <cellStyle name="Comma 2 6 3 3 2" xfId="15593"/>
    <cellStyle name="Comma 2 6 3 3 2 2" xfId="15594"/>
    <cellStyle name="Comma 2 6 3 3 2 2 2" xfId="15595"/>
    <cellStyle name="Comma 2 6 3 3 2 2 3" xfId="15596"/>
    <cellStyle name="Comma 2 6 3 3 2 3" xfId="15597"/>
    <cellStyle name="Comma 2 6 3 3 2 4" xfId="15598"/>
    <cellStyle name="Comma 2 6 3 3 2 5" xfId="15599"/>
    <cellStyle name="Comma 2 6 3 3 2 6" xfId="15600"/>
    <cellStyle name="Comma 2 6 3 3 3" xfId="15601"/>
    <cellStyle name="Comma 2 6 3 3 3 2" xfId="15602"/>
    <cellStyle name="Comma 2 6 3 3 3 2 2" xfId="15603"/>
    <cellStyle name="Comma 2 6 3 3 3 3" xfId="15604"/>
    <cellStyle name="Comma 2 6 3 3 3 4" xfId="15605"/>
    <cellStyle name="Comma 2 6 3 3 3 5" xfId="15606"/>
    <cellStyle name="Comma 2 6 3 3 4" xfId="15607"/>
    <cellStyle name="Comma 2 6 3 3 4 2" xfId="15608"/>
    <cellStyle name="Comma 2 6 3 3 4 3" xfId="15609"/>
    <cellStyle name="Comma 2 6 3 3 4 4" xfId="15610"/>
    <cellStyle name="Comma 2 6 3 3 5" xfId="15611"/>
    <cellStyle name="Comma 2 6 3 3 5 2" xfId="15612"/>
    <cellStyle name="Comma 2 6 3 3 6" xfId="15613"/>
    <cellStyle name="Comma 2 6 3 3 7" xfId="15614"/>
    <cellStyle name="Comma 2 6 3 3 8" xfId="15615"/>
    <cellStyle name="Comma 2 6 3 3 9" xfId="15616"/>
    <cellStyle name="Comma 2 6 3 4" xfId="15617"/>
    <cellStyle name="Comma 2 6 3 4 2" xfId="15618"/>
    <cellStyle name="Comma 2 6 3 4 2 2" xfId="15619"/>
    <cellStyle name="Comma 2 6 3 4 2 3" xfId="15620"/>
    <cellStyle name="Comma 2 6 3 4 3" xfId="15621"/>
    <cellStyle name="Comma 2 6 3 4 4" xfId="15622"/>
    <cellStyle name="Comma 2 6 3 4 5" xfId="15623"/>
    <cellStyle name="Comma 2 6 3 4 6" xfId="15624"/>
    <cellStyle name="Comma 2 6 3 5" xfId="15625"/>
    <cellStyle name="Comma 2 6 3 5 2" xfId="15626"/>
    <cellStyle name="Comma 2 6 3 5 2 2" xfId="15627"/>
    <cellStyle name="Comma 2 6 3 5 3" xfId="15628"/>
    <cellStyle name="Comma 2 6 3 5 4" xfId="15629"/>
    <cellStyle name="Comma 2 6 3 5 5" xfId="15630"/>
    <cellStyle name="Comma 2 6 3 6" xfId="15631"/>
    <cellStyle name="Comma 2 6 3 6 2" xfId="15632"/>
    <cellStyle name="Comma 2 6 3 6 3" xfId="15633"/>
    <cellStyle name="Comma 2 6 3 6 4" xfId="15634"/>
    <cellStyle name="Comma 2 6 3 7" xfId="15635"/>
    <cellStyle name="Comma 2 6 3 7 2" xfId="15636"/>
    <cellStyle name="Comma 2 6 3 8" xfId="15637"/>
    <cellStyle name="Comma 2 6 3 9" xfId="15638"/>
    <cellStyle name="Comma 2 6 4" xfId="15639"/>
    <cellStyle name="Comma 2 6 4 10" xfId="15640"/>
    <cellStyle name="Comma 2 6 4 11" xfId="15641"/>
    <cellStyle name="Comma 2 6 4 2" xfId="15642"/>
    <cellStyle name="Comma 2 6 4 2 2" xfId="15643"/>
    <cellStyle name="Comma 2 6 4 2 2 2" xfId="15644"/>
    <cellStyle name="Comma 2 6 4 2 2 2 2" xfId="15645"/>
    <cellStyle name="Comma 2 6 4 2 2 2 3" xfId="15646"/>
    <cellStyle name="Comma 2 6 4 2 2 3" xfId="15647"/>
    <cellStyle name="Comma 2 6 4 2 2 4" xfId="15648"/>
    <cellStyle name="Comma 2 6 4 2 2 5" xfId="15649"/>
    <cellStyle name="Comma 2 6 4 2 2 6" xfId="15650"/>
    <cellStyle name="Comma 2 6 4 2 3" xfId="15651"/>
    <cellStyle name="Comma 2 6 4 2 3 2" xfId="15652"/>
    <cellStyle name="Comma 2 6 4 2 3 2 2" xfId="15653"/>
    <cellStyle name="Comma 2 6 4 2 3 3" xfId="15654"/>
    <cellStyle name="Comma 2 6 4 2 3 4" xfId="15655"/>
    <cellStyle name="Comma 2 6 4 2 3 5" xfId="15656"/>
    <cellStyle name="Comma 2 6 4 2 4" xfId="15657"/>
    <cellStyle name="Comma 2 6 4 2 4 2" xfId="15658"/>
    <cellStyle name="Comma 2 6 4 2 4 3" xfId="15659"/>
    <cellStyle name="Comma 2 6 4 2 4 4" xfId="15660"/>
    <cellStyle name="Comma 2 6 4 2 5" xfId="15661"/>
    <cellStyle name="Comma 2 6 4 2 5 2" xfId="15662"/>
    <cellStyle name="Comma 2 6 4 2 6" xfId="15663"/>
    <cellStyle name="Comma 2 6 4 2 7" xfId="15664"/>
    <cellStyle name="Comma 2 6 4 2 8" xfId="15665"/>
    <cellStyle name="Comma 2 6 4 2 9" xfId="15666"/>
    <cellStyle name="Comma 2 6 4 3" xfId="15667"/>
    <cellStyle name="Comma 2 6 4 3 2" xfId="15668"/>
    <cellStyle name="Comma 2 6 4 3 2 2" xfId="15669"/>
    <cellStyle name="Comma 2 6 4 3 2 2 2" xfId="15670"/>
    <cellStyle name="Comma 2 6 4 3 2 2 3" xfId="15671"/>
    <cellStyle name="Comma 2 6 4 3 2 3" xfId="15672"/>
    <cellStyle name="Comma 2 6 4 3 2 4" xfId="15673"/>
    <cellStyle name="Comma 2 6 4 3 2 5" xfId="15674"/>
    <cellStyle name="Comma 2 6 4 3 2 6" xfId="15675"/>
    <cellStyle name="Comma 2 6 4 3 3" xfId="15676"/>
    <cellStyle name="Comma 2 6 4 3 3 2" xfId="15677"/>
    <cellStyle name="Comma 2 6 4 3 3 2 2" xfId="15678"/>
    <cellStyle name="Comma 2 6 4 3 3 3" xfId="15679"/>
    <cellStyle name="Comma 2 6 4 3 3 4" xfId="15680"/>
    <cellStyle name="Comma 2 6 4 3 3 5" xfId="15681"/>
    <cellStyle name="Comma 2 6 4 3 4" xfId="15682"/>
    <cellStyle name="Comma 2 6 4 3 4 2" xfId="15683"/>
    <cellStyle name="Comma 2 6 4 3 4 3" xfId="15684"/>
    <cellStyle name="Comma 2 6 4 3 4 4" xfId="15685"/>
    <cellStyle name="Comma 2 6 4 3 5" xfId="15686"/>
    <cellStyle name="Comma 2 6 4 3 5 2" xfId="15687"/>
    <cellStyle name="Comma 2 6 4 3 6" xfId="15688"/>
    <cellStyle name="Comma 2 6 4 3 7" xfId="15689"/>
    <cellStyle name="Comma 2 6 4 3 8" xfId="15690"/>
    <cellStyle name="Comma 2 6 4 3 9" xfId="15691"/>
    <cellStyle name="Comma 2 6 4 4" xfId="15692"/>
    <cellStyle name="Comma 2 6 4 4 2" xfId="15693"/>
    <cellStyle name="Comma 2 6 4 4 2 2" xfId="15694"/>
    <cellStyle name="Comma 2 6 4 4 2 3" xfId="15695"/>
    <cellStyle name="Comma 2 6 4 4 3" xfId="15696"/>
    <cellStyle name="Comma 2 6 4 4 4" xfId="15697"/>
    <cellStyle name="Comma 2 6 4 4 5" xfId="15698"/>
    <cellStyle name="Comma 2 6 4 4 6" xfId="15699"/>
    <cellStyle name="Comma 2 6 4 5" xfId="15700"/>
    <cellStyle name="Comma 2 6 4 5 2" xfId="15701"/>
    <cellStyle name="Comma 2 6 4 5 2 2" xfId="15702"/>
    <cellStyle name="Comma 2 6 4 5 3" xfId="15703"/>
    <cellStyle name="Comma 2 6 4 5 4" xfId="15704"/>
    <cellStyle name="Comma 2 6 4 5 5" xfId="15705"/>
    <cellStyle name="Comma 2 6 4 6" xfId="15706"/>
    <cellStyle name="Comma 2 6 4 6 2" xfId="15707"/>
    <cellStyle name="Comma 2 6 4 6 3" xfId="15708"/>
    <cellStyle name="Comma 2 6 4 6 4" xfId="15709"/>
    <cellStyle name="Comma 2 6 4 7" xfId="15710"/>
    <cellStyle name="Comma 2 6 4 7 2" xfId="15711"/>
    <cellStyle name="Comma 2 6 4 8" xfId="15712"/>
    <cellStyle name="Comma 2 6 4 9" xfId="15713"/>
    <cellStyle name="Comma 2 6 5" xfId="15714"/>
    <cellStyle name="Comma 2 6 5 10" xfId="15715"/>
    <cellStyle name="Comma 2 6 5 11" xfId="15716"/>
    <cellStyle name="Comma 2 6 5 2" xfId="15717"/>
    <cellStyle name="Comma 2 6 5 2 2" xfId="15718"/>
    <cellStyle name="Comma 2 6 5 2 2 2" xfId="15719"/>
    <cellStyle name="Comma 2 6 5 2 2 2 2" xfId="15720"/>
    <cellStyle name="Comma 2 6 5 2 2 2 3" xfId="15721"/>
    <cellStyle name="Comma 2 6 5 2 2 3" xfId="15722"/>
    <cellStyle name="Comma 2 6 5 2 2 4" xfId="15723"/>
    <cellStyle name="Comma 2 6 5 2 2 5" xfId="15724"/>
    <cellStyle name="Comma 2 6 5 2 2 6" xfId="15725"/>
    <cellStyle name="Comma 2 6 5 2 3" xfId="15726"/>
    <cellStyle name="Comma 2 6 5 2 3 2" xfId="15727"/>
    <cellStyle name="Comma 2 6 5 2 3 2 2" xfId="15728"/>
    <cellStyle name="Comma 2 6 5 2 3 3" xfId="15729"/>
    <cellStyle name="Comma 2 6 5 2 3 4" xfId="15730"/>
    <cellStyle name="Comma 2 6 5 2 3 5" xfId="15731"/>
    <cellStyle name="Comma 2 6 5 2 4" xfId="15732"/>
    <cellStyle name="Comma 2 6 5 2 4 2" xfId="15733"/>
    <cellStyle name="Comma 2 6 5 2 4 3" xfId="15734"/>
    <cellStyle name="Comma 2 6 5 2 4 4" xfId="15735"/>
    <cellStyle name="Comma 2 6 5 2 5" xfId="15736"/>
    <cellStyle name="Comma 2 6 5 2 5 2" xfId="15737"/>
    <cellStyle name="Comma 2 6 5 2 6" xfId="15738"/>
    <cellStyle name="Comma 2 6 5 2 7" xfId="15739"/>
    <cellStyle name="Comma 2 6 5 2 8" xfId="15740"/>
    <cellStyle name="Comma 2 6 5 2 9" xfId="15741"/>
    <cellStyle name="Comma 2 6 5 3" xfId="15742"/>
    <cellStyle name="Comma 2 6 5 3 2" xfId="15743"/>
    <cellStyle name="Comma 2 6 5 3 2 2" xfId="15744"/>
    <cellStyle name="Comma 2 6 5 3 2 2 2" xfId="15745"/>
    <cellStyle name="Comma 2 6 5 3 2 2 3" xfId="15746"/>
    <cellStyle name="Comma 2 6 5 3 2 3" xfId="15747"/>
    <cellStyle name="Comma 2 6 5 3 2 4" xfId="15748"/>
    <cellStyle name="Comma 2 6 5 3 2 5" xfId="15749"/>
    <cellStyle name="Comma 2 6 5 3 2 6" xfId="15750"/>
    <cellStyle name="Comma 2 6 5 3 3" xfId="15751"/>
    <cellStyle name="Comma 2 6 5 3 3 2" xfId="15752"/>
    <cellStyle name="Comma 2 6 5 3 3 2 2" xfId="15753"/>
    <cellStyle name="Comma 2 6 5 3 3 3" xfId="15754"/>
    <cellStyle name="Comma 2 6 5 3 3 4" xfId="15755"/>
    <cellStyle name="Comma 2 6 5 3 3 5" xfId="15756"/>
    <cellStyle name="Comma 2 6 5 3 4" xfId="15757"/>
    <cellStyle name="Comma 2 6 5 3 4 2" xfId="15758"/>
    <cellStyle name="Comma 2 6 5 3 4 3" xfId="15759"/>
    <cellStyle name="Comma 2 6 5 3 4 4" xfId="15760"/>
    <cellStyle name="Comma 2 6 5 3 5" xfId="15761"/>
    <cellStyle name="Comma 2 6 5 3 5 2" xfId="15762"/>
    <cellStyle name="Comma 2 6 5 3 6" xfId="15763"/>
    <cellStyle name="Comma 2 6 5 3 7" xfId="15764"/>
    <cellStyle name="Comma 2 6 5 3 8" xfId="15765"/>
    <cellStyle name="Comma 2 6 5 3 9" xfId="15766"/>
    <cellStyle name="Comma 2 6 5 4" xfId="15767"/>
    <cellStyle name="Comma 2 6 5 4 2" xfId="15768"/>
    <cellStyle name="Comma 2 6 5 4 2 2" xfId="15769"/>
    <cellStyle name="Comma 2 6 5 4 2 3" xfId="15770"/>
    <cellStyle name="Comma 2 6 5 4 3" xfId="15771"/>
    <cellStyle name="Comma 2 6 5 4 4" xfId="15772"/>
    <cellStyle name="Comma 2 6 5 4 5" xfId="15773"/>
    <cellStyle name="Comma 2 6 5 4 6" xfId="15774"/>
    <cellStyle name="Comma 2 6 5 5" xfId="15775"/>
    <cellStyle name="Comma 2 6 5 5 2" xfId="15776"/>
    <cellStyle name="Comma 2 6 5 5 2 2" xfId="15777"/>
    <cellStyle name="Comma 2 6 5 5 3" xfId="15778"/>
    <cellStyle name="Comma 2 6 5 5 4" xfId="15779"/>
    <cellStyle name="Comma 2 6 5 5 5" xfId="15780"/>
    <cellStyle name="Comma 2 6 5 6" xfId="15781"/>
    <cellStyle name="Comma 2 6 5 6 2" xfId="15782"/>
    <cellStyle name="Comma 2 6 5 6 3" xfId="15783"/>
    <cellStyle name="Comma 2 6 5 6 4" xfId="15784"/>
    <cellStyle name="Comma 2 6 5 7" xfId="15785"/>
    <cellStyle name="Comma 2 6 5 7 2" xfId="15786"/>
    <cellStyle name="Comma 2 6 5 8" xfId="15787"/>
    <cellStyle name="Comma 2 6 5 9" xfId="15788"/>
    <cellStyle name="Comma 2 6 6" xfId="15789"/>
    <cellStyle name="Comma 2 6 6 10" xfId="15790"/>
    <cellStyle name="Comma 2 6 6 11" xfId="15791"/>
    <cellStyle name="Comma 2 6 6 2" xfId="15792"/>
    <cellStyle name="Comma 2 6 6 2 2" xfId="15793"/>
    <cellStyle name="Comma 2 6 6 2 2 2" xfId="15794"/>
    <cellStyle name="Comma 2 6 6 2 2 2 2" xfId="15795"/>
    <cellStyle name="Comma 2 6 6 2 2 2 3" xfId="15796"/>
    <cellStyle name="Comma 2 6 6 2 2 3" xfId="15797"/>
    <cellStyle name="Comma 2 6 6 2 2 4" xfId="15798"/>
    <cellStyle name="Comma 2 6 6 2 2 5" xfId="15799"/>
    <cellStyle name="Comma 2 6 6 2 2 6" xfId="15800"/>
    <cellStyle name="Comma 2 6 6 2 3" xfId="15801"/>
    <cellStyle name="Comma 2 6 6 2 3 2" xfId="15802"/>
    <cellStyle name="Comma 2 6 6 2 3 2 2" xfId="15803"/>
    <cellStyle name="Comma 2 6 6 2 3 3" xfId="15804"/>
    <cellStyle name="Comma 2 6 6 2 3 4" xfId="15805"/>
    <cellStyle name="Comma 2 6 6 2 3 5" xfId="15806"/>
    <cellStyle name="Comma 2 6 6 2 4" xfId="15807"/>
    <cellStyle name="Comma 2 6 6 2 4 2" xfId="15808"/>
    <cellStyle name="Comma 2 6 6 2 4 3" xfId="15809"/>
    <cellStyle name="Comma 2 6 6 2 4 4" xfId="15810"/>
    <cellStyle name="Comma 2 6 6 2 5" xfId="15811"/>
    <cellStyle name="Comma 2 6 6 2 5 2" xfId="15812"/>
    <cellStyle name="Comma 2 6 6 2 6" xfId="15813"/>
    <cellStyle name="Comma 2 6 6 2 7" xfId="15814"/>
    <cellStyle name="Comma 2 6 6 2 8" xfId="15815"/>
    <cellStyle name="Comma 2 6 6 2 9" xfId="15816"/>
    <cellStyle name="Comma 2 6 6 3" xfId="15817"/>
    <cellStyle name="Comma 2 6 6 3 2" xfId="15818"/>
    <cellStyle name="Comma 2 6 6 3 2 2" xfId="15819"/>
    <cellStyle name="Comma 2 6 6 3 2 2 2" xfId="15820"/>
    <cellStyle name="Comma 2 6 6 3 2 2 3" xfId="15821"/>
    <cellStyle name="Comma 2 6 6 3 2 3" xfId="15822"/>
    <cellStyle name="Comma 2 6 6 3 2 4" xfId="15823"/>
    <cellStyle name="Comma 2 6 6 3 2 5" xfId="15824"/>
    <cellStyle name="Comma 2 6 6 3 2 6" xfId="15825"/>
    <cellStyle name="Comma 2 6 6 3 3" xfId="15826"/>
    <cellStyle name="Comma 2 6 6 3 3 2" xfId="15827"/>
    <cellStyle name="Comma 2 6 6 3 3 2 2" xfId="15828"/>
    <cellStyle name="Comma 2 6 6 3 3 3" xfId="15829"/>
    <cellStyle name="Comma 2 6 6 3 3 4" xfId="15830"/>
    <cellStyle name="Comma 2 6 6 3 3 5" xfId="15831"/>
    <cellStyle name="Comma 2 6 6 3 4" xfId="15832"/>
    <cellStyle name="Comma 2 6 6 3 4 2" xfId="15833"/>
    <cellStyle name="Comma 2 6 6 3 4 3" xfId="15834"/>
    <cellStyle name="Comma 2 6 6 3 4 4" xfId="15835"/>
    <cellStyle name="Comma 2 6 6 3 5" xfId="15836"/>
    <cellStyle name="Comma 2 6 6 3 5 2" xfId="15837"/>
    <cellStyle name="Comma 2 6 6 3 6" xfId="15838"/>
    <cellStyle name="Comma 2 6 6 3 7" xfId="15839"/>
    <cellStyle name="Comma 2 6 6 3 8" xfId="15840"/>
    <cellStyle name="Comma 2 6 6 3 9" xfId="15841"/>
    <cellStyle name="Comma 2 6 6 4" xfId="15842"/>
    <cellStyle name="Comma 2 6 6 4 2" xfId="15843"/>
    <cellStyle name="Comma 2 6 6 4 2 2" xfId="15844"/>
    <cellStyle name="Comma 2 6 6 4 2 3" xfId="15845"/>
    <cellStyle name="Comma 2 6 6 4 3" xfId="15846"/>
    <cellStyle name="Comma 2 6 6 4 4" xfId="15847"/>
    <cellStyle name="Comma 2 6 6 4 5" xfId="15848"/>
    <cellStyle name="Comma 2 6 6 4 6" xfId="15849"/>
    <cellStyle name="Comma 2 6 6 5" xfId="15850"/>
    <cellStyle name="Comma 2 6 6 5 2" xfId="15851"/>
    <cellStyle name="Comma 2 6 6 5 2 2" xfId="15852"/>
    <cellStyle name="Comma 2 6 6 5 3" xfId="15853"/>
    <cellStyle name="Comma 2 6 6 5 4" xfId="15854"/>
    <cellStyle name="Comma 2 6 6 5 5" xfId="15855"/>
    <cellStyle name="Comma 2 6 6 6" xfId="15856"/>
    <cellStyle name="Comma 2 6 6 6 2" xfId="15857"/>
    <cellStyle name="Comma 2 6 6 6 3" xfId="15858"/>
    <cellStyle name="Comma 2 6 6 6 4" xfId="15859"/>
    <cellStyle name="Comma 2 6 6 7" xfId="15860"/>
    <cellStyle name="Comma 2 6 6 7 2" xfId="15861"/>
    <cellStyle name="Comma 2 6 6 8" xfId="15862"/>
    <cellStyle name="Comma 2 6 6 9" xfId="15863"/>
    <cellStyle name="Comma 2 6 7" xfId="15864"/>
    <cellStyle name="Comma 2 6 7 10" xfId="15865"/>
    <cellStyle name="Comma 2 6 7 11" xfId="15866"/>
    <cellStyle name="Comma 2 6 7 2" xfId="15867"/>
    <cellStyle name="Comma 2 6 7 2 2" xfId="15868"/>
    <cellStyle name="Comma 2 6 7 2 2 2" xfId="15869"/>
    <cellStyle name="Comma 2 6 7 2 2 2 2" xfId="15870"/>
    <cellStyle name="Comma 2 6 7 2 2 2 3" xfId="15871"/>
    <cellStyle name="Comma 2 6 7 2 2 3" xfId="15872"/>
    <cellStyle name="Comma 2 6 7 2 2 4" xfId="15873"/>
    <cellStyle name="Comma 2 6 7 2 2 5" xfId="15874"/>
    <cellStyle name="Comma 2 6 7 2 2 6" xfId="15875"/>
    <cellStyle name="Comma 2 6 7 2 3" xfId="15876"/>
    <cellStyle name="Comma 2 6 7 2 3 2" xfId="15877"/>
    <cellStyle name="Comma 2 6 7 2 3 2 2" xfId="15878"/>
    <cellStyle name="Comma 2 6 7 2 3 3" xfId="15879"/>
    <cellStyle name="Comma 2 6 7 2 3 4" xfId="15880"/>
    <cellStyle name="Comma 2 6 7 2 3 5" xfId="15881"/>
    <cellStyle name="Comma 2 6 7 2 4" xfId="15882"/>
    <cellStyle name="Comma 2 6 7 2 4 2" xfId="15883"/>
    <cellStyle name="Comma 2 6 7 2 4 3" xfId="15884"/>
    <cellStyle name="Comma 2 6 7 2 4 4" xfId="15885"/>
    <cellStyle name="Comma 2 6 7 2 5" xfId="15886"/>
    <cellStyle name="Comma 2 6 7 2 5 2" xfId="15887"/>
    <cellStyle name="Comma 2 6 7 2 6" xfId="15888"/>
    <cellStyle name="Comma 2 6 7 2 7" xfId="15889"/>
    <cellStyle name="Comma 2 6 7 2 8" xfId="15890"/>
    <cellStyle name="Comma 2 6 7 2 9" xfId="15891"/>
    <cellStyle name="Comma 2 6 7 3" xfId="15892"/>
    <cellStyle name="Comma 2 6 7 3 2" xfId="15893"/>
    <cellStyle name="Comma 2 6 7 3 2 2" xfId="15894"/>
    <cellStyle name="Comma 2 6 7 3 2 2 2" xfId="15895"/>
    <cellStyle name="Comma 2 6 7 3 2 2 3" xfId="15896"/>
    <cellStyle name="Comma 2 6 7 3 2 3" xfId="15897"/>
    <cellStyle name="Comma 2 6 7 3 2 4" xfId="15898"/>
    <cellStyle name="Comma 2 6 7 3 2 5" xfId="15899"/>
    <cellStyle name="Comma 2 6 7 3 2 6" xfId="15900"/>
    <cellStyle name="Comma 2 6 7 3 3" xfId="15901"/>
    <cellStyle name="Comma 2 6 7 3 3 2" xfId="15902"/>
    <cellStyle name="Comma 2 6 7 3 3 2 2" xfId="15903"/>
    <cellStyle name="Comma 2 6 7 3 3 3" xfId="15904"/>
    <cellStyle name="Comma 2 6 7 3 3 4" xfId="15905"/>
    <cellStyle name="Comma 2 6 7 3 3 5" xfId="15906"/>
    <cellStyle name="Comma 2 6 7 3 4" xfId="15907"/>
    <cellStyle name="Comma 2 6 7 3 4 2" xfId="15908"/>
    <cellStyle name="Comma 2 6 7 3 4 3" xfId="15909"/>
    <cellStyle name="Comma 2 6 7 3 4 4" xfId="15910"/>
    <cellStyle name="Comma 2 6 7 3 5" xfId="15911"/>
    <cellStyle name="Comma 2 6 7 3 5 2" xfId="15912"/>
    <cellStyle name="Comma 2 6 7 3 6" xfId="15913"/>
    <cellStyle name="Comma 2 6 7 3 7" xfId="15914"/>
    <cellStyle name="Comma 2 6 7 3 8" xfId="15915"/>
    <cellStyle name="Comma 2 6 7 3 9" xfId="15916"/>
    <cellStyle name="Comma 2 6 7 4" xfId="15917"/>
    <cellStyle name="Comma 2 6 7 4 2" xfId="15918"/>
    <cellStyle name="Comma 2 6 7 4 2 2" xfId="15919"/>
    <cellStyle name="Comma 2 6 7 4 2 3" xfId="15920"/>
    <cellStyle name="Comma 2 6 7 4 3" xfId="15921"/>
    <cellStyle name="Comma 2 6 7 4 4" xfId="15922"/>
    <cellStyle name="Comma 2 6 7 4 5" xfId="15923"/>
    <cellStyle name="Comma 2 6 7 4 6" xfId="15924"/>
    <cellStyle name="Comma 2 6 7 5" xfId="15925"/>
    <cellStyle name="Comma 2 6 7 5 2" xfId="15926"/>
    <cellStyle name="Comma 2 6 7 5 2 2" xfId="15927"/>
    <cellStyle name="Comma 2 6 7 5 3" xfId="15928"/>
    <cellStyle name="Comma 2 6 7 5 4" xfId="15929"/>
    <cellStyle name="Comma 2 6 7 5 5" xfId="15930"/>
    <cellStyle name="Comma 2 6 7 6" xfId="15931"/>
    <cellStyle name="Comma 2 6 7 6 2" xfId="15932"/>
    <cellStyle name="Comma 2 6 7 6 3" xfId="15933"/>
    <cellStyle name="Comma 2 6 7 6 4" xfId="15934"/>
    <cellStyle name="Comma 2 6 7 7" xfId="15935"/>
    <cellStyle name="Comma 2 6 7 7 2" xfId="15936"/>
    <cellStyle name="Comma 2 6 7 8" xfId="15937"/>
    <cellStyle name="Comma 2 6 7 9" xfId="15938"/>
    <cellStyle name="Comma 2 6 8" xfId="15939"/>
    <cellStyle name="Comma 2 6 8 10" xfId="15940"/>
    <cellStyle name="Comma 2 6 8 2" xfId="15941"/>
    <cellStyle name="Comma 2 6 8 2 2" xfId="15942"/>
    <cellStyle name="Comma 2 6 8 2 2 2" xfId="15943"/>
    <cellStyle name="Comma 2 6 8 2 2 3" xfId="15944"/>
    <cellStyle name="Comma 2 6 8 2 3" xfId="15945"/>
    <cellStyle name="Comma 2 6 8 2 4" xfId="15946"/>
    <cellStyle name="Comma 2 6 8 2 5" xfId="15947"/>
    <cellStyle name="Comma 2 6 8 2 6" xfId="15948"/>
    <cellStyle name="Comma 2 6 8 3" xfId="15949"/>
    <cellStyle name="Comma 2 6 8 3 2" xfId="15950"/>
    <cellStyle name="Comma 2 6 8 3 2 2" xfId="15951"/>
    <cellStyle name="Comma 2 6 8 3 2 3" xfId="15952"/>
    <cellStyle name="Comma 2 6 8 3 3" xfId="15953"/>
    <cellStyle name="Comma 2 6 8 3 4" xfId="15954"/>
    <cellStyle name="Comma 2 6 8 3 5" xfId="15955"/>
    <cellStyle name="Comma 2 6 8 3 6" xfId="15956"/>
    <cellStyle name="Comma 2 6 8 4" xfId="15957"/>
    <cellStyle name="Comma 2 6 8 4 2" xfId="15958"/>
    <cellStyle name="Comma 2 6 8 4 2 2" xfId="15959"/>
    <cellStyle name="Comma 2 6 8 4 3" xfId="15960"/>
    <cellStyle name="Comma 2 6 8 4 4" xfId="15961"/>
    <cellStyle name="Comma 2 6 8 4 5" xfId="15962"/>
    <cellStyle name="Comma 2 6 8 5" xfId="15963"/>
    <cellStyle name="Comma 2 6 8 5 2" xfId="15964"/>
    <cellStyle name="Comma 2 6 8 5 3" xfId="15965"/>
    <cellStyle name="Comma 2 6 8 5 4" xfId="15966"/>
    <cellStyle name="Comma 2 6 8 6" xfId="15967"/>
    <cellStyle name="Comma 2 6 8 6 2" xfId="15968"/>
    <cellStyle name="Comma 2 6 8 7" xfId="15969"/>
    <cellStyle name="Comma 2 6 8 8" xfId="15970"/>
    <cellStyle name="Comma 2 6 8 9" xfId="15971"/>
    <cellStyle name="Comma 2 6 9" xfId="15972"/>
    <cellStyle name="Comma 2 6 9 10" xfId="15973"/>
    <cellStyle name="Comma 2 6 9 2" xfId="15974"/>
    <cellStyle name="Comma 2 6 9 2 2" xfId="15975"/>
    <cellStyle name="Comma 2 6 9 2 2 2" xfId="15976"/>
    <cellStyle name="Comma 2 6 9 2 2 3" xfId="15977"/>
    <cellStyle name="Comma 2 6 9 2 3" xfId="15978"/>
    <cellStyle name="Comma 2 6 9 2 4" xfId="15979"/>
    <cellStyle name="Comma 2 6 9 2 5" xfId="15980"/>
    <cellStyle name="Comma 2 6 9 2 6" xfId="15981"/>
    <cellStyle name="Comma 2 6 9 3" xfId="15982"/>
    <cellStyle name="Comma 2 6 9 3 2" xfId="15983"/>
    <cellStyle name="Comma 2 6 9 3 2 2" xfId="15984"/>
    <cellStyle name="Comma 2 6 9 3 2 3" xfId="15985"/>
    <cellStyle name="Comma 2 6 9 3 3" xfId="15986"/>
    <cellStyle name="Comma 2 6 9 3 4" xfId="15987"/>
    <cellStyle name="Comma 2 6 9 3 5" xfId="15988"/>
    <cellStyle name="Comma 2 6 9 3 6" xfId="15989"/>
    <cellStyle name="Comma 2 6 9 4" xfId="15990"/>
    <cellStyle name="Comma 2 6 9 4 2" xfId="15991"/>
    <cellStyle name="Comma 2 6 9 4 2 2" xfId="15992"/>
    <cellStyle name="Comma 2 6 9 4 3" xfId="15993"/>
    <cellStyle name="Comma 2 6 9 4 4" xfId="15994"/>
    <cellStyle name="Comma 2 6 9 4 5" xfId="15995"/>
    <cellStyle name="Comma 2 6 9 5" xfId="15996"/>
    <cellStyle name="Comma 2 6 9 5 2" xfId="15997"/>
    <cellStyle name="Comma 2 6 9 5 3" xfId="15998"/>
    <cellStyle name="Comma 2 6 9 5 4" xfId="15999"/>
    <cellStyle name="Comma 2 6 9 6" xfId="16000"/>
    <cellStyle name="Comma 2 6 9 6 2" xfId="16001"/>
    <cellStyle name="Comma 2 6 9 7" xfId="16002"/>
    <cellStyle name="Comma 2 6 9 8" xfId="16003"/>
    <cellStyle name="Comma 2 6 9 9" xfId="16004"/>
    <cellStyle name="Comma 2 60" xfId="16005"/>
    <cellStyle name="Comma 2 61" xfId="16006"/>
    <cellStyle name="Comma 2 62" xfId="16007"/>
    <cellStyle name="Comma 2 63" xfId="16008"/>
    <cellStyle name="Comma 2 64" xfId="16009"/>
    <cellStyle name="Comma 2 7" xfId="16010"/>
    <cellStyle name="Comma 2 7 10" xfId="16011"/>
    <cellStyle name="Comma 2 7 10 10" xfId="16012"/>
    <cellStyle name="Comma 2 7 10 2" xfId="16013"/>
    <cellStyle name="Comma 2 7 10 2 2" xfId="16014"/>
    <cellStyle name="Comma 2 7 10 2 2 2" xfId="16015"/>
    <cellStyle name="Comma 2 7 10 2 2 3" xfId="16016"/>
    <cellStyle name="Comma 2 7 10 2 3" xfId="16017"/>
    <cellStyle name="Comma 2 7 10 2 4" xfId="16018"/>
    <cellStyle name="Comma 2 7 10 2 5" xfId="16019"/>
    <cellStyle name="Comma 2 7 10 2 6" xfId="16020"/>
    <cellStyle name="Comma 2 7 10 3" xfId="16021"/>
    <cellStyle name="Comma 2 7 10 3 2" xfId="16022"/>
    <cellStyle name="Comma 2 7 10 3 2 2" xfId="16023"/>
    <cellStyle name="Comma 2 7 10 3 2 3" xfId="16024"/>
    <cellStyle name="Comma 2 7 10 3 3" xfId="16025"/>
    <cellStyle name="Comma 2 7 10 3 4" xfId="16026"/>
    <cellStyle name="Comma 2 7 10 3 5" xfId="16027"/>
    <cellStyle name="Comma 2 7 10 3 6" xfId="16028"/>
    <cellStyle name="Comma 2 7 10 4" xfId="16029"/>
    <cellStyle name="Comma 2 7 10 4 2" xfId="16030"/>
    <cellStyle name="Comma 2 7 10 4 2 2" xfId="16031"/>
    <cellStyle name="Comma 2 7 10 4 3" xfId="16032"/>
    <cellStyle name="Comma 2 7 10 4 4" xfId="16033"/>
    <cellStyle name="Comma 2 7 10 4 5" xfId="16034"/>
    <cellStyle name="Comma 2 7 10 5" xfId="16035"/>
    <cellStyle name="Comma 2 7 10 5 2" xfId="16036"/>
    <cellStyle name="Comma 2 7 10 5 3" xfId="16037"/>
    <cellStyle name="Comma 2 7 10 5 4" xfId="16038"/>
    <cellStyle name="Comma 2 7 10 6" xfId="16039"/>
    <cellStyle name="Comma 2 7 10 6 2" xfId="16040"/>
    <cellStyle name="Comma 2 7 10 7" xfId="16041"/>
    <cellStyle name="Comma 2 7 10 8" xfId="16042"/>
    <cellStyle name="Comma 2 7 10 9" xfId="16043"/>
    <cellStyle name="Comma 2 7 11" xfId="16044"/>
    <cellStyle name="Comma 2 7 11 10" xfId="16045"/>
    <cellStyle name="Comma 2 7 11 2" xfId="16046"/>
    <cellStyle name="Comma 2 7 11 2 2" xfId="16047"/>
    <cellStyle name="Comma 2 7 11 2 2 2" xfId="16048"/>
    <cellStyle name="Comma 2 7 11 2 2 3" xfId="16049"/>
    <cellStyle name="Comma 2 7 11 2 3" xfId="16050"/>
    <cellStyle name="Comma 2 7 11 2 4" xfId="16051"/>
    <cellStyle name="Comma 2 7 11 2 5" xfId="16052"/>
    <cellStyle name="Comma 2 7 11 2 6" xfId="16053"/>
    <cellStyle name="Comma 2 7 11 3" xfId="16054"/>
    <cellStyle name="Comma 2 7 11 3 2" xfId="16055"/>
    <cellStyle name="Comma 2 7 11 3 2 2" xfId="16056"/>
    <cellStyle name="Comma 2 7 11 3 2 3" xfId="16057"/>
    <cellStyle name="Comma 2 7 11 3 3" xfId="16058"/>
    <cellStyle name="Comma 2 7 11 3 4" xfId="16059"/>
    <cellStyle name="Comma 2 7 11 3 5" xfId="16060"/>
    <cellStyle name="Comma 2 7 11 3 6" xfId="16061"/>
    <cellStyle name="Comma 2 7 11 4" xfId="16062"/>
    <cellStyle name="Comma 2 7 11 4 2" xfId="16063"/>
    <cellStyle name="Comma 2 7 11 4 2 2" xfId="16064"/>
    <cellStyle name="Comma 2 7 11 4 3" xfId="16065"/>
    <cellStyle name="Comma 2 7 11 4 4" xfId="16066"/>
    <cellStyle name="Comma 2 7 11 4 5" xfId="16067"/>
    <cellStyle name="Comma 2 7 11 5" xfId="16068"/>
    <cellStyle name="Comma 2 7 11 5 2" xfId="16069"/>
    <cellStyle name="Comma 2 7 11 5 3" xfId="16070"/>
    <cellStyle name="Comma 2 7 11 5 4" xfId="16071"/>
    <cellStyle name="Comma 2 7 11 6" xfId="16072"/>
    <cellStyle name="Comma 2 7 11 6 2" xfId="16073"/>
    <cellStyle name="Comma 2 7 11 7" xfId="16074"/>
    <cellStyle name="Comma 2 7 11 8" xfId="16075"/>
    <cellStyle name="Comma 2 7 11 9" xfId="16076"/>
    <cellStyle name="Comma 2 7 12" xfId="16077"/>
    <cellStyle name="Comma 2 7 12 10" xfId="16078"/>
    <cellStyle name="Comma 2 7 12 2" xfId="16079"/>
    <cellStyle name="Comma 2 7 12 2 2" xfId="16080"/>
    <cellStyle name="Comma 2 7 12 2 2 2" xfId="16081"/>
    <cellStyle name="Comma 2 7 12 2 2 3" xfId="16082"/>
    <cellStyle name="Comma 2 7 12 2 3" xfId="16083"/>
    <cellStyle name="Comma 2 7 12 2 4" xfId="16084"/>
    <cellStyle name="Comma 2 7 12 2 5" xfId="16085"/>
    <cellStyle name="Comma 2 7 12 2 6" xfId="16086"/>
    <cellStyle name="Comma 2 7 12 3" xfId="16087"/>
    <cellStyle name="Comma 2 7 12 3 2" xfId="16088"/>
    <cellStyle name="Comma 2 7 12 3 2 2" xfId="16089"/>
    <cellStyle name="Comma 2 7 12 3 2 3" xfId="16090"/>
    <cellStyle name="Comma 2 7 12 3 3" xfId="16091"/>
    <cellStyle name="Comma 2 7 12 3 4" xfId="16092"/>
    <cellStyle name="Comma 2 7 12 3 5" xfId="16093"/>
    <cellStyle name="Comma 2 7 12 3 6" xfId="16094"/>
    <cellStyle name="Comma 2 7 12 4" xfId="16095"/>
    <cellStyle name="Comma 2 7 12 4 2" xfId="16096"/>
    <cellStyle name="Comma 2 7 12 4 2 2" xfId="16097"/>
    <cellStyle name="Comma 2 7 12 4 3" xfId="16098"/>
    <cellStyle name="Comma 2 7 12 4 4" xfId="16099"/>
    <cellStyle name="Comma 2 7 12 4 5" xfId="16100"/>
    <cellStyle name="Comma 2 7 12 5" xfId="16101"/>
    <cellStyle name="Comma 2 7 12 5 2" xfId="16102"/>
    <cellStyle name="Comma 2 7 12 5 3" xfId="16103"/>
    <cellStyle name="Comma 2 7 12 5 4" xfId="16104"/>
    <cellStyle name="Comma 2 7 12 6" xfId="16105"/>
    <cellStyle name="Comma 2 7 12 6 2" xfId="16106"/>
    <cellStyle name="Comma 2 7 12 7" xfId="16107"/>
    <cellStyle name="Comma 2 7 12 8" xfId="16108"/>
    <cellStyle name="Comma 2 7 12 9" xfId="16109"/>
    <cellStyle name="Comma 2 7 13" xfId="16110"/>
    <cellStyle name="Comma 2 7 13 2" xfId="16111"/>
    <cellStyle name="Comma 2 7 13 2 2" xfId="16112"/>
    <cellStyle name="Comma 2 7 13 2 2 2" xfId="16113"/>
    <cellStyle name="Comma 2 7 13 2 2 3" xfId="16114"/>
    <cellStyle name="Comma 2 7 13 2 3" xfId="16115"/>
    <cellStyle name="Comma 2 7 13 2 4" xfId="16116"/>
    <cellStyle name="Comma 2 7 13 2 5" xfId="16117"/>
    <cellStyle name="Comma 2 7 13 2 6" xfId="16118"/>
    <cellStyle name="Comma 2 7 13 3" xfId="16119"/>
    <cellStyle name="Comma 2 7 13 3 2" xfId="16120"/>
    <cellStyle name="Comma 2 7 13 3 2 2" xfId="16121"/>
    <cellStyle name="Comma 2 7 13 3 3" xfId="16122"/>
    <cellStyle name="Comma 2 7 13 3 4" xfId="16123"/>
    <cellStyle name="Comma 2 7 13 3 5" xfId="16124"/>
    <cellStyle name="Comma 2 7 13 4" xfId="16125"/>
    <cellStyle name="Comma 2 7 13 4 2" xfId="16126"/>
    <cellStyle name="Comma 2 7 13 4 3" xfId="16127"/>
    <cellStyle name="Comma 2 7 13 4 4" xfId="16128"/>
    <cellStyle name="Comma 2 7 13 5" xfId="16129"/>
    <cellStyle name="Comma 2 7 13 5 2" xfId="16130"/>
    <cellStyle name="Comma 2 7 13 6" xfId="16131"/>
    <cellStyle name="Comma 2 7 13 7" xfId="16132"/>
    <cellStyle name="Comma 2 7 13 8" xfId="16133"/>
    <cellStyle name="Comma 2 7 13 9" xfId="16134"/>
    <cellStyle name="Comma 2 7 14" xfId="16135"/>
    <cellStyle name="Comma 2 7 14 2" xfId="16136"/>
    <cellStyle name="Comma 2 7 14 2 2" xfId="16137"/>
    <cellStyle name="Comma 2 7 14 2 2 2" xfId="16138"/>
    <cellStyle name="Comma 2 7 14 2 2 3" xfId="16139"/>
    <cellStyle name="Comma 2 7 14 2 3" xfId="16140"/>
    <cellStyle name="Comma 2 7 14 2 4" xfId="16141"/>
    <cellStyle name="Comma 2 7 14 2 5" xfId="16142"/>
    <cellStyle name="Comma 2 7 14 2 6" xfId="16143"/>
    <cellStyle name="Comma 2 7 14 3" xfId="16144"/>
    <cellStyle name="Comma 2 7 14 3 2" xfId="16145"/>
    <cellStyle name="Comma 2 7 14 3 2 2" xfId="16146"/>
    <cellStyle name="Comma 2 7 14 3 3" xfId="16147"/>
    <cellStyle name="Comma 2 7 14 3 4" xfId="16148"/>
    <cellStyle name="Comma 2 7 14 3 5" xfId="16149"/>
    <cellStyle name="Comma 2 7 14 4" xfId="16150"/>
    <cellStyle name="Comma 2 7 14 4 2" xfId="16151"/>
    <cellStyle name="Comma 2 7 14 4 3" xfId="16152"/>
    <cellStyle name="Comma 2 7 14 4 4" xfId="16153"/>
    <cellStyle name="Comma 2 7 14 5" xfId="16154"/>
    <cellStyle name="Comma 2 7 14 5 2" xfId="16155"/>
    <cellStyle name="Comma 2 7 14 6" xfId="16156"/>
    <cellStyle name="Comma 2 7 14 7" xfId="16157"/>
    <cellStyle name="Comma 2 7 14 8" xfId="16158"/>
    <cellStyle name="Comma 2 7 14 9" xfId="16159"/>
    <cellStyle name="Comma 2 7 15" xfId="16160"/>
    <cellStyle name="Comma 2 7 15 2" xfId="16161"/>
    <cellStyle name="Comma 2 7 15 2 2" xfId="16162"/>
    <cellStyle name="Comma 2 7 15 2 3" xfId="16163"/>
    <cellStyle name="Comma 2 7 15 3" xfId="16164"/>
    <cellStyle name="Comma 2 7 15 4" xfId="16165"/>
    <cellStyle name="Comma 2 7 15 5" xfId="16166"/>
    <cellStyle name="Comma 2 7 15 6" xfId="16167"/>
    <cellStyle name="Comma 2 7 16" xfId="16168"/>
    <cellStyle name="Comma 2 7 16 2" xfId="16169"/>
    <cellStyle name="Comma 2 7 16 2 2" xfId="16170"/>
    <cellStyle name="Comma 2 7 16 3" xfId="16171"/>
    <cellStyle name="Comma 2 7 16 4" xfId="16172"/>
    <cellStyle name="Comma 2 7 16 5" xfId="16173"/>
    <cellStyle name="Comma 2 7 17" xfId="16174"/>
    <cellStyle name="Comma 2 7 17 2" xfId="16175"/>
    <cellStyle name="Comma 2 7 17 2 2" xfId="16176"/>
    <cellStyle name="Comma 2 7 17 3" xfId="16177"/>
    <cellStyle name="Comma 2 7 17 4" xfId="16178"/>
    <cellStyle name="Comma 2 7 17 5" xfId="16179"/>
    <cellStyle name="Comma 2 7 18" xfId="16180"/>
    <cellStyle name="Comma 2 7 18 2" xfId="16181"/>
    <cellStyle name="Comma 2 7 19" xfId="16182"/>
    <cellStyle name="Comma 2 7 2" xfId="16183"/>
    <cellStyle name="Comma 2 7 2 10" xfId="16184"/>
    <cellStyle name="Comma 2 7 2 11" xfId="16185"/>
    <cellStyle name="Comma 2 7 2 2" xfId="16186"/>
    <cellStyle name="Comma 2 7 2 2 2" xfId="16187"/>
    <cellStyle name="Comma 2 7 2 2 2 2" xfId="16188"/>
    <cellStyle name="Comma 2 7 2 2 2 2 2" xfId="16189"/>
    <cellStyle name="Comma 2 7 2 2 2 2 3" xfId="16190"/>
    <cellStyle name="Comma 2 7 2 2 2 3" xfId="16191"/>
    <cellStyle name="Comma 2 7 2 2 2 4" xfId="16192"/>
    <cellStyle name="Comma 2 7 2 2 2 5" xfId="16193"/>
    <cellStyle name="Comma 2 7 2 2 2 6" xfId="16194"/>
    <cellStyle name="Comma 2 7 2 2 3" xfId="16195"/>
    <cellStyle name="Comma 2 7 2 2 3 2" xfId="16196"/>
    <cellStyle name="Comma 2 7 2 2 3 2 2" xfId="16197"/>
    <cellStyle name="Comma 2 7 2 2 3 3" xfId="16198"/>
    <cellStyle name="Comma 2 7 2 2 3 4" xfId="16199"/>
    <cellStyle name="Comma 2 7 2 2 3 5" xfId="16200"/>
    <cellStyle name="Comma 2 7 2 2 4" xfId="16201"/>
    <cellStyle name="Comma 2 7 2 2 4 2" xfId="16202"/>
    <cellStyle name="Comma 2 7 2 2 4 3" xfId="16203"/>
    <cellStyle name="Comma 2 7 2 2 4 4" xfId="16204"/>
    <cellStyle name="Comma 2 7 2 2 5" xfId="16205"/>
    <cellStyle name="Comma 2 7 2 2 5 2" xfId="16206"/>
    <cellStyle name="Comma 2 7 2 2 6" xfId="16207"/>
    <cellStyle name="Comma 2 7 2 2 7" xfId="16208"/>
    <cellStyle name="Comma 2 7 2 2 8" xfId="16209"/>
    <cellStyle name="Comma 2 7 2 2 9" xfId="16210"/>
    <cellStyle name="Comma 2 7 2 3" xfId="16211"/>
    <cellStyle name="Comma 2 7 2 3 2" xfId="16212"/>
    <cellStyle name="Comma 2 7 2 3 2 2" xfId="16213"/>
    <cellStyle name="Comma 2 7 2 3 2 2 2" xfId="16214"/>
    <cellStyle name="Comma 2 7 2 3 2 2 3" xfId="16215"/>
    <cellStyle name="Comma 2 7 2 3 2 3" xfId="16216"/>
    <cellStyle name="Comma 2 7 2 3 2 4" xfId="16217"/>
    <cellStyle name="Comma 2 7 2 3 2 5" xfId="16218"/>
    <cellStyle name="Comma 2 7 2 3 2 6" xfId="16219"/>
    <cellStyle name="Comma 2 7 2 3 3" xfId="16220"/>
    <cellStyle name="Comma 2 7 2 3 3 2" xfId="16221"/>
    <cellStyle name="Comma 2 7 2 3 3 2 2" xfId="16222"/>
    <cellStyle name="Comma 2 7 2 3 3 3" xfId="16223"/>
    <cellStyle name="Comma 2 7 2 3 3 4" xfId="16224"/>
    <cellStyle name="Comma 2 7 2 3 3 5" xfId="16225"/>
    <cellStyle name="Comma 2 7 2 3 4" xfId="16226"/>
    <cellStyle name="Comma 2 7 2 3 4 2" xfId="16227"/>
    <cellStyle name="Comma 2 7 2 3 4 3" xfId="16228"/>
    <cellStyle name="Comma 2 7 2 3 4 4" xfId="16229"/>
    <cellStyle name="Comma 2 7 2 3 5" xfId="16230"/>
    <cellStyle name="Comma 2 7 2 3 5 2" xfId="16231"/>
    <cellStyle name="Comma 2 7 2 3 6" xfId="16232"/>
    <cellStyle name="Comma 2 7 2 3 7" xfId="16233"/>
    <cellStyle name="Comma 2 7 2 3 8" xfId="16234"/>
    <cellStyle name="Comma 2 7 2 3 9" xfId="16235"/>
    <cellStyle name="Comma 2 7 2 4" xfId="16236"/>
    <cellStyle name="Comma 2 7 2 4 2" xfId="16237"/>
    <cellStyle name="Comma 2 7 2 4 2 2" xfId="16238"/>
    <cellStyle name="Comma 2 7 2 4 2 3" xfId="16239"/>
    <cellStyle name="Comma 2 7 2 4 3" xfId="16240"/>
    <cellStyle name="Comma 2 7 2 4 4" xfId="16241"/>
    <cellStyle name="Comma 2 7 2 4 5" xfId="16242"/>
    <cellStyle name="Comma 2 7 2 4 6" xfId="16243"/>
    <cellStyle name="Comma 2 7 2 5" xfId="16244"/>
    <cellStyle name="Comma 2 7 2 5 2" xfId="16245"/>
    <cellStyle name="Comma 2 7 2 5 2 2" xfId="16246"/>
    <cellStyle name="Comma 2 7 2 5 3" xfId="16247"/>
    <cellStyle name="Comma 2 7 2 5 4" xfId="16248"/>
    <cellStyle name="Comma 2 7 2 5 5" xfId="16249"/>
    <cellStyle name="Comma 2 7 2 6" xfId="16250"/>
    <cellStyle name="Comma 2 7 2 6 2" xfId="16251"/>
    <cellStyle name="Comma 2 7 2 6 3" xfId="16252"/>
    <cellStyle name="Comma 2 7 2 6 4" xfId="16253"/>
    <cellStyle name="Comma 2 7 2 7" xfId="16254"/>
    <cellStyle name="Comma 2 7 2 7 2" xfId="16255"/>
    <cellStyle name="Comma 2 7 2 8" xfId="16256"/>
    <cellStyle name="Comma 2 7 2 9" xfId="16257"/>
    <cellStyle name="Comma 2 7 20" xfId="16258"/>
    <cellStyle name="Comma 2 7 21" xfId="16259"/>
    <cellStyle name="Comma 2 7 22" xfId="16260"/>
    <cellStyle name="Comma 2 7 3" xfId="16261"/>
    <cellStyle name="Comma 2 7 3 10" xfId="16262"/>
    <cellStyle name="Comma 2 7 3 11" xfId="16263"/>
    <cellStyle name="Comma 2 7 3 2" xfId="16264"/>
    <cellStyle name="Comma 2 7 3 2 2" xfId="16265"/>
    <cellStyle name="Comma 2 7 3 2 2 2" xfId="16266"/>
    <cellStyle name="Comma 2 7 3 2 2 2 2" xfId="16267"/>
    <cellStyle name="Comma 2 7 3 2 2 2 3" xfId="16268"/>
    <cellStyle name="Comma 2 7 3 2 2 3" xfId="16269"/>
    <cellStyle name="Comma 2 7 3 2 2 4" xfId="16270"/>
    <cellStyle name="Comma 2 7 3 2 2 5" xfId="16271"/>
    <cellStyle name="Comma 2 7 3 2 2 6" xfId="16272"/>
    <cellStyle name="Comma 2 7 3 2 3" xfId="16273"/>
    <cellStyle name="Comma 2 7 3 2 3 2" xfId="16274"/>
    <cellStyle name="Comma 2 7 3 2 3 2 2" xfId="16275"/>
    <cellStyle name="Comma 2 7 3 2 3 3" xfId="16276"/>
    <cellStyle name="Comma 2 7 3 2 3 4" xfId="16277"/>
    <cellStyle name="Comma 2 7 3 2 3 5" xfId="16278"/>
    <cellStyle name="Comma 2 7 3 2 4" xfId="16279"/>
    <cellStyle name="Comma 2 7 3 2 4 2" xfId="16280"/>
    <cellStyle name="Comma 2 7 3 2 4 3" xfId="16281"/>
    <cellStyle name="Comma 2 7 3 2 4 4" xfId="16282"/>
    <cellStyle name="Comma 2 7 3 2 5" xfId="16283"/>
    <cellStyle name="Comma 2 7 3 2 5 2" xfId="16284"/>
    <cellStyle name="Comma 2 7 3 2 6" xfId="16285"/>
    <cellStyle name="Comma 2 7 3 2 7" xfId="16286"/>
    <cellStyle name="Comma 2 7 3 2 8" xfId="16287"/>
    <cellStyle name="Comma 2 7 3 2 9" xfId="16288"/>
    <cellStyle name="Comma 2 7 3 3" xfId="16289"/>
    <cellStyle name="Comma 2 7 3 3 2" xfId="16290"/>
    <cellStyle name="Comma 2 7 3 3 2 2" xfId="16291"/>
    <cellStyle name="Comma 2 7 3 3 2 2 2" xfId="16292"/>
    <cellStyle name="Comma 2 7 3 3 2 2 3" xfId="16293"/>
    <cellStyle name="Comma 2 7 3 3 2 3" xfId="16294"/>
    <cellStyle name="Comma 2 7 3 3 2 4" xfId="16295"/>
    <cellStyle name="Comma 2 7 3 3 2 5" xfId="16296"/>
    <cellStyle name="Comma 2 7 3 3 2 6" xfId="16297"/>
    <cellStyle name="Comma 2 7 3 3 3" xfId="16298"/>
    <cellStyle name="Comma 2 7 3 3 3 2" xfId="16299"/>
    <cellStyle name="Comma 2 7 3 3 3 2 2" xfId="16300"/>
    <cellStyle name="Comma 2 7 3 3 3 3" xfId="16301"/>
    <cellStyle name="Comma 2 7 3 3 3 4" xfId="16302"/>
    <cellStyle name="Comma 2 7 3 3 3 5" xfId="16303"/>
    <cellStyle name="Comma 2 7 3 3 4" xfId="16304"/>
    <cellStyle name="Comma 2 7 3 3 4 2" xfId="16305"/>
    <cellStyle name="Comma 2 7 3 3 4 3" xfId="16306"/>
    <cellStyle name="Comma 2 7 3 3 4 4" xfId="16307"/>
    <cellStyle name="Comma 2 7 3 3 5" xfId="16308"/>
    <cellStyle name="Comma 2 7 3 3 5 2" xfId="16309"/>
    <cellStyle name="Comma 2 7 3 3 6" xfId="16310"/>
    <cellStyle name="Comma 2 7 3 3 7" xfId="16311"/>
    <cellStyle name="Comma 2 7 3 3 8" xfId="16312"/>
    <cellStyle name="Comma 2 7 3 3 9" xfId="16313"/>
    <cellStyle name="Comma 2 7 3 4" xfId="16314"/>
    <cellStyle name="Comma 2 7 3 4 2" xfId="16315"/>
    <cellStyle name="Comma 2 7 3 4 2 2" xfId="16316"/>
    <cellStyle name="Comma 2 7 3 4 2 3" xfId="16317"/>
    <cellStyle name="Comma 2 7 3 4 3" xfId="16318"/>
    <cellStyle name="Comma 2 7 3 4 4" xfId="16319"/>
    <cellStyle name="Comma 2 7 3 4 5" xfId="16320"/>
    <cellStyle name="Comma 2 7 3 4 6" xfId="16321"/>
    <cellStyle name="Comma 2 7 3 5" xfId="16322"/>
    <cellStyle name="Comma 2 7 3 5 2" xfId="16323"/>
    <cellStyle name="Comma 2 7 3 5 2 2" xfId="16324"/>
    <cellStyle name="Comma 2 7 3 5 3" xfId="16325"/>
    <cellStyle name="Comma 2 7 3 5 4" xfId="16326"/>
    <cellStyle name="Comma 2 7 3 5 5" xfId="16327"/>
    <cellStyle name="Comma 2 7 3 6" xfId="16328"/>
    <cellStyle name="Comma 2 7 3 6 2" xfId="16329"/>
    <cellStyle name="Comma 2 7 3 6 3" xfId="16330"/>
    <cellStyle name="Comma 2 7 3 6 4" xfId="16331"/>
    <cellStyle name="Comma 2 7 3 7" xfId="16332"/>
    <cellStyle name="Comma 2 7 3 7 2" xfId="16333"/>
    <cellStyle name="Comma 2 7 3 8" xfId="16334"/>
    <cellStyle name="Comma 2 7 3 9" xfId="16335"/>
    <cellStyle name="Comma 2 7 4" xfId="16336"/>
    <cellStyle name="Comma 2 7 4 10" xfId="16337"/>
    <cellStyle name="Comma 2 7 4 11" xfId="16338"/>
    <cellStyle name="Comma 2 7 4 2" xfId="16339"/>
    <cellStyle name="Comma 2 7 4 2 2" xfId="16340"/>
    <cellStyle name="Comma 2 7 4 2 2 2" xfId="16341"/>
    <cellStyle name="Comma 2 7 4 2 2 2 2" xfId="16342"/>
    <cellStyle name="Comma 2 7 4 2 2 2 3" xfId="16343"/>
    <cellStyle name="Comma 2 7 4 2 2 3" xfId="16344"/>
    <cellStyle name="Comma 2 7 4 2 2 4" xfId="16345"/>
    <cellStyle name="Comma 2 7 4 2 2 5" xfId="16346"/>
    <cellStyle name="Comma 2 7 4 2 2 6" xfId="16347"/>
    <cellStyle name="Comma 2 7 4 2 3" xfId="16348"/>
    <cellStyle name="Comma 2 7 4 2 3 2" xfId="16349"/>
    <cellStyle name="Comma 2 7 4 2 3 2 2" xfId="16350"/>
    <cellStyle name="Comma 2 7 4 2 3 3" xfId="16351"/>
    <cellStyle name="Comma 2 7 4 2 3 4" xfId="16352"/>
    <cellStyle name="Comma 2 7 4 2 3 5" xfId="16353"/>
    <cellStyle name="Comma 2 7 4 2 4" xfId="16354"/>
    <cellStyle name="Comma 2 7 4 2 4 2" xfId="16355"/>
    <cellStyle name="Comma 2 7 4 2 4 3" xfId="16356"/>
    <cellStyle name="Comma 2 7 4 2 4 4" xfId="16357"/>
    <cellStyle name="Comma 2 7 4 2 5" xfId="16358"/>
    <cellStyle name="Comma 2 7 4 2 5 2" xfId="16359"/>
    <cellStyle name="Comma 2 7 4 2 6" xfId="16360"/>
    <cellStyle name="Comma 2 7 4 2 7" xfId="16361"/>
    <cellStyle name="Comma 2 7 4 2 8" xfId="16362"/>
    <cellStyle name="Comma 2 7 4 2 9" xfId="16363"/>
    <cellStyle name="Comma 2 7 4 3" xfId="16364"/>
    <cellStyle name="Comma 2 7 4 3 2" xfId="16365"/>
    <cellStyle name="Comma 2 7 4 3 2 2" xfId="16366"/>
    <cellStyle name="Comma 2 7 4 3 2 2 2" xfId="16367"/>
    <cellStyle name="Comma 2 7 4 3 2 2 3" xfId="16368"/>
    <cellStyle name="Comma 2 7 4 3 2 3" xfId="16369"/>
    <cellStyle name="Comma 2 7 4 3 2 4" xfId="16370"/>
    <cellStyle name="Comma 2 7 4 3 2 5" xfId="16371"/>
    <cellStyle name="Comma 2 7 4 3 2 6" xfId="16372"/>
    <cellStyle name="Comma 2 7 4 3 3" xfId="16373"/>
    <cellStyle name="Comma 2 7 4 3 3 2" xfId="16374"/>
    <cellStyle name="Comma 2 7 4 3 3 2 2" xfId="16375"/>
    <cellStyle name="Comma 2 7 4 3 3 3" xfId="16376"/>
    <cellStyle name="Comma 2 7 4 3 3 4" xfId="16377"/>
    <cellStyle name="Comma 2 7 4 3 3 5" xfId="16378"/>
    <cellStyle name="Comma 2 7 4 3 4" xfId="16379"/>
    <cellStyle name="Comma 2 7 4 3 4 2" xfId="16380"/>
    <cellStyle name="Comma 2 7 4 3 4 3" xfId="16381"/>
    <cellStyle name="Comma 2 7 4 3 4 4" xfId="16382"/>
    <cellStyle name="Comma 2 7 4 3 5" xfId="16383"/>
    <cellStyle name="Comma 2 7 4 3 5 2" xfId="16384"/>
    <cellStyle name="Comma 2 7 4 3 6" xfId="16385"/>
    <cellStyle name="Comma 2 7 4 3 7" xfId="16386"/>
    <cellStyle name="Comma 2 7 4 3 8" xfId="16387"/>
    <cellStyle name="Comma 2 7 4 3 9" xfId="16388"/>
    <cellStyle name="Comma 2 7 4 4" xfId="16389"/>
    <cellStyle name="Comma 2 7 4 4 2" xfId="16390"/>
    <cellStyle name="Comma 2 7 4 4 2 2" xfId="16391"/>
    <cellStyle name="Comma 2 7 4 4 2 3" xfId="16392"/>
    <cellStyle name="Comma 2 7 4 4 3" xfId="16393"/>
    <cellStyle name="Comma 2 7 4 4 4" xfId="16394"/>
    <cellStyle name="Comma 2 7 4 4 5" xfId="16395"/>
    <cellStyle name="Comma 2 7 4 4 6" xfId="16396"/>
    <cellStyle name="Comma 2 7 4 5" xfId="16397"/>
    <cellStyle name="Comma 2 7 4 5 2" xfId="16398"/>
    <cellStyle name="Comma 2 7 4 5 2 2" xfId="16399"/>
    <cellStyle name="Comma 2 7 4 5 3" xfId="16400"/>
    <cellStyle name="Comma 2 7 4 5 4" xfId="16401"/>
    <cellStyle name="Comma 2 7 4 5 5" xfId="16402"/>
    <cellStyle name="Comma 2 7 4 6" xfId="16403"/>
    <cellStyle name="Comma 2 7 4 6 2" xfId="16404"/>
    <cellStyle name="Comma 2 7 4 6 3" xfId="16405"/>
    <cellStyle name="Comma 2 7 4 6 4" xfId="16406"/>
    <cellStyle name="Comma 2 7 4 7" xfId="16407"/>
    <cellStyle name="Comma 2 7 4 7 2" xfId="16408"/>
    <cellStyle name="Comma 2 7 4 8" xfId="16409"/>
    <cellStyle name="Comma 2 7 4 9" xfId="16410"/>
    <cellStyle name="Comma 2 7 5" xfId="16411"/>
    <cellStyle name="Comma 2 7 5 10" xfId="16412"/>
    <cellStyle name="Comma 2 7 5 11" xfId="16413"/>
    <cellStyle name="Comma 2 7 5 2" xfId="16414"/>
    <cellStyle name="Comma 2 7 5 2 2" xfId="16415"/>
    <cellStyle name="Comma 2 7 5 2 2 2" xfId="16416"/>
    <cellStyle name="Comma 2 7 5 2 2 2 2" xfId="16417"/>
    <cellStyle name="Comma 2 7 5 2 2 2 3" xfId="16418"/>
    <cellStyle name="Comma 2 7 5 2 2 3" xfId="16419"/>
    <cellStyle name="Comma 2 7 5 2 2 4" xfId="16420"/>
    <cellStyle name="Comma 2 7 5 2 2 5" xfId="16421"/>
    <cellStyle name="Comma 2 7 5 2 2 6" xfId="16422"/>
    <cellStyle name="Comma 2 7 5 2 3" xfId="16423"/>
    <cellStyle name="Comma 2 7 5 2 3 2" xfId="16424"/>
    <cellStyle name="Comma 2 7 5 2 3 2 2" xfId="16425"/>
    <cellStyle name="Comma 2 7 5 2 3 3" xfId="16426"/>
    <cellStyle name="Comma 2 7 5 2 3 4" xfId="16427"/>
    <cellStyle name="Comma 2 7 5 2 3 5" xfId="16428"/>
    <cellStyle name="Comma 2 7 5 2 4" xfId="16429"/>
    <cellStyle name="Comma 2 7 5 2 4 2" xfId="16430"/>
    <cellStyle name="Comma 2 7 5 2 4 3" xfId="16431"/>
    <cellStyle name="Comma 2 7 5 2 4 4" xfId="16432"/>
    <cellStyle name="Comma 2 7 5 2 5" xfId="16433"/>
    <cellStyle name="Comma 2 7 5 2 5 2" xfId="16434"/>
    <cellStyle name="Comma 2 7 5 2 6" xfId="16435"/>
    <cellStyle name="Comma 2 7 5 2 7" xfId="16436"/>
    <cellStyle name="Comma 2 7 5 2 8" xfId="16437"/>
    <cellStyle name="Comma 2 7 5 2 9" xfId="16438"/>
    <cellStyle name="Comma 2 7 5 3" xfId="16439"/>
    <cellStyle name="Comma 2 7 5 3 2" xfId="16440"/>
    <cellStyle name="Comma 2 7 5 3 2 2" xfId="16441"/>
    <cellStyle name="Comma 2 7 5 3 2 2 2" xfId="16442"/>
    <cellStyle name="Comma 2 7 5 3 2 2 3" xfId="16443"/>
    <cellStyle name="Comma 2 7 5 3 2 3" xfId="16444"/>
    <cellStyle name="Comma 2 7 5 3 2 4" xfId="16445"/>
    <cellStyle name="Comma 2 7 5 3 2 5" xfId="16446"/>
    <cellStyle name="Comma 2 7 5 3 2 6" xfId="16447"/>
    <cellStyle name="Comma 2 7 5 3 3" xfId="16448"/>
    <cellStyle name="Comma 2 7 5 3 3 2" xfId="16449"/>
    <cellStyle name="Comma 2 7 5 3 3 2 2" xfId="16450"/>
    <cellStyle name="Comma 2 7 5 3 3 3" xfId="16451"/>
    <cellStyle name="Comma 2 7 5 3 3 4" xfId="16452"/>
    <cellStyle name="Comma 2 7 5 3 3 5" xfId="16453"/>
    <cellStyle name="Comma 2 7 5 3 4" xfId="16454"/>
    <cellStyle name="Comma 2 7 5 3 4 2" xfId="16455"/>
    <cellStyle name="Comma 2 7 5 3 4 3" xfId="16456"/>
    <cellStyle name="Comma 2 7 5 3 4 4" xfId="16457"/>
    <cellStyle name="Comma 2 7 5 3 5" xfId="16458"/>
    <cellStyle name="Comma 2 7 5 3 5 2" xfId="16459"/>
    <cellStyle name="Comma 2 7 5 3 6" xfId="16460"/>
    <cellStyle name="Comma 2 7 5 3 7" xfId="16461"/>
    <cellStyle name="Comma 2 7 5 3 8" xfId="16462"/>
    <cellStyle name="Comma 2 7 5 3 9" xfId="16463"/>
    <cellStyle name="Comma 2 7 5 4" xfId="16464"/>
    <cellStyle name="Comma 2 7 5 4 2" xfId="16465"/>
    <cellStyle name="Comma 2 7 5 4 2 2" xfId="16466"/>
    <cellStyle name="Comma 2 7 5 4 2 3" xfId="16467"/>
    <cellStyle name="Comma 2 7 5 4 3" xfId="16468"/>
    <cellStyle name="Comma 2 7 5 4 4" xfId="16469"/>
    <cellStyle name="Comma 2 7 5 4 5" xfId="16470"/>
    <cellStyle name="Comma 2 7 5 4 6" xfId="16471"/>
    <cellStyle name="Comma 2 7 5 5" xfId="16472"/>
    <cellStyle name="Comma 2 7 5 5 2" xfId="16473"/>
    <cellStyle name="Comma 2 7 5 5 2 2" xfId="16474"/>
    <cellStyle name="Comma 2 7 5 5 3" xfId="16475"/>
    <cellStyle name="Comma 2 7 5 5 4" xfId="16476"/>
    <cellStyle name="Comma 2 7 5 5 5" xfId="16477"/>
    <cellStyle name="Comma 2 7 5 6" xfId="16478"/>
    <cellStyle name="Comma 2 7 5 6 2" xfId="16479"/>
    <cellStyle name="Comma 2 7 5 6 3" xfId="16480"/>
    <cellStyle name="Comma 2 7 5 6 4" xfId="16481"/>
    <cellStyle name="Comma 2 7 5 7" xfId="16482"/>
    <cellStyle name="Comma 2 7 5 7 2" xfId="16483"/>
    <cellStyle name="Comma 2 7 5 8" xfId="16484"/>
    <cellStyle name="Comma 2 7 5 9" xfId="16485"/>
    <cellStyle name="Comma 2 7 6" xfId="16486"/>
    <cellStyle name="Comma 2 7 6 10" xfId="16487"/>
    <cellStyle name="Comma 2 7 6 11" xfId="16488"/>
    <cellStyle name="Comma 2 7 6 2" xfId="16489"/>
    <cellStyle name="Comma 2 7 6 2 2" xfId="16490"/>
    <cellStyle name="Comma 2 7 6 2 2 2" xfId="16491"/>
    <cellStyle name="Comma 2 7 6 2 2 2 2" xfId="16492"/>
    <cellStyle name="Comma 2 7 6 2 2 2 3" xfId="16493"/>
    <cellStyle name="Comma 2 7 6 2 2 3" xfId="16494"/>
    <cellStyle name="Comma 2 7 6 2 2 4" xfId="16495"/>
    <cellStyle name="Comma 2 7 6 2 2 5" xfId="16496"/>
    <cellStyle name="Comma 2 7 6 2 2 6" xfId="16497"/>
    <cellStyle name="Comma 2 7 6 2 3" xfId="16498"/>
    <cellStyle name="Comma 2 7 6 2 3 2" xfId="16499"/>
    <cellStyle name="Comma 2 7 6 2 3 2 2" xfId="16500"/>
    <cellStyle name="Comma 2 7 6 2 3 3" xfId="16501"/>
    <cellStyle name="Comma 2 7 6 2 3 4" xfId="16502"/>
    <cellStyle name="Comma 2 7 6 2 3 5" xfId="16503"/>
    <cellStyle name="Comma 2 7 6 2 4" xfId="16504"/>
    <cellStyle name="Comma 2 7 6 2 4 2" xfId="16505"/>
    <cellStyle name="Comma 2 7 6 2 4 3" xfId="16506"/>
    <cellStyle name="Comma 2 7 6 2 4 4" xfId="16507"/>
    <cellStyle name="Comma 2 7 6 2 5" xfId="16508"/>
    <cellStyle name="Comma 2 7 6 2 5 2" xfId="16509"/>
    <cellStyle name="Comma 2 7 6 2 6" xfId="16510"/>
    <cellStyle name="Comma 2 7 6 2 7" xfId="16511"/>
    <cellStyle name="Comma 2 7 6 2 8" xfId="16512"/>
    <cellStyle name="Comma 2 7 6 2 9" xfId="16513"/>
    <cellStyle name="Comma 2 7 6 3" xfId="16514"/>
    <cellStyle name="Comma 2 7 6 3 2" xfId="16515"/>
    <cellStyle name="Comma 2 7 6 3 2 2" xfId="16516"/>
    <cellStyle name="Comma 2 7 6 3 2 2 2" xfId="16517"/>
    <cellStyle name="Comma 2 7 6 3 2 2 3" xfId="16518"/>
    <cellStyle name="Comma 2 7 6 3 2 3" xfId="16519"/>
    <cellStyle name="Comma 2 7 6 3 2 4" xfId="16520"/>
    <cellStyle name="Comma 2 7 6 3 2 5" xfId="16521"/>
    <cellStyle name="Comma 2 7 6 3 2 6" xfId="16522"/>
    <cellStyle name="Comma 2 7 6 3 3" xfId="16523"/>
    <cellStyle name="Comma 2 7 6 3 3 2" xfId="16524"/>
    <cellStyle name="Comma 2 7 6 3 3 2 2" xfId="16525"/>
    <cellStyle name="Comma 2 7 6 3 3 3" xfId="16526"/>
    <cellStyle name="Comma 2 7 6 3 3 4" xfId="16527"/>
    <cellStyle name="Comma 2 7 6 3 3 5" xfId="16528"/>
    <cellStyle name="Comma 2 7 6 3 4" xfId="16529"/>
    <cellStyle name="Comma 2 7 6 3 4 2" xfId="16530"/>
    <cellStyle name="Comma 2 7 6 3 4 3" xfId="16531"/>
    <cellStyle name="Comma 2 7 6 3 4 4" xfId="16532"/>
    <cellStyle name="Comma 2 7 6 3 5" xfId="16533"/>
    <cellStyle name="Comma 2 7 6 3 5 2" xfId="16534"/>
    <cellStyle name="Comma 2 7 6 3 6" xfId="16535"/>
    <cellStyle name="Comma 2 7 6 3 7" xfId="16536"/>
    <cellStyle name="Comma 2 7 6 3 8" xfId="16537"/>
    <cellStyle name="Comma 2 7 6 3 9" xfId="16538"/>
    <cellStyle name="Comma 2 7 6 4" xfId="16539"/>
    <cellStyle name="Comma 2 7 6 4 2" xfId="16540"/>
    <cellStyle name="Comma 2 7 6 4 2 2" xfId="16541"/>
    <cellStyle name="Comma 2 7 6 4 2 3" xfId="16542"/>
    <cellStyle name="Comma 2 7 6 4 3" xfId="16543"/>
    <cellStyle name="Comma 2 7 6 4 4" xfId="16544"/>
    <cellStyle name="Comma 2 7 6 4 5" xfId="16545"/>
    <cellStyle name="Comma 2 7 6 4 6" xfId="16546"/>
    <cellStyle name="Comma 2 7 6 5" xfId="16547"/>
    <cellStyle name="Comma 2 7 6 5 2" xfId="16548"/>
    <cellStyle name="Comma 2 7 6 5 2 2" xfId="16549"/>
    <cellStyle name="Comma 2 7 6 5 3" xfId="16550"/>
    <cellStyle name="Comma 2 7 6 5 4" xfId="16551"/>
    <cellStyle name="Comma 2 7 6 5 5" xfId="16552"/>
    <cellStyle name="Comma 2 7 6 6" xfId="16553"/>
    <cellStyle name="Comma 2 7 6 6 2" xfId="16554"/>
    <cellStyle name="Comma 2 7 6 6 3" xfId="16555"/>
    <cellStyle name="Comma 2 7 6 6 4" xfId="16556"/>
    <cellStyle name="Comma 2 7 6 7" xfId="16557"/>
    <cellStyle name="Comma 2 7 6 7 2" xfId="16558"/>
    <cellStyle name="Comma 2 7 6 8" xfId="16559"/>
    <cellStyle name="Comma 2 7 6 9" xfId="16560"/>
    <cellStyle name="Comma 2 7 7" xfId="16561"/>
    <cellStyle name="Comma 2 7 7 10" xfId="16562"/>
    <cellStyle name="Comma 2 7 7 11" xfId="16563"/>
    <cellStyle name="Comma 2 7 7 2" xfId="16564"/>
    <cellStyle name="Comma 2 7 7 2 2" xfId="16565"/>
    <cellStyle name="Comma 2 7 7 2 2 2" xfId="16566"/>
    <cellStyle name="Comma 2 7 7 2 2 2 2" xfId="16567"/>
    <cellStyle name="Comma 2 7 7 2 2 2 3" xfId="16568"/>
    <cellStyle name="Comma 2 7 7 2 2 3" xfId="16569"/>
    <cellStyle name="Comma 2 7 7 2 2 4" xfId="16570"/>
    <cellStyle name="Comma 2 7 7 2 2 5" xfId="16571"/>
    <cellStyle name="Comma 2 7 7 2 2 6" xfId="16572"/>
    <cellStyle name="Comma 2 7 7 2 3" xfId="16573"/>
    <cellStyle name="Comma 2 7 7 2 3 2" xfId="16574"/>
    <cellStyle name="Comma 2 7 7 2 3 2 2" xfId="16575"/>
    <cellStyle name="Comma 2 7 7 2 3 3" xfId="16576"/>
    <cellStyle name="Comma 2 7 7 2 3 4" xfId="16577"/>
    <cellStyle name="Comma 2 7 7 2 3 5" xfId="16578"/>
    <cellStyle name="Comma 2 7 7 2 4" xfId="16579"/>
    <cellStyle name="Comma 2 7 7 2 4 2" xfId="16580"/>
    <cellStyle name="Comma 2 7 7 2 4 3" xfId="16581"/>
    <cellStyle name="Comma 2 7 7 2 4 4" xfId="16582"/>
    <cellStyle name="Comma 2 7 7 2 5" xfId="16583"/>
    <cellStyle name="Comma 2 7 7 2 5 2" xfId="16584"/>
    <cellStyle name="Comma 2 7 7 2 6" xfId="16585"/>
    <cellStyle name="Comma 2 7 7 2 7" xfId="16586"/>
    <cellStyle name="Comma 2 7 7 2 8" xfId="16587"/>
    <cellStyle name="Comma 2 7 7 2 9" xfId="16588"/>
    <cellStyle name="Comma 2 7 7 3" xfId="16589"/>
    <cellStyle name="Comma 2 7 7 3 2" xfId="16590"/>
    <cellStyle name="Comma 2 7 7 3 2 2" xfId="16591"/>
    <cellStyle name="Comma 2 7 7 3 2 2 2" xfId="16592"/>
    <cellStyle name="Comma 2 7 7 3 2 2 3" xfId="16593"/>
    <cellStyle name="Comma 2 7 7 3 2 3" xfId="16594"/>
    <cellStyle name="Comma 2 7 7 3 2 4" xfId="16595"/>
    <cellStyle name="Comma 2 7 7 3 2 5" xfId="16596"/>
    <cellStyle name="Comma 2 7 7 3 2 6" xfId="16597"/>
    <cellStyle name="Comma 2 7 7 3 3" xfId="16598"/>
    <cellStyle name="Comma 2 7 7 3 3 2" xfId="16599"/>
    <cellStyle name="Comma 2 7 7 3 3 2 2" xfId="16600"/>
    <cellStyle name="Comma 2 7 7 3 3 3" xfId="16601"/>
    <cellStyle name="Comma 2 7 7 3 3 4" xfId="16602"/>
    <cellStyle name="Comma 2 7 7 3 3 5" xfId="16603"/>
    <cellStyle name="Comma 2 7 7 3 4" xfId="16604"/>
    <cellStyle name="Comma 2 7 7 3 4 2" xfId="16605"/>
    <cellStyle name="Comma 2 7 7 3 4 3" xfId="16606"/>
    <cellStyle name="Comma 2 7 7 3 4 4" xfId="16607"/>
    <cellStyle name="Comma 2 7 7 3 5" xfId="16608"/>
    <cellStyle name="Comma 2 7 7 3 5 2" xfId="16609"/>
    <cellStyle name="Comma 2 7 7 3 6" xfId="16610"/>
    <cellStyle name="Comma 2 7 7 3 7" xfId="16611"/>
    <cellStyle name="Comma 2 7 7 3 8" xfId="16612"/>
    <cellStyle name="Comma 2 7 7 3 9" xfId="16613"/>
    <cellStyle name="Comma 2 7 7 4" xfId="16614"/>
    <cellStyle name="Comma 2 7 7 4 2" xfId="16615"/>
    <cellStyle name="Comma 2 7 7 4 2 2" xfId="16616"/>
    <cellStyle name="Comma 2 7 7 4 2 3" xfId="16617"/>
    <cellStyle name="Comma 2 7 7 4 3" xfId="16618"/>
    <cellStyle name="Comma 2 7 7 4 4" xfId="16619"/>
    <cellStyle name="Comma 2 7 7 4 5" xfId="16620"/>
    <cellStyle name="Comma 2 7 7 4 6" xfId="16621"/>
    <cellStyle name="Comma 2 7 7 5" xfId="16622"/>
    <cellStyle name="Comma 2 7 7 5 2" xfId="16623"/>
    <cellStyle name="Comma 2 7 7 5 2 2" xfId="16624"/>
    <cellStyle name="Comma 2 7 7 5 3" xfId="16625"/>
    <cellStyle name="Comma 2 7 7 5 4" xfId="16626"/>
    <cellStyle name="Comma 2 7 7 5 5" xfId="16627"/>
    <cellStyle name="Comma 2 7 7 6" xfId="16628"/>
    <cellStyle name="Comma 2 7 7 6 2" xfId="16629"/>
    <cellStyle name="Comma 2 7 7 6 3" xfId="16630"/>
    <cellStyle name="Comma 2 7 7 6 4" xfId="16631"/>
    <cellStyle name="Comma 2 7 7 7" xfId="16632"/>
    <cellStyle name="Comma 2 7 7 7 2" xfId="16633"/>
    <cellStyle name="Comma 2 7 7 8" xfId="16634"/>
    <cellStyle name="Comma 2 7 7 9" xfId="16635"/>
    <cellStyle name="Comma 2 7 8" xfId="16636"/>
    <cellStyle name="Comma 2 7 8 10" xfId="16637"/>
    <cellStyle name="Comma 2 7 8 2" xfId="16638"/>
    <cellStyle name="Comma 2 7 8 2 2" xfId="16639"/>
    <cellStyle name="Comma 2 7 8 2 2 2" xfId="16640"/>
    <cellStyle name="Comma 2 7 8 2 2 3" xfId="16641"/>
    <cellStyle name="Comma 2 7 8 2 3" xfId="16642"/>
    <cellStyle name="Comma 2 7 8 2 4" xfId="16643"/>
    <cellStyle name="Comma 2 7 8 2 5" xfId="16644"/>
    <cellStyle name="Comma 2 7 8 2 6" xfId="16645"/>
    <cellStyle name="Comma 2 7 8 3" xfId="16646"/>
    <cellStyle name="Comma 2 7 8 3 2" xfId="16647"/>
    <cellStyle name="Comma 2 7 8 3 2 2" xfId="16648"/>
    <cellStyle name="Comma 2 7 8 3 2 3" xfId="16649"/>
    <cellStyle name="Comma 2 7 8 3 3" xfId="16650"/>
    <cellStyle name="Comma 2 7 8 3 4" xfId="16651"/>
    <cellStyle name="Comma 2 7 8 3 5" xfId="16652"/>
    <cellStyle name="Comma 2 7 8 3 6" xfId="16653"/>
    <cellStyle name="Comma 2 7 8 4" xfId="16654"/>
    <cellStyle name="Comma 2 7 8 4 2" xfId="16655"/>
    <cellStyle name="Comma 2 7 8 4 2 2" xfId="16656"/>
    <cellStyle name="Comma 2 7 8 4 3" xfId="16657"/>
    <cellStyle name="Comma 2 7 8 4 4" xfId="16658"/>
    <cellStyle name="Comma 2 7 8 4 5" xfId="16659"/>
    <cellStyle name="Comma 2 7 8 5" xfId="16660"/>
    <cellStyle name="Comma 2 7 8 5 2" xfId="16661"/>
    <cellStyle name="Comma 2 7 8 5 3" xfId="16662"/>
    <cellStyle name="Comma 2 7 8 5 4" xfId="16663"/>
    <cellStyle name="Comma 2 7 8 6" xfId="16664"/>
    <cellStyle name="Comma 2 7 8 6 2" xfId="16665"/>
    <cellStyle name="Comma 2 7 8 7" xfId="16666"/>
    <cellStyle name="Comma 2 7 8 8" xfId="16667"/>
    <cellStyle name="Comma 2 7 8 9" xfId="16668"/>
    <cellStyle name="Comma 2 7 9" xfId="16669"/>
    <cellStyle name="Comma 2 7 9 10" xfId="16670"/>
    <cellStyle name="Comma 2 7 9 2" xfId="16671"/>
    <cellStyle name="Comma 2 7 9 2 2" xfId="16672"/>
    <cellStyle name="Comma 2 7 9 2 2 2" xfId="16673"/>
    <cellStyle name="Comma 2 7 9 2 2 3" xfId="16674"/>
    <cellStyle name="Comma 2 7 9 2 3" xfId="16675"/>
    <cellStyle name="Comma 2 7 9 2 4" xfId="16676"/>
    <cellStyle name="Comma 2 7 9 2 5" xfId="16677"/>
    <cellStyle name="Comma 2 7 9 2 6" xfId="16678"/>
    <cellStyle name="Comma 2 7 9 3" xfId="16679"/>
    <cellStyle name="Comma 2 7 9 3 2" xfId="16680"/>
    <cellStyle name="Comma 2 7 9 3 2 2" xfId="16681"/>
    <cellStyle name="Comma 2 7 9 3 2 3" xfId="16682"/>
    <cellStyle name="Comma 2 7 9 3 3" xfId="16683"/>
    <cellStyle name="Comma 2 7 9 3 4" xfId="16684"/>
    <cellStyle name="Comma 2 7 9 3 5" xfId="16685"/>
    <cellStyle name="Comma 2 7 9 3 6" xfId="16686"/>
    <cellStyle name="Comma 2 7 9 4" xfId="16687"/>
    <cellStyle name="Comma 2 7 9 4 2" xfId="16688"/>
    <cellStyle name="Comma 2 7 9 4 2 2" xfId="16689"/>
    <cellStyle name="Comma 2 7 9 4 3" xfId="16690"/>
    <cellStyle name="Comma 2 7 9 4 4" xfId="16691"/>
    <cellStyle name="Comma 2 7 9 4 5" xfId="16692"/>
    <cellStyle name="Comma 2 7 9 5" xfId="16693"/>
    <cellStyle name="Comma 2 7 9 5 2" xfId="16694"/>
    <cellStyle name="Comma 2 7 9 5 3" xfId="16695"/>
    <cellStyle name="Comma 2 7 9 5 4" xfId="16696"/>
    <cellStyle name="Comma 2 7 9 6" xfId="16697"/>
    <cellStyle name="Comma 2 7 9 6 2" xfId="16698"/>
    <cellStyle name="Comma 2 7 9 7" xfId="16699"/>
    <cellStyle name="Comma 2 7 9 8" xfId="16700"/>
    <cellStyle name="Comma 2 7 9 9" xfId="16701"/>
    <cellStyle name="Comma 2 8" xfId="16702"/>
    <cellStyle name="Comma 2 8 10" xfId="16703"/>
    <cellStyle name="Comma 2 8 10 10" xfId="16704"/>
    <cellStyle name="Comma 2 8 10 2" xfId="16705"/>
    <cellStyle name="Comma 2 8 10 2 2" xfId="16706"/>
    <cellStyle name="Comma 2 8 10 2 2 2" xfId="16707"/>
    <cellStyle name="Comma 2 8 10 2 2 3" xfId="16708"/>
    <cellStyle name="Comma 2 8 10 2 3" xfId="16709"/>
    <cellStyle name="Comma 2 8 10 2 4" xfId="16710"/>
    <cellStyle name="Comma 2 8 10 2 5" xfId="16711"/>
    <cellStyle name="Comma 2 8 10 2 6" xfId="16712"/>
    <cellStyle name="Comma 2 8 10 3" xfId="16713"/>
    <cellStyle name="Comma 2 8 10 3 2" xfId="16714"/>
    <cellStyle name="Comma 2 8 10 3 2 2" xfId="16715"/>
    <cellStyle name="Comma 2 8 10 3 2 3" xfId="16716"/>
    <cellStyle name="Comma 2 8 10 3 3" xfId="16717"/>
    <cellStyle name="Comma 2 8 10 3 4" xfId="16718"/>
    <cellStyle name="Comma 2 8 10 3 5" xfId="16719"/>
    <cellStyle name="Comma 2 8 10 3 6" xfId="16720"/>
    <cellStyle name="Comma 2 8 10 4" xfId="16721"/>
    <cellStyle name="Comma 2 8 10 4 2" xfId="16722"/>
    <cellStyle name="Comma 2 8 10 4 2 2" xfId="16723"/>
    <cellStyle name="Comma 2 8 10 4 3" xfId="16724"/>
    <cellStyle name="Comma 2 8 10 4 4" xfId="16725"/>
    <cellStyle name="Comma 2 8 10 4 5" xfId="16726"/>
    <cellStyle name="Comma 2 8 10 5" xfId="16727"/>
    <cellStyle name="Comma 2 8 10 5 2" xfId="16728"/>
    <cellStyle name="Comma 2 8 10 5 3" xfId="16729"/>
    <cellStyle name="Comma 2 8 10 5 4" xfId="16730"/>
    <cellStyle name="Comma 2 8 10 6" xfId="16731"/>
    <cellStyle name="Comma 2 8 10 6 2" xfId="16732"/>
    <cellStyle name="Comma 2 8 10 7" xfId="16733"/>
    <cellStyle name="Comma 2 8 10 8" xfId="16734"/>
    <cellStyle name="Comma 2 8 10 9" xfId="16735"/>
    <cellStyle name="Comma 2 8 11" xfId="16736"/>
    <cellStyle name="Comma 2 8 11 10" xfId="16737"/>
    <cellStyle name="Comma 2 8 11 2" xfId="16738"/>
    <cellStyle name="Comma 2 8 11 2 2" xfId="16739"/>
    <cellStyle name="Comma 2 8 11 2 2 2" xfId="16740"/>
    <cellStyle name="Comma 2 8 11 2 2 3" xfId="16741"/>
    <cellStyle name="Comma 2 8 11 2 3" xfId="16742"/>
    <cellStyle name="Comma 2 8 11 2 4" xfId="16743"/>
    <cellStyle name="Comma 2 8 11 2 5" xfId="16744"/>
    <cellStyle name="Comma 2 8 11 2 6" xfId="16745"/>
    <cellStyle name="Comma 2 8 11 3" xfId="16746"/>
    <cellStyle name="Comma 2 8 11 3 2" xfId="16747"/>
    <cellStyle name="Comma 2 8 11 3 2 2" xfId="16748"/>
    <cellStyle name="Comma 2 8 11 3 2 3" xfId="16749"/>
    <cellStyle name="Comma 2 8 11 3 3" xfId="16750"/>
    <cellStyle name="Comma 2 8 11 3 4" xfId="16751"/>
    <cellStyle name="Comma 2 8 11 3 5" xfId="16752"/>
    <cellStyle name="Comma 2 8 11 3 6" xfId="16753"/>
    <cellStyle name="Comma 2 8 11 4" xfId="16754"/>
    <cellStyle name="Comma 2 8 11 4 2" xfId="16755"/>
    <cellStyle name="Comma 2 8 11 4 2 2" xfId="16756"/>
    <cellStyle name="Comma 2 8 11 4 3" xfId="16757"/>
    <cellStyle name="Comma 2 8 11 4 4" xfId="16758"/>
    <cellStyle name="Comma 2 8 11 4 5" xfId="16759"/>
    <cellStyle name="Comma 2 8 11 5" xfId="16760"/>
    <cellStyle name="Comma 2 8 11 5 2" xfId="16761"/>
    <cellStyle name="Comma 2 8 11 5 3" xfId="16762"/>
    <cellStyle name="Comma 2 8 11 5 4" xfId="16763"/>
    <cellStyle name="Comma 2 8 11 6" xfId="16764"/>
    <cellStyle name="Comma 2 8 11 6 2" xfId="16765"/>
    <cellStyle name="Comma 2 8 11 7" xfId="16766"/>
    <cellStyle name="Comma 2 8 11 8" xfId="16767"/>
    <cellStyle name="Comma 2 8 11 9" xfId="16768"/>
    <cellStyle name="Comma 2 8 12" xfId="16769"/>
    <cellStyle name="Comma 2 8 12 10" xfId="16770"/>
    <cellStyle name="Comma 2 8 12 2" xfId="16771"/>
    <cellStyle name="Comma 2 8 12 2 2" xfId="16772"/>
    <cellStyle name="Comma 2 8 12 2 2 2" xfId="16773"/>
    <cellStyle name="Comma 2 8 12 2 2 3" xfId="16774"/>
    <cellStyle name="Comma 2 8 12 2 3" xfId="16775"/>
    <cellStyle name="Comma 2 8 12 2 4" xfId="16776"/>
    <cellStyle name="Comma 2 8 12 2 5" xfId="16777"/>
    <cellStyle name="Comma 2 8 12 2 6" xfId="16778"/>
    <cellStyle name="Comma 2 8 12 3" xfId="16779"/>
    <cellStyle name="Comma 2 8 12 3 2" xfId="16780"/>
    <cellStyle name="Comma 2 8 12 3 2 2" xfId="16781"/>
    <cellStyle name="Comma 2 8 12 3 2 3" xfId="16782"/>
    <cellStyle name="Comma 2 8 12 3 3" xfId="16783"/>
    <cellStyle name="Comma 2 8 12 3 4" xfId="16784"/>
    <cellStyle name="Comma 2 8 12 3 5" xfId="16785"/>
    <cellStyle name="Comma 2 8 12 3 6" xfId="16786"/>
    <cellStyle name="Comma 2 8 12 4" xfId="16787"/>
    <cellStyle name="Comma 2 8 12 4 2" xfId="16788"/>
    <cellStyle name="Comma 2 8 12 4 2 2" xfId="16789"/>
    <cellStyle name="Comma 2 8 12 4 3" xfId="16790"/>
    <cellStyle name="Comma 2 8 12 4 4" xfId="16791"/>
    <cellStyle name="Comma 2 8 12 4 5" xfId="16792"/>
    <cellStyle name="Comma 2 8 12 5" xfId="16793"/>
    <cellStyle name="Comma 2 8 12 5 2" xfId="16794"/>
    <cellStyle name="Comma 2 8 12 5 3" xfId="16795"/>
    <cellStyle name="Comma 2 8 12 5 4" xfId="16796"/>
    <cellStyle name="Comma 2 8 12 6" xfId="16797"/>
    <cellStyle name="Comma 2 8 12 6 2" xfId="16798"/>
    <cellStyle name="Comma 2 8 12 7" xfId="16799"/>
    <cellStyle name="Comma 2 8 12 8" xfId="16800"/>
    <cellStyle name="Comma 2 8 12 9" xfId="16801"/>
    <cellStyle name="Comma 2 8 13" xfId="16802"/>
    <cellStyle name="Comma 2 8 13 2" xfId="16803"/>
    <cellStyle name="Comma 2 8 13 2 2" xfId="16804"/>
    <cellStyle name="Comma 2 8 13 2 2 2" xfId="16805"/>
    <cellStyle name="Comma 2 8 13 2 2 3" xfId="16806"/>
    <cellStyle name="Comma 2 8 13 2 3" xfId="16807"/>
    <cellStyle name="Comma 2 8 13 2 4" xfId="16808"/>
    <cellStyle name="Comma 2 8 13 2 5" xfId="16809"/>
    <cellStyle name="Comma 2 8 13 2 6" xfId="16810"/>
    <cellStyle name="Comma 2 8 13 3" xfId="16811"/>
    <cellStyle name="Comma 2 8 13 3 2" xfId="16812"/>
    <cellStyle name="Comma 2 8 13 3 2 2" xfId="16813"/>
    <cellStyle name="Comma 2 8 13 3 3" xfId="16814"/>
    <cellStyle name="Comma 2 8 13 3 4" xfId="16815"/>
    <cellStyle name="Comma 2 8 13 3 5" xfId="16816"/>
    <cellStyle name="Comma 2 8 13 4" xfId="16817"/>
    <cellStyle name="Comma 2 8 13 4 2" xfId="16818"/>
    <cellStyle name="Comma 2 8 13 4 3" xfId="16819"/>
    <cellStyle name="Comma 2 8 13 4 4" xfId="16820"/>
    <cellStyle name="Comma 2 8 13 5" xfId="16821"/>
    <cellStyle name="Comma 2 8 13 5 2" xfId="16822"/>
    <cellStyle name="Comma 2 8 13 6" xfId="16823"/>
    <cellStyle name="Comma 2 8 13 7" xfId="16824"/>
    <cellStyle name="Comma 2 8 13 8" xfId="16825"/>
    <cellStyle name="Comma 2 8 13 9" xfId="16826"/>
    <cellStyle name="Comma 2 8 14" xfId="16827"/>
    <cellStyle name="Comma 2 8 14 2" xfId="16828"/>
    <cellStyle name="Comma 2 8 14 2 2" xfId="16829"/>
    <cellStyle name="Comma 2 8 14 2 2 2" xfId="16830"/>
    <cellStyle name="Comma 2 8 14 2 2 3" xfId="16831"/>
    <cellStyle name="Comma 2 8 14 2 3" xfId="16832"/>
    <cellStyle name="Comma 2 8 14 2 4" xfId="16833"/>
    <cellStyle name="Comma 2 8 14 2 5" xfId="16834"/>
    <cellStyle name="Comma 2 8 14 2 6" xfId="16835"/>
    <cellStyle name="Comma 2 8 14 3" xfId="16836"/>
    <cellStyle name="Comma 2 8 14 3 2" xfId="16837"/>
    <cellStyle name="Comma 2 8 14 3 2 2" xfId="16838"/>
    <cellStyle name="Comma 2 8 14 3 3" xfId="16839"/>
    <cellStyle name="Comma 2 8 14 3 4" xfId="16840"/>
    <cellStyle name="Comma 2 8 14 3 5" xfId="16841"/>
    <cellStyle name="Comma 2 8 14 4" xfId="16842"/>
    <cellStyle name="Comma 2 8 14 4 2" xfId="16843"/>
    <cellStyle name="Comma 2 8 14 4 3" xfId="16844"/>
    <cellStyle name="Comma 2 8 14 4 4" xfId="16845"/>
    <cellStyle name="Comma 2 8 14 5" xfId="16846"/>
    <cellStyle name="Comma 2 8 14 5 2" xfId="16847"/>
    <cellStyle name="Comma 2 8 14 6" xfId="16848"/>
    <cellStyle name="Comma 2 8 14 7" xfId="16849"/>
    <cellStyle name="Comma 2 8 14 8" xfId="16850"/>
    <cellStyle name="Comma 2 8 14 9" xfId="16851"/>
    <cellStyle name="Comma 2 8 15" xfId="16852"/>
    <cellStyle name="Comma 2 8 15 2" xfId="16853"/>
    <cellStyle name="Comma 2 8 15 2 2" xfId="16854"/>
    <cellStyle name="Comma 2 8 15 2 3" xfId="16855"/>
    <cellStyle name="Comma 2 8 15 3" xfId="16856"/>
    <cellStyle name="Comma 2 8 15 4" xfId="16857"/>
    <cellStyle name="Comma 2 8 15 5" xfId="16858"/>
    <cellStyle name="Comma 2 8 15 6" xfId="16859"/>
    <cellStyle name="Comma 2 8 16" xfId="16860"/>
    <cellStyle name="Comma 2 8 16 2" xfId="16861"/>
    <cellStyle name="Comma 2 8 16 2 2" xfId="16862"/>
    <cellStyle name="Comma 2 8 16 3" xfId="16863"/>
    <cellStyle name="Comma 2 8 16 4" xfId="16864"/>
    <cellStyle name="Comma 2 8 16 5" xfId="16865"/>
    <cellStyle name="Comma 2 8 17" xfId="16866"/>
    <cellStyle name="Comma 2 8 17 2" xfId="16867"/>
    <cellStyle name="Comma 2 8 17 2 2" xfId="16868"/>
    <cellStyle name="Comma 2 8 17 3" xfId="16869"/>
    <cellStyle name="Comma 2 8 17 4" xfId="16870"/>
    <cellStyle name="Comma 2 8 17 5" xfId="16871"/>
    <cellStyle name="Comma 2 8 18" xfId="16872"/>
    <cellStyle name="Comma 2 8 18 2" xfId="16873"/>
    <cellStyle name="Comma 2 8 19" xfId="16874"/>
    <cellStyle name="Comma 2 8 2" xfId="16875"/>
    <cellStyle name="Comma 2 8 2 10" xfId="16876"/>
    <cellStyle name="Comma 2 8 2 11" xfId="16877"/>
    <cellStyle name="Comma 2 8 2 2" xfId="16878"/>
    <cellStyle name="Comma 2 8 2 2 2" xfId="16879"/>
    <cellStyle name="Comma 2 8 2 2 2 2" xfId="16880"/>
    <cellStyle name="Comma 2 8 2 2 2 2 2" xfId="16881"/>
    <cellStyle name="Comma 2 8 2 2 2 2 3" xfId="16882"/>
    <cellStyle name="Comma 2 8 2 2 2 3" xfId="16883"/>
    <cellStyle name="Comma 2 8 2 2 2 4" xfId="16884"/>
    <cellStyle name="Comma 2 8 2 2 2 5" xfId="16885"/>
    <cellStyle name="Comma 2 8 2 2 2 6" xfId="16886"/>
    <cellStyle name="Comma 2 8 2 2 3" xfId="16887"/>
    <cellStyle name="Comma 2 8 2 2 3 2" xfId="16888"/>
    <cellStyle name="Comma 2 8 2 2 3 2 2" xfId="16889"/>
    <cellStyle name="Comma 2 8 2 2 3 3" xfId="16890"/>
    <cellStyle name="Comma 2 8 2 2 3 4" xfId="16891"/>
    <cellStyle name="Comma 2 8 2 2 3 5" xfId="16892"/>
    <cellStyle name="Comma 2 8 2 2 4" xfId="16893"/>
    <cellStyle name="Comma 2 8 2 2 4 2" xfId="16894"/>
    <cellStyle name="Comma 2 8 2 2 4 3" xfId="16895"/>
    <cellStyle name="Comma 2 8 2 2 4 4" xfId="16896"/>
    <cellStyle name="Comma 2 8 2 2 5" xfId="16897"/>
    <cellStyle name="Comma 2 8 2 2 5 2" xfId="16898"/>
    <cellStyle name="Comma 2 8 2 2 6" xfId="16899"/>
    <cellStyle name="Comma 2 8 2 2 7" xfId="16900"/>
    <cellStyle name="Comma 2 8 2 2 8" xfId="16901"/>
    <cellStyle name="Comma 2 8 2 2 9" xfId="16902"/>
    <cellStyle name="Comma 2 8 2 3" xfId="16903"/>
    <cellStyle name="Comma 2 8 2 3 2" xfId="16904"/>
    <cellStyle name="Comma 2 8 2 3 2 2" xfId="16905"/>
    <cellStyle name="Comma 2 8 2 3 2 2 2" xfId="16906"/>
    <cellStyle name="Comma 2 8 2 3 2 2 3" xfId="16907"/>
    <cellStyle name="Comma 2 8 2 3 2 3" xfId="16908"/>
    <cellStyle name="Comma 2 8 2 3 2 4" xfId="16909"/>
    <cellStyle name="Comma 2 8 2 3 2 5" xfId="16910"/>
    <cellStyle name="Comma 2 8 2 3 2 6" xfId="16911"/>
    <cellStyle name="Comma 2 8 2 3 3" xfId="16912"/>
    <cellStyle name="Comma 2 8 2 3 3 2" xfId="16913"/>
    <cellStyle name="Comma 2 8 2 3 3 2 2" xfId="16914"/>
    <cellStyle name="Comma 2 8 2 3 3 3" xfId="16915"/>
    <cellStyle name="Comma 2 8 2 3 3 4" xfId="16916"/>
    <cellStyle name="Comma 2 8 2 3 3 5" xfId="16917"/>
    <cellStyle name="Comma 2 8 2 3 4" xfId="16918"/>
    <cellStyle name="Comma 2 8 2 3 4 2" xfId="16919"/>
    <cellStyle name="Comma 2 8 2 3 4 3" xfId="16920"/>
    <cellStyle name="Comma 2 8 2 3 4 4" xfId="16921"/>
    <cellStyle name="Comma 2 8 2 3 5" xfId="16922"/>
    <cellStyle name="Comma 2 8 2 3 5 2" xfId="16923"/>
    <cellStyle name="Comma 2 8 2 3 6" xfId="16924"/>
    <cellStyle name="Comma 2 8 2 3 7" xfId="16925"/>
    <cellStyle name="Comma 2 8 2 3 8" xfId="16926"/>
    <cellStyle name="Comma 2 8 2 3 9" xfId="16927"/>
    <cellStyle name="Comma 2 8 2 4" xfId="16928"/>
    <cellStyle name="Comma 2 8 2 4 2" xfId="16929"/>
    <cellStyle name="Comma 2 8 2 4 2 2" xfId="16930"/>
    <cellStyle name="Comma 2 8 2 4 2 3" xfId="16931"/>
    <cellStyle name="Comma 2 8 2 4 3" xfId="16932"/>
    <cellStyle name="Comma 2 8 2 4 4" xfId="16933"/>
    <cellStyle name="Comma 2 8 2 4 5" xfId="16934"/>
    <cellStyle name="Comma 2 8 2 4 6" xfId="16935"/>
    <cellStyle name="Comma 2 8 2 5" xfId="16936"/>
    <cellStyle name="Comma 2 8 2 5 2" xfId="16937"/>
    <cellStyle name="Comma 2 8 2 5 2 2" xfId="16938"/>
    <cellStyle name="Comma 2 8 2 5 3" xfId="16939"/>
    <cellStyle name="Comma 2 8 2 5 4" xfId="16940"/>
    <cellStyle name="Comma 2 8 2 5 5" xfId="16941"/>
    <cellStyle name="Comma 2 8 2 6" xfId="16942"/>
    <cellStyle name="Comma 2 8 2 6 2" xfId="16943"/>
    <cellStyle name="Comma 2 8 2 6 3" xfId="16944"/>
    <cellStyle name="Comma 2 8 2 6 4" xfId="16945"/>
    <cellStyle name="Comma 2 8 2 7" xfId="16946"/>
    <cellStyle name="Comma 2 8 2 7 2" xfId="16947"/>
    <cellStyle name="Comma 2 8 2 8" xfId="16948"/>
    <cellStyle name="Comma 2 8 2 9" xfId="16949"/>
    <cellStyle name="Comma 2 8 20" xfId="16950"/>
    <cellStyle name="Comma 2 8 21" xfId="16951"/>
    <cellStyle name="Comma 2 8 22" xfId="16952"/>
    <cellStyle name="Comma 2 8 3" xfId="16953"/>
    <cellStyle name="Comma 2 8 3 10" xfId="16954"/>
    <cellStyle name="Comma 2 8 3 11" xfId="16955"/>
    <cellStyle name="Comma 2 8 3 2" xfId="16956"/>
    <cellStyle name="Comma 2 8 3 2 2" xfId="16957"/>
    <cellStyle name="Comma 2 8 3 2 2 2" xfId="16958"/>
    <cellStyle name="Comma 2 8 3 2 2 2 2" xfId="16959"/>
    <cellStyle name="Comma 2 8 3 2 2 2 3" xfId="16960"/>
    <cellStyle name="Comma 2 8 3 2 2 3" xfId="16961"/>
    <cellStyle name="Comma 2 8 3 2 2 4" xfId="16962"/>
    <cellStyle name="Comma 2 8 3 2 2 5" xfId="16963"/>
    <cellStyle name="Comma 2 8 3 2 2 6" xfId="16964"/>
    <cellStyle name="Comma 2 8 3 2 3" xfId="16965"/>
    <cellStyle name="Comma 2 8 3 2 3 2" xfId="16966"/>
    <cellStyle name="Comma 2 8 3 2 3 2 2" xfId="16967"/>
    <cellStyle name="Comma 2 8 3 2 3 3" xfId="16968"/>
    <cellStyle name="Comma 2 8 3 2 3 4" xfId="16969"/>
    <cellStyle name="Comma 2 8 3 2 3 5" xfId="16970"/>
    <cellStyle name="Comma 2 8 3 2 4" xfId="16971"/>
    <cellStyle name="Comma 2 8 3 2 4 2" xfId="16972"/>
    <cellStyle name="Comma 2 8 3 2 4 3" xfId="16973"/>
    <cellStyle name="Comma 2 8 3 2 4 4" xfId="16974"/>
    <cellStyle name="Comma 2 8 3 2 5" xfId="16975"/>
    <cellStyle name="Comma 2 8 3 2 5 2" xfId="16976"/>
    <cellStyle name="Comma 2 8 3 2 6" xfId="16977"/>
    <cellStyle name="Comma 2 8 3 2 7" xfId="16978"/>
    <cellStyle name="Comma 2 8 3 2 8" xfId="16979"/>
    <cellStyle name="Comma 2 8 3 2 9" xfId="16980"/>
    <cellStyle name="Comma 2 8 3 3" xfId="16981"/>
    <cellStyle name="Comma 2 8 3 3 2" xfId="16982"/>
    <cellStyle name="Comma 2 8 3 3 2 2" xfId="16983"/>
    <cellStyle name="Comma 2 8 3 3 2 2 2" xfId="16984"/>
    <cellStyle name="Comma 2 8 3 3 2 2 3" xfId="16985"/>
    <cellStyle name="Comma 2 8 3 3 2 3" xfId="16986"/>
    <cellStyle name="Comma 2 8 3 3 2 4" xfId="16987"/>
    <cellStyle name="Comma 2 8 3 3 2 5" xfId="16988"/>
    <cellStyle name="Comma 2 8 3 3 2 6" xfId="16989"/>
    <cellStyle name="Comma 2 8 3 3 3" xfId="16990"/>
    <cellStyle name="Comma 2 8 3 3 3 2" xfId="16991"/>
    <cellStyle name="Comma 2 8 3 3 3 2 2" xfId="16992"/>
    <cellStyle name="Comma 2 8 3 3 3 3" xfId="16993"/>
    <cellStyle name="Comma 2 8 3 3 3 4" xfId="16994"/>
    <cellStyle name="Comma 2 8 3 3 3 5" xfId="16995"/>
    <cellStyle name="Comma 2 8 3 3 4" xfId="16996"/>
    <cellStyle name="Comma 2 8 3 3 4 2" xfId="16997"/>
    <cellStyle name="Comma 2 8 3 3 4 3" xfId="16998"/>
    <cellStyle name="Comma 2 8 3 3 4 4" xfId="16999"/>
    <cellStyle name="Comma 2 8 3 3 5" xfId="17000"/>
    <cellStyle name="Comma 2 8 3 3 5 2" xfId="17001"/>
    <cellStyle name="Comma 2 8 3 3 6" xfId="17002"/>
    <cellStyle name="Comma 2 8 3 3 7" xfId="17003"/>
    <cellStyle name="Comma 2 8 3 3 8" xfId="17004"/>
    <cellStyle name="Comma 2 8 3 3 9" xfId="17005"/>
    <cellStyle name="Comma 2 8 3 4" xfId="17006"/>
    <cellStyle name="Comma 2 8 3 4 2" xfId="17007"/>
    <cellStyle name="Comma 2 8 3 4 2 2" xfId="17008"/>
    <cellStyle name="Comma 2 8 3 4 2 3" xfId="17009"/>
    <cellStyle name="Comma 2 8 3 4 3" xfId="17010"/>
    <cellStyle name="Comma 2 8 3 4 4" xfId="17011"/>
    <cellStyle name="Comma 2 8 3 4 5" xfId="17012"/>
    <cellStyle name="Comma 2 8 3 4 6" xfId="17013"/>
    <cellStyle name="Comma 2 8 3 5" xfId="17014"/>
    <cellStyle name="Comma 2 8 3 5 2" xfId="17015"/>
    <cellStyle name="Comma 2 8 3 5 2 2" xfId="17016"/>
    <cellStyle name="Comma 2 8 3 5 3" xfId="17017"/>
    <cellStyle name="Comma 2 8 3 5 4" xfId="17018"/>
    <cellStyle name="Comma 2 8 3 5 5" xfId="17019"/>
    <cellStyle name="Comma 2 8 3 6" xfId="17020"/>
    <cellStyle name="Comma 2 8 3 6 2" xfId="17021"/>
    <cellStyle name="Comma 2 8 3 6 3" xfId="17022"/>
    <cellStyle name="Comma 2 8 3 6 4" xfId="17023"/>
    <cellStyle name="Comma 2 8 3 7" xfId="17024"/>
    <cellStyle name="Comma 2 8 3 7 2" xfId="17025"/>
    <cellStyle name="Comma 2 8 3 8" xfId="17026"/>
    <cellStyle name="Comma 2 8 3 9" xfId="17027"/>
    <cellStyle name="Comma 2 8 4" xfId="17028"/>
    <cellStyle name="Comma 2 8 4 10" xfId="17029"/>
    <cellStyle name="Comma 2 8 4 11" xfId="17030"/>
    <cellStyle name="Comma 2 8 4 2" xfId="17031"/>
    <cellStyle name="Comma 2 8 4 2 2" xfId="17032"/>
    <cellStyle name="Comma 2 8 4 2 2 2" xfId="17033"/>
    <cellStyle name="Comma 2 8 4 2 2 2 2" xfId="17034"/>
    <cellStyle name="Comma 2 8 4 2 2 2 3" xfId="17035"/>
    <cellStyle name="Comma 2 8 4 2 2 3" xfId="17036"/>
    <cellStyle name="Comma 2 8 4 2 2 4" xfId="17037"/>
    <cellStyle name="Comma 2 8 4 2 2 5" xfId="17038"/>
    <cellStyle name="Comma 2 8 4 2 2 6" xfId="17039"/>
    <cellStyle name="Comma 2 8 4 2 3" xfId="17040"/>
    <cellStyle name="Comma 2 8 4 2 3 2" xfId="17041"/>
    <cellStyle name="Comma 2 8 4 2 3 2 2" xfId="17042"/>
    <cellStyle name="Comma 2 8 4 2 3 3" xfId="17043"/>
    <cellStyle name="Comma 2 8 4 2 3 4" xfId="17044"/>
    <cellStyle name="Comma 2 8 4 2 3 5" xfId="17045"/>
    <cellStyle name="Comma 2 8 4 2 4" xfId="17046"/>
    <cellStyle name="Comma 2 8 4 2 4 2" xfId="17047"/>
    <cellStyle name="Comma 2 8 4 2 4 3" xfId="17048"/>
    <cellStyle name="Comma 2 8 4 2 4 4" xfId="17049"/>
    <cellStyle name="Comma 2 8 4 2 5" xfId="17050"/>
    <cellStyle name="Comma 2 8 4 2 5 2" xfId="17051"/>
    <cellStyle name="Comma 2 8 4 2 6" xfId="17052"/>
    <cellStyle name="Comma 2 8 4 2 7" xfId="17053"/>
    <cellStyle name="Comma 2 8 4 2 8" xfId="17054"/>
    <cellStyle name="Comma 2 8 4 2 9" xfId="17055"/>
    <cellStyle name="Comma 2 8 4 3" xfId="17056"/>
    <cellStyle name="Comma 2 8 4 3 2" xfId="17057"/>
    <cellStyle name="Comma 2 8 4 3 2 2" xfId="17058"/>
    <cellStyle name="Comma 2 8 4 3 2 2 2" xfId="17059"/>
    <cellStyle name="Comma 2 8 4 3 2 2 3" xfId="17060"/>
    <cellStyle name="Comma 2 8 4 3 2 3" xfId="17061"/>
    <cellStyle name="Comma 2 8 4 3 2 4" xfId="17062"/>
    <cellStyle name="Comma 2 8 4 3 2 5" xfId="17063"/>
    <cellStyle name="Comma 2 8 4 3 2 6" xfId="17064"/>
    <cellStyle name="Comma 2 8 4 3 3" xfId="17065"/>
    <cellStyle name="Comma 2 8 4 3 3 2" xfId="17066"/>
    <cellStyle name="Comma 2 8 4 3 3 2 2" xfId="17067"/>
    <cellStyle name="Comma 2 8 4 3 3 3" xfId="17068"/>
    <cellStyle name="Comma 2 8 4 3 3 4" xfId="17069"/>
    <cellStyle name="Comma 2 8 4 3 3 5" xfId="17070"/>
    <cellStyle name="Comma 2 8 4 3 4" xfId="17071"/>
    <cellStyle name="Comma 2 8 4 3 4 2" xfId="17072"/>
    <cellStyle name="Comma 2 8 4 3 4 3" xfId="17073"/>
    <cellStyle name="Comma 2 8 4 3 4 4" xfId="17074"/>
    <cellStyle name="Comma 2 8 4 3 5" xfId="17075"/>
    <cellStyle name="Comma 2 8 4 3 5 2" xfId="17076"/>
    <cellStyle name="Comma 2 8 4 3 6" xfId="17077"/>
    <cellStyle name="Comma 2 8 4 3 7" xfId="17078"/>
    <cellStyle name="Comma 2 8 4 3 8" xfId="17079"/>
    <cellStyle name="Comma 2 8 4 3 9" xfId="17080"/>
    <cellStyle name="Comma 2 8 4 4" xfId="17081"/>
    <cellStyle name="Comma 2 8 4 4 2" xfId="17082"/>
    <cellStyle name="Comma 2 8 4 4 2 2" xfId="17083"/>
    <cellStyle name="Comma 2 8 4 4 2 3" xfId="17084"/>
    <cellStyle name="Comma 2 8 4 4 3" xfId="17085"/>
    <cellStyle name="Comma 2 8 4 4 4" xfId="17086"/>
    <cellStyle name="Comma 2 8 4 4 5" xfId="17087"/>
    <cellStyle name="Comma 2 8 4 4 6" xfId="17088"/>
    <cellStyle name="Comma 2 8 4 5" xfId="17089"/>
    <cellStyle name="Comma 2 8 4 5 2" xfId="17090"/>
    <cellStyle name="Comma 2 8 4 5 2 2" xfId="17091"/>
    <cellStyle name="Comma 2 8 4 5 3" xfId="17092"/>
    <cellStyle name="Comma 2 8 4 5 4" xfId="17093"/>
    <cellStyle name="Comma 2 8 4 5 5" xfId="17094"/>
    <cellStyle name="Comma 2 8 4 6" xfId="17095"/>
    <cellStyle name="Comma 2 8 4 6 2" xfId="17096"/>
    <cellStyle name="Comma 2 8 4 6 3" xfId="17097"/>
    <cellStyle name="Comma 2 8 4 6 4" xfId="17098"/>
    <cellStyle name="Comma 2 8 4 7" xfId="17099"/>
    <cellStyle name="Comma 2 8 4 7 2" xfId="17100"/>
    <cellStyle name="Comma 2 8 4 8" xfId="17101"/>
    <cellStyle name="Comma 2 8 4 9" xfId="17102"/>
    <cellStyle name="Comma 2 8 5" xfId="17103"/>
    <cellStyle name="Comma 2 8 5 10" xfId="17104"/>
    <cellStyle name="Comma 2 8 5 11" xfId="17105"/>
    <cellStyle name="Comma 2 8 5 2" xfId="17106"/>
    <cellStyle name="Comma 2 8 5 2 2" xfId="17107"/>
    <cellStyle name="Comma 2 8 5 2 2 2" xfId="17108"/>
    <cellStyle name="Comma 2 8 5 2 2 2 2" xfId="17109"/>
    <cellStyle name="Comma 2 8 5 2 2 2 3" xfId="17110"/>
    <cellStyle name="Comma 2 8 5 2 2 3" xfId="17111"/>
    <cellStyle name="Comma 2 8 5 2 2 4" xfId="17112"/>
    <cellStyle name="Comma 2 8 5 2 2 5" xfId="17113"/>
    <cellStyle name="Comma 2 8 5 2 2 6" xfId="17114"/>
    <cellStyle name="Comma 2 8 5 2 3" xfId="17115"/>
    <cellStyle name="Comma 2 8 5 2 3 2" xfId="17116"/>
    <cellStyle name="Comma 2 8 5 2 3 2 2" xfId="17117"/>
    <cellStyle name="Comma 2 8 5 2 3 3" xfId="17118"/>
    <cellStyle name="Comma 2 8 5 2 3 4" xfId="17119"/>
    <cellStyle name="Comma 2 8 5 2 3 5" xfId="17120"/>
    <cellStyle name="Comma 2 8 5 2 4" xfId="17121"/>
    <cellStyle name="Comma 2 8 5 2 4 2" xfId="17122"/>
    <cellStyle name="Comma 2 8 5 2 4 3" xfId="17123"/>
    <cellStyle name="Comma 2 8 5 2 4 4" xfId="17124"/>
    <cellStyle name="Comma 2 8 5 2 5" xfId="17125"/>
    <cellStyle name="Comma 2 8 5 2 5 2" xfId="17126"/>
    <cellStyle name="Comma 2 8 5 2 6" xfId="17127"/>
    <cellStyle name="Comma 2 8 5 2 7" xfId="17128"/>
    <cellStyle name="Comma 2 8 5 2 8" xfId="17129"/>
    <cellStyle name="Comma 2 8 5 2 9" xfId="17130"/>
    <cellStyle name="Comma 2 8 5 3" xfId="17131"/>
    <cellStyle name="Comma 2 8 5 3 2" xfId="17132"/>
    <cellStyle name="Comma 2 8 5 3 2 2" xfId="17133"/>
    <cellStyle name="Comma 2 8 5 3 2 2 2" xfId="17134"/>
    <cellStyle name="Comma 2 8 5 3 2 2 3" xfId="17135"/>
    <cellStyle name="Comma 2 8 5 3 2 3" xfId="17136"/>
    <cellStyle name="Comma 2 8 5 3 2 4" xfId="17137"/>
    <cellStyle name="Comma 2 8 5 3 2 5" xfId="17138"/>
    <cellStyle name="Comma 2 8 5 3 2 6" xfId="17139"/>
    <cellStyle name="Comma 2 8 5 3 3" xfId="17140"/>
    <cellStyle name="Comma 2 8 5 3 3 2" xfId="17141"/>
    <cellStyle name="Comma 2 8 5 3 3 2 2" xfId="17142"/>
    <cellStyle name="Comma 2 8 5 3 3 3" xfId="17143"/>
    <cellStyle name="Comma 2 8 5 3 3 4" xfId="17144"/>
    <cellStyle name="Comma 2 8 5 3 3 5" xfId="17145"/>
    <cellStyle name="Comma 2 8 5 3 4" xfId="17146"/>
    <cellStyle name="Comma 2 8 5 3 4 2" xfId="17147"/>
    <cellStyle name="Comma 2 8 5 3 4 3" xfId="17148"/>
    <cellStyle name="Comma 2 8 5 3 4 4" xfId="17149"/>
    <cellStyle name="Comma 2 8 5 3 5" xfId="17150"/>
    <cellStyle name="Comma 2 8 5 3 5 2" xfId="17151"/>
    <cellStyle name="Comma 2 8 5 3 6" xfId="17152"/>
    <cellStyle name="Comma 2 8 5 3 7" xfId="17153"/>
    <cellStyle name="Comma 2 8 5 3 8" xfId="17154"/>
    <cellStyle name="Comma 2 8 5 3 9" xfId="17155"/>
    <cellStyle name="Comma 2 8 5 4" xfId="17156"/>
    <cellStyle name="Comma 2 8 5 4 2" xfId="17157"/>
    <cellStyle name="Comma 2 8 5 4 2 2" xfId="17158"/>
    <cellStyle name="Comma 2 8 5 4 2 3" xfId="17159"/>
    <cellStyle name="Comma 2 8 5 4 3" xfId="17160"/>
    <cellStyle name="Comma 2 8 5 4 4" xfId="17161"/>
    <cellStyle name="Comma 2 8 5 4 5" xfId="17162"/>
    <cellStyle name="Comma 2 8 5 4 6" xfId="17163"/>
    <cellStyle name="Comma 2 8 5 5" xfId="17164"/>
    <cellStyle name="Comma 2 8 5 5 2" xfId="17165"/>
    <cellStyle name="Comma 2 8 5 5 2 2" xfId="17166"/>
    <cellStyle name="Comma 2 8 5 5 3" xfId="17167"/>
    <cellStyle name="Comma 2 8 5 5 4" xfId="17168"/>
    <cellStyle name="Comma 2 8 5 5 5" xfId="17169"/>
    <cellStyle name="Comma 2 8 5 6" xfId="17170"/>
    <cellStyle name="Comma 2 8 5 6 2" xfId="17171"/>
    <cellStyle name="Comma 2 8 5 6 3" xfId="17172"/>
    <cellStyle name="Comma 2 8 5 6 4" xfId="17173"/>
    <cellStyle name="Comma 2 8 5 7" xfId="17174"/>
    <cellStyle name="Comma 2 8 5 7 2" xfId="17175"/>
    <cellStyle name="Comma 2 8 5 8" xfId="17176"/>
    <cellStyle name="Comma 2 8 5 9" xfId="17177"/>
    <cellStyle name="Comma 2 8 6" xfId="17178"/>
    <cellStyle name="Comma 2 8 6 10" xfId="17179"/>
    <cellStyle name="Comma 2 8 6 11" xfId="17180"/>
    <cellStyle name="Comma 2 8 6 2" xfId="17181"/>
    <cellStyle name="Comma 2 8 6 2 2" xfId="17182"/>
    <cellStyle name="Comma 2 8 6 2 2 2" xfId="17183"/>
    <cellStyle name="Comma 2 8 6 2 2 2 2" xfId="17184"/>
    <cellStyle name="Comma 2 8 6 2 2 2 3" xfId="17185"/>
    <cellStyle name="Comma 2 8 6 2 2 3" xfId="17186"/>
    <cellStyle name="Comma 2 8 6 2 2 4" xfId="17187"/>
    <cellStyle name="Comma 2 8 6 2 2 5" xfId="17188"/>
    <cellStyle name="Comma 2 8 6 2 2 6" xfId="17189"/>
    <cellStyle name="Comma 2 8 6 2 3" xfId="17190"/>
    <cellStyle name="Comma 2 8 6 2 3 2" xfId="17191"/>
    <cellStyle name="Comma 2 8 6 2 3 2 2" xfId="17192"/>
    <cellStyle name="Comma 2 8 6 2 3 3" xfId="17193"/>
    <cellStyle name="Comma 2 8 6 2 3 4" xfId="17194"/>
    <cellStyle name="Comma 2 8 6 2 3 5" xfId="17195"/>
    <cellStyle name="Comma 2 8 6 2 4" xfId="17196"/>
    <cellStyle name="Comma 2 8 6 2 4 2" xfId="17197"/>
    <cellStyle name="Comma 2 8 6 2 4 3" xfId="17198"/>
    <cellStyle name="Comma 2 8 6 2 4 4" xfId="17199"/>
    <cellStyle name="Comma 2 8 6 2 5" xfId="17200"/>
    <cellStyle name="Comma 2 8 6 2 5 2" xfId="17201"/>
    <cellStyle name="Comma 2 8 6 2 6" xfId="17202"/>
    <cellStyle name="Comma 2 8 6 2 7" xfId="17203"/>
    <cellStyle name="Comma 2 8 6 2 8" xfId="17204"/>
    <cellStyle name="Comma 2 8 6 2 9" xfId="17205"/>
    <cellStyle name="Comma 2 8 6 3" xfId="17206"/>
    <cellStyle name="Comma 2 8 6 3 2" xfId="17207"/>
    <cellStyle name="Comma 2 8 6 3 2 2" xfId="17208"/>
    <cellStyle name="Comma 2 8 6 3 2 2 2" xfId="17209"/>
    <cellStyle name="Comma 2 8 6 3 2 2 3" xfId="17210"/>
    <cellStyle name="Comma 2 8 6 3 2 3" xfId="17211"/>
    <cellStyle name="Comma 2 8 6 3 2 4" xfId="17212"/>
    <cellStyle name="Comma 2 8 6 3 2 5" xfId="17213"/>
    <cellStyle name="Comma 2 8 6 3 2 6" xfId="17214"/>
    <cellStyle name="Comma 2 8 6 3 3" xfId="17215"/>
    <cellStyle name="Comma 2 8 6 3 3 2" xfId="17216"/>
    <cellStyle name="Comma 2 8 6 3 3 2 2" xfId="17217"/>
    <cellStyle name="Comma 2 8 6 3 3 3" xfId="17218"/>
    <cellStyle name="Comma 2 8 6 3 3 4" xfId="17219"/>
    <cellStyle name="Comma 2 8 6 3 3 5" xfId="17220"/>
    <cellStyle name="Comma 2 8 6 3 4" xfId="17221"/>
    <cellStyle name="Comma 2 8 6 3 4 2" xfId="17222"/>
    <cellStyle name="Comma 2 8 6 3 4 3" xfId="17223"/>
    <cellStyle name="Comma 2 8 6 3 4 4" xfId="17224"/>
    <cellStyle name="Comma 2 8 6 3 5" xfId="17225"/>
    <cellStyle name="Comma 2 8 6 3 5 2" xfId="17226"/>
    <cellStyle name="Comma 2 8 6 3 6" xfId="17227"/>
    <cellStyle name="Comma 2 8 6 3 7" xfId="17228"/>
    <cellStyle name="Comma 2 8 6 3 8" xfId="17229"/>
    <cellStyle name="Comma 2 8 6 3 9" xfId="17230"/>
    <cellStyle name="Comma 2 8 6 4" xfId="17231"/>
    <cellStyle name="Comma 2 8 6 4 2" xfId="17232"/>
    <cellStyle name="Comma 2 8 6 4 2 2" xfId="17233"/>
    <cellStyle name="Comma 2 8 6 4 2 3" xfId="17234"/>
    <cellStyle name="Comma 2 8 6 4 3" xfId="17235"/>
    <cellStyle name="Comma 2 8 6 4 4" xfId="17236"/>
    <cellStyle name="Comma 2 8 6 4 5" xfId="17237"/>
    <cellStyle name="Comma 2 8 6 4 6" xfId="17238"/>
    <cellStyle name="Comma 2 8 6 5" xfId="17239"/>
    <cellStyle name="Comma 2 8 6 5 2" xfId="17240"/>
    <cellStyle name="Comma 2 8 6 5 2 2" xfId="17241"/>
    <cellStyle name="Comma 2 8 6 5 3" xfId="17242"/>
    <cellStyle name="Comma 2 8 6 5 4" xfId="17243"/>
    <cellStyle name="Comma 2 8 6 5 5" xfId="17244"/>
    <cellStyle name="Comma 2 8 6 6" xfId="17245"/>
    <cellStyle name="Comma 2 8 6 6 2" xfId="17246"/>
    <cellStyle name="Comma 2 8 6 6 3" xfId="17247"/>
    <cellStyle name="Comma 2 8 6 6 4" xfId="17248"/>
    <cellStyle name="Comma 2 8 6 7" xfId="17249"/>
    <cellStyle name="Comma 2 8 6 7 2" xfId="17250"/>
    <cellStyle name="Comma 2 8 6 8" xfId="17251"/>
    <cellStyle name="Comma 2 8 6 9" xfId="17252"/>
    <cellStyle name="Comma 2 8 7" xfId="17253"/>
    <cellStyle name="Comma 2 8 7 10" xfId="17254"/>
    <cellStyle name="Comma 2 8 7 11" xfId="17255"/>
    <cellStyle name="Comma 2 8 7 2" xfId="17256"/>
    <cellStyle name="Comma 2 8 7 2 2" xfId="17257"/>
    <cellStyle name="Comma 2 8 7 2 2 2" xfId="17258"/>
    <cellStyle name="Comma 2 8 7 2 2 2 2" xfId="17259"/>
    <cellStyle name="Comma 2 8 7 2 2 2 3" xfId="17260"/>
    <cellStyle name="Comma 2 8 7 2 2 3" xfId="17261"/>
    <cellStyle name="Comma 2 8 7 2 2 4" xfId="17262"/>
    <cellStyle name="Comma 2 8 7 2 2 5" xfId="17263"/>
    <cellStyle name="Comma 2 8 7 2 2 6" xfId="17264"/>
    <cellStyle name="Comma 2 8 7 2 3" xfId="17265"/>
    <cellStyle name="Comma 2 8 7 2 3 2" xfId="17266"/>
    <cellStyle name="Comma 2 8 7 2 3 2 2" xfId="17267"/>
    <cellStyle name="Comma 2 8 7 2 3 3" xfId="17268"/>
    <cellStyle name="Comma 2 8 7 2 3 4" xfId="17269"/>
    <cellStyle name="Comma 2 8 7 2 3 5" xfId="17270"/>
    <cellStyle name="Comma 2 8 7 2 4" xfId="17271"/>
    <cellStyle name="Comma 2 8 7 2 4 2" xfId="17272"/>
    <cellStyle name="Comma 2 8 7 2 4 3" xfId="17273"/>
    <cellStyle name="Comma 2 8 7 2 4 4" xfId="17274"/>
    <cellStyle name="Comma 2 8 7 2 5" xfId="17275"/>
    <cellStyle name="Comma 2 8 7 2 5 2" xfId="17276"/>
    <cellStyle name="Comma 2 8 7 2 6" xfId="17277"/>
    <cellStyle name="Comma 2 8 7 2 7" xfId="17278"/>
    <cellStyle name="Comma 2 8 7 2 8" xfId="17279"/>
    <cellStyle name="Comma 2 8 7 2 9" xfId="17280"/>
    <cellStyle name="Comma 2 8 7 3" xfId="17281"/>
    <cellStyle name="Comma 2 8 7 3 2" xfId="17282"/>
    <cellStyle name="Comma 2 8 7 3 2 2" xfId="17283"/>
    <cellStyle name="Comma 2 8 7 3 2 2 2" xfId="17284"/>
    <cellStyle name="Comma 2 8 7 3 2 2 3" xfId="17285"/>
    <cellStyle name="Comma 2 8 7 3 2 3" xfId="17286"/>
    <cellStyle name="Comma 2 8 7 3 2 4" xfId="17287"/>
    <cellStyle name="Comma 2 8 7 3 2 5" xfId="17288"/>
    <cellStyle name="Comma 2 8 7 3 2 6" xfId="17289"/>
    <cellStyle name="Comma 2 8 7 3 3" xfId="17290"/>
    <cellStyle name="Comma 2 8 7 3 3 2" xfId="17291"/>
    <cellStyle name="Comma 2 8 7 3 3 2 2" xfId="17292"/>
    <cellStyle name="Comma 2 8 7 3 3 3" xfId="17293"/>
    <cellStyle name="Comma 2 8 7 3 3 4" xfId="17294"/>
    <cellStyle name="Comma 2 8 7 3 3 5" xfId="17295"/>
    <cellStyle name="Comma 2 8 7 3 4" xfId="17296"/>
    <cellStyle name="Comma 2 8 7 3 4 2" xfId="17297"/>
    <cellStyle name="Comma 2 8 7 3 4 3" xfId="17298"/>
    <cellStyle name="Comma 2 8 7 3 4 4" xfId="17299"/>
    <cellStyle name="Comma 2 8 7 3 5" xfId="17300"/>
    <cellStyle name="Comma 2 8 7 3 5 2" xfId="17301"/>
    <cellStyle name="Comma 2 8 7 3 6" xfId="17302"/>
    <cellStyle name="Comma 2 8 7 3 7" xfId="17303"/>
    <cellStyle name="Comma 2 8 7 3 8" xfId="17304"/>
    <cellStyle name="Comma 2 8 7 3 9" xfId="17305"/>
    <cellStyle name="Comma 2 8 7 4" xfId="17306"/>
    <cellStyle name="Comma 2 8 7 4 2" xfId="17307"/>
    <cellStyle name="Comma 2 8 7 4 2 2" xfId="17308"/>
    <cellStyle name="Comma 2 8 7 4 2 3" xfId="17309"/>
    <cellStyle name="Comma 2 8 7 4 3" xfId="17310"/>
    <cellStyle name="Comma 2 8 7 4 4" xfId="17311"/>
    <cellStyle name="Comma 2 8 7 4 5" xfId="17312"/>
    <cellStyle name="Comma 2 8 7 4 6" xfId="17313"/>
    <cellStyle name="Comma 2 8 7 5" xfId="17314"/>
    <cellStyle name="Comma 2 8 7 5 2" xfId="17315"/>
    <cellStyle name="Comma 2 8 7 5 2 2" xfId="17316"/>
    <cellStyle name="Comma 2 8 7 5 3" xfId="17317"/>
    <cellStyle name="Comma 2 8 7 5 4" xfId="17318"/>
    <cellStyle name="Comma 2 8 7 5 5" xfId="17319"/>
    <cellStyle name="Comma 2 8 7 6" xfId="17320"/>
    <cellStyle name="Comma 2 8 7 6 2" xfId="17321"/>
    <cellStyle name="Comma 2 8 7 6 3" xfId="17322"/>
    <cellStyle name="Comma 2 8 7 6 4" xfId="17323"/>
    <cellStyle name="Comma 2 8 7 7" xfId="17324"/>
    <cellStyle name="Comma 2 8 7 7 2" xfId="17325"/>
    <cellStyle name="Comma 2 8 7 8" xfId="17326"/>
    <cellStyle name="Comma 2 8 7 9" xfId="17327"/>
    <cellStyle name="Comma 2 8 8" xfId="17328"/>
    <cellStyle name="Comma 2 8 8 10" xfId="17329"/>
    <cellStyle name="Comma 2 8 8 2" xfId="17330"/>
    <cellStyle name="Comma 2 8 8 2 2" xfId="17331"/>
    <cellStyle name="Comma 2 8 8 2 2 2" xfId="17332"/>
    <cellStyle name="Comma 2 8 8 2 2 3" xfId="17333"/>
    <cellStyle name="Comma 2 8 8 2 3" xfId="17334"/>
    <cellStyle name="Comma 2 8 8 2 4" xfId="17335"/>
    <cellStyle name="Comma 2 8 8 2 5" xfId="17336"/>
    <cellStyle name="Comma 2 8 8 2 6" xfId="17337"/>
    <cellStyle name="Comma 2 8 8 3" xfId="17338"/>
    <cellStyle name="Comma 2 8 8 3 2" xfId="17339"/>
    <cellStyle name="Comma 2 8 8 3 2 2" xfId="17340"/>
    <cellStyle name="Comma 2 8 8 3 2 3" xfId="17341"/>
    <cellStyle name="Comma 2 8 8 3 3" xfId="17342"/>
    <cellStyle name="Comma 2 8 8 3 4" xfId="17343"/>
    <cellStyle name="Comma 2 8 8 3 5" xfId="17344"/>
    <cellStyle name="Comma 2 8 8 3 6" xfId="17345"/>
    <cellStyle name="Comma 2 8 8 4" xfId="17346"/>
    <cellStyle name="Comma 2 8 8 4 2" xfId="17347"/>
    <cellStyle name="Comma 2 8 8 4 2 2" xfId="17348"/>
    <cellStyle name="Comma 2 8 8 4 3" xfId="17349"/>
    <cellStyle name="Comma 2 8 8 4 4" xfId="17350"/>
    <cellStyle name="Comma 2 8 8 4 5" xfId="17351"/>
    <cellStyle name="Comma 2 8 8 5" xfId="17352"/>
    <cellStyle name="Comma 2 8 8 5 2" xfId="17353"/>
    <cellStyle name="Comma 2 8 8 5 3" xfId="17354"/>
    <cellStyle name="Comma 2 8 8 5 4" xfId="17355"/>
    <cellStyle name="Comma 2 8 8 6" xfId="17356"/>
    <cellStyle name="Comma 2 8 8 6 2" xfId="17357"/>
    <cellStyle name="Comma 2 8 8 7" xfId="17358"/>
    <cellStyle name="Comma 2 8 8 8" xfId="17359"/>
    <cellStyle name="Comma 2 8 8 9" xfId="17360"/>
    <cellStyle name="Comma 2 8 9" xfId="17361"/>
    <cellStyle name="Comma 2 8 9 10" xfId="17362"/>
    <cellStyle name="Comma 2 8 9 2" xfId="17363"/>
    <cellStyle name="Comma 2 8 9 2 2" xfId="17364"/>
    <cellStyle name="Comma 2 8 9 2 2 2" xfId="17365"/>
    <cellStyle name="Comma 2 8 9 2 2 3" xfId="17366"/>
    <cellStyle name="Comma 2 8 9 2 3" xfId="17367"/>
    <cellStyle name="Comma 2 8 9 2 4" xfId="17368"/>
    <cellStyle name="Comma 2 8 9 2 5" xfId="17369"/>
    <cellStyle name="Comma 2 8 9 2 6" xfId="17370"/>
    <cellStyle name="Comma 2 8 9 3" xfId="17371"/>
    <cellStyle name="Comma 2 8 9 3 2" xfId="17372"/>
    <cellStyle name="Comma 2 8 9 3 2 2" xfId="17373"/>
    <cellStyle name="Comma 2 8 9 3 2 3" xfId="17374"/>
    <cellStyle name="Comma 2 8 9 3 3" xfId="17375"/>
    <cellStyle name="Comma 2 8 9 3 4" xfId="17376"/>
    <cellStyle name="Comma 2 8 9 3 5" xfId="17377"/>
    <cellStyle name="Comma 2 8 9 3 6" xfId="17378"/>
    <cellStyle name="Comma 2 8 9 4" xfId="17379"/>
    <cellStyle name="Comma 2 8 9 4 2" xfId="17380"/>
    <cellStyle name="Comma 2 8 9 4 2 2" xfId="17381"/>
    <cellStyle name="Comma 2 8 9 4 3" xfId="17382"/>
    <cellStyle name="Comma 2 8 9 4 4" xfId="17383"/>
    <cellStyle name="Comma 2 8 9 4 5" xfId="17384"/>
    <cellStyle name="Comma 2 8 9 5" xfId="17385"/>
    <cellStyle name="Comma 2 8 9 5 2" xfId="17386"/>
    <cellStyle name="Comma 2 8 9 5 3" xfId="17387"/>
    <cellStyle name="Comma 2 8 9 5 4" xfId="17388"/>
    <cellStyle name="Comma 2 8 9 6" xfId="17389"/>
    <cellStyle name="Comma 2 8 9 6 2" xfId="17390"/>
    <cellStyle name="Comma 2 8 9 7" xfId="17391"/>
    <cellStyle name="Comma 2 8 9 8" xfId="17392"/>
    <cellStyle name="Comma 2 8 9 9" xfId="17393"/>
    <cellStyle name="Comma 2 9" xfId="17394"/>
    <cellStyle name="Comma 2 9 10" xfId="17395"/>
    <cellStyle name="Comma 2 9 10 10" xfId="17396"/>
    <cellStyle name="Comma 2 9 10 2" xfId="17397"/>
    <cellStyle name="Comma 2 9 10 2 2" xfId="17398"/>
    <cellStyle name="Comma 2 9 10 2 2 2" xfId="17399"/>
    <cellStyle name="Comma 2 9 10 2 2 3" xfId="17400"/>
    <cellStyle name="Comma 2 9 10 2 3" xfId="17401"/>
    <cellStyle name="Comma 2 9 10 2 4" xfId="17402"/>
    <cellStyle name="Comma 2 9 10 2 5" xfId="17403"/>
    <cellStyle name="Comma 2 9 10 2 6" xfId="17404"/>
    <cellStyle name="Comma 2 9 10 3" xfId="17405"/>
    <cellStyle name="Comma 2 9 10 3 2" xfId="17406"/>
    <cellStyle name="Comma 2 9 10 3 2 2" xfId="17407"/>
    <cellStyle name="Comma 2 9 10 3 2 3" xfId="17408"/>
    <cellStyle name="Comma 2 9 10 3 3" xfId="17409"/>
    <cellStyle name="Comma 2 9 10 3 4" xfId="17410"/>
    <cellStyle name="Comma 2 9 10 3 5" xfId="17411"/>
    <cellStyle name="Comma 2 9 10 3 6" xfId="17412"/>
    <cellStyle name="Comma 2 9 10 4" xfId="17413"/>
    <cellStyle name="Comma 2 9 10 4 2" xfId="17414"/>
    <cellStyle name="Comma 2 9 10 4 2 2" xfId="17415"/>
    <cellStyle name="Comma 2 9 10 4 3" xfId="17416"/>
    <cellStyle name="Comma 2 9 10 4 4" xfId="17417"/>
    <cellStyle name="Comma 2 9 10 4 5" xfId="17418"/>
    <cellStyle name="Comma 2 9 10 5" xfId="17419"/>
    <cellStyle name="Comma 2 9 10 5 2" xfId="17420"/>
    <cellStyle name="Comma 2 9 10 5 3" xfId="17421"/>
    <cellStyle name="Comma 2 9 10 5 4" xfId="17422"/>
    <cellStyle name="Comma 2 9 10 6" xfId="17423"/>
    <cellStyle name="Comma 2 9 10 6 2" xfId="17424"/>
    <cellStyle name="Comma 2 9 10 7" xfId="17425"/>
    <cellStyle name="Comma 2 9 10 8" xfId="17426"/>
    <cellStyle name="Comma 2 9 10 9" xfId="17427"/>
    <cellStyle name="Comma 2 9 11" xfId="17428"/>
    <cellStyle name="Comma 2 9 11 10" xfId="17429"/>
    <cellStyle name="Comma 2 9 11 2" xfId="17430"/>
    <cellStyle name="Comma 2 9 11 2 2" xfId="17431"/>
    <cellStyle name="Comma 2 9 11 2 2 2" xfId="17432"/>
    <cellStyle name="Comma 2 9 11 2 2 3" xfId="17433"/>
    <cellStyle name="Comma 2 9 11 2 3" xfId="17434"/>
    <cellStyle name="Comma 2 9 11 2 4" xfId="17435"/>
    <cellStyle name="Comma 2 9 11 2 5" xfId="17436"/>
    <cellStyle name="Comma 2 9 11 2 6" xfId="17437"/>
    <cellStyle name="Comma 2 9 11 3" xfId="17438"/>
    <cellStyle name="Comma 2 9 11 3 2" xfId="17439"/>
    <cellStyle name="Comma 2 9 11 3 2 2" xfId="17440"/>
    <cellStyle name="Comma 2 9 11 3 2 3" xfId="17441"/>
    <cellStyle name="Comma 2 9 11 3 3" xfId="17442"/>
    <cellStyle name="Comma 2 9 11 3 4" xfId="17443"/>
    <cellStyle name="Comma 2 9 11 3 5" xfId="17444"/>
    <cellStyle name="Comma 2 9 11 3 6" xfId="17445"/>
    <cellStyle name="Comma 2 9 11 4" xfId="17446"/>
    <cellStyle name="Comma 2 9 11 4 2" xfId="17447"/>
    <cellStyle name="Comma 2 9 11 4 2 2" xfId="17448"/>
    <cellStyle name="Comma 2 9 11 4 3" xfId="17449"/>
    <cellStyle name="Comma 2 9 11 4 4" xfId="17450"/>
    <cellStyle name="Comma 2 9 11 4 5" xfId="17451"/>
    <cellStyle name="Comma 2 9 11 5" xfId="17452"/>
    <cellStyle name="Comma 2 9 11 5 2" xfId="17453"/>
    <cellStyle name="Comma 2 9 11 5 3" xfId="17454"/>
    <cellStyle name="Comma 2 9 11 5 4" xfId="17455"/>
    <cellStyle name="Comma 2 9 11 6" xfId="17456"/>
    <cellStyle name="Comma 2 9 11 6 2" xfId="17457"/>
    <cellStyle name="Comma 2 9 11 7" xfId="17458"/>
    <cellStyle name="Comma 2 9 11 8" xfId="17459"/>
    <cellStyle name="Comma 2 9 11 9" xfId="17460"/>
    <cellStyle name="Comma 2 9 12" xfId="17461"/>
    <cellStyle name="Comma 2 9 12 10" xfId="17462"/>
    <cellStyle name="Comma 2 9 12 2" xfId="17463"/>
    <cellStyle name="Comma 2 9 12 2 2" xfId="17464"/>
    <cellStyle name="Comma 2 9 12 2 2 2" xfId="17465"/>
    <cellStyle name="Comma 2 9 12 2 2 3" xfId="17466"/>
    <cellStyle name="Comma 2 9 12 2 3" xfId="17467"/>
    <cellStyle name="Comma 2 9 12 2 4" xfId="17468"/>
    <cellStyle name="Comma 2 9 12 2 5" xfId="17469"/>
    <cellStyle name="Comma 2 9 12 2 6" xfId="17470"/>
    <cellStyle name="Comma 2 9 12 3" xfId="17471"/>
    <cellStyle name="Comma 2 9 12 3 2" xfId="17472"/>
    <cellStyle name="Comma 2 9 12 3 2 2" xfId="17473"/>
    <cellStyle name="Comma 2 9 12 3 2 3" xfId="17474"/>
    <cellStyle name="Comma 2 9 12 3 3" xfId="17475"/>
    <cellStyle name="Comma 2 9 12 3 4" xfId="17476"/>
    <cellStyle name="Comma 2 9 12 3 5" xfId="17477"/>
    <cellStyle name="Comma 2 9 12 3 6" xfId="17478"/>
    <cellStyle name="Comma 2 9 12 4" xfId="17479"/>
    <cellStyle name="Comma 2 9 12 4 2" xfId="17480"/>
    <cellStyle name="Comma 2 9 12 4 2 2" xfId="17481"/>
    <cellStyle name="Comma 2 9 12 4 3" xfId="17482"/>
    <cellStyle name="Comma 2 9 12 4 4" xfId="17483"/>
    <cellStyle name="Comma 2 9 12 4 5" xfId="17484"/>
    <cellStyle name="Comma 2 9 12 5" xfId="17485"/>
    <cellStyle name="Comma 2 9 12 5 2" xfId="17486"/>
    <cellStyle name="Comma 2 9 12 5 3" xfId="17487"/>
    <cellStyle name="Comma 2 9 12 5 4" xfId="17488"/>
    <cellStyle name="Comma 2 9 12 6" xfId="17489"/>
    <cellStyle name="Comma 2 9 12 6 2" xfId="17490"/>
    <cellStyle name="Comma 2 9 12 7" xfId="17491"/>
    <cellStyle name="Comma 2 9 12 8" xfId="17492"/>
    <cellStyle name="Comma 2 9 12 9" xfId="17493"/>
    <cellStyle name="Comma 2 9 13" xfId="17494"/>
    <cellStyle name="Comma 2 9 13 2" xfId="17495"/>
    <cellStyle name="Comma 2 9 13 2 2" xfId="17496"/>
    <cellStyle name="Comma 2 9 13 2 2 2" xfId="17497"/>
    <cellStyle name="Comma 2 9 13 2 2 3" xfId="17498"/>
    <cellStyle name="Comma 2 9 13 2 3" xfId="17499"/>
    <cellStyle name="Comma 2 9 13 2 4" xfId="17500"/>
    <cellStyle name="Comma 2 9 13 2 5" xfId="17501"/>
    <cellStyle name="Comma 2 9 13 2 6" xfId="17502"/>
    <cellStyle name="Comma 2 9 13 3" xfId="17503"/>
    <cellStyle name="Comma 2 9 13 3 2" xfId="17504"/>
    <cellStyle name="Comma 2 9 13 3 2 2" xfId="17505"/>
    <cellStyle name="Comma 2 9 13 3 3" xfId="17506"/>
    <cellStyle name="Comma 2 9 13 3 4" xfId="17507"/>
    <cellStyle name="Comma 2 9 13 3 5" xfId="17508"/>
    <cellStyle name="Comma 2 9 13 4" xfId="17509"/>
    <cellStyle name="Comma 2 9 13 4 2" xfId="17510"/>
    <cellStyle name="Comma 2 9 13 4 3" xfId="17511"/>
    <cellStyle name="Comma 2 9 13 4 4" xfId="17512"/>
    <cellStyle name="Comma 2 9 13 5" xfId="17513"/>
    <cellStyle name="Comma 2 9 13 5 2" xfId="17514"/>
    <cellStyle name="Comma 2 9 13 6" xfId="17515"/>
    <cellStyle name="Comma 2 9 13 7" xfId="17516"/>
    <cellStyle name="Comma 2 9 13 8" xfId="17517"/>
    <cellStyle name="Comma 2 9 13 9" xfId="17518"/>
    <cellStyle name="Comma 2 9 14" xfId="17519"/>
    <cellStyle name="Comma 2 9 14 2" xfId="17520"/>
    <cellStyle name="Comma 2 9 14 2 2" xfId="17521"/>
    <cellStyle name="Comma 2 9 14 2 2 2" xfId="17522"/>
    <cellStyle name="Comma 2 9 14 2 2 3" xfId="17523"/>
    <cellStyle name="Comma 2 9 14 2 3" xfId="17524"/>
    <cellStyle name="Comma 2 9 14 2 4" xfId="17525"/>
    <cellStyle name="Comma 2 9 14 2 5" xfId="17526"/>
    <cellStyle name="Comma 2 9 14 2 6" xfId="17527"/>
    <cellStyle name="Comma 2 9 14 3" xfId="17528"/>
    <cellStyle name="Comma 2 9 14 3 2" xfId="17529"/>
    <cellStyle name="Comma 2 9 14 3 2 2" xfId="17530"/>
    <cellStyle name="Comma 2 9 14 3 3" xfId="17531"/>
    <cellStyle name="Comma 2 9 14 3 4" xfId="17532"/>
    <cellStyle name="Comma 2 9 14 3 5" xfId="17533"/>
    <cellStyle name="Comma 2 9 14 4" xfId="17534"/>
    <cellStyle name="Comma 2 9 14 4 2" xfId="17535"/>
    <cellStyle name="Comma 2 9 14 4 3" xfId="17536"/>
    <cellStyle name="Comma 2 9 14 4 4" xfId="17537"/>
    <cellStyle name="Comma 2 9 14 5" xfId="17538"/>
    <cellStyle name="Comma 2 9 14 5 2" xfId="17539"/>
    <cellStyle name="Comma 2 9 14 6" xfId="17540"/>
    <cellStyle name="Comma 2 9 14 7" xfId="17541"/>
    <cellStyle name="Comma 2 9 14 8" xfId="17542"/>
    <cellStyle name="Comma 2 9 14 9" xfId="17543"/>
    <cellStyle name="Comma 2 9 15" xfId="17544"/>
    <cellStyle name="Comma 2 9 15 2" xfId="17545"/>
    <cellStyle name="Comma 2 9 15 2 2" xfId="17546"/>
    <cellStyle name="Comma 2 9 15 2 3" xfId="17547"/>
    <cellStyle name="Comma 2 9 15 3" xfId="17548"/>
    <cellStyle name="Comma 2 9 15 4" xfId="17549"/>
    <cellStyle name="Comma 2 9 15 5" xfId="17550"/>
    <cellStyle name="Comma 2 9 15 6" xfId="17551"/>
    <cellStyle name="Comma 2 9 16" xfId="17552"/>
    <cellStyle name="Comma 2 9 16 2" xfId="17553"/>
    <cellStyle name="Comma 2 9 16 2 2" xfId="17554"/>
    <cellStyle name="Comma 2 9 16 3" xfId="17555"/>
    <cellStyle name="Comma 2 9 16 4" xfId="17556"/>
    <cellStyle name="Comma 2 9 16 5" xfId="17557"/>
    <cellStyle name="Comma 2 9 17" xfId="17558"/>
    <cellStyle name="Comma 2 9 17 2" xfId="17559"/>
    <cellStyle name="Comma 2 9 17 2 2" xfId="17560"/>
    <cellStyle name="Comma 2 9 17 3" xfId="17561"/>
    <cellStyle name="Comma 2 9 17 4" xfId="17562"/>
    <cellStyle name="Comma 2 9 17 5" xfId="17563"/>
    <cellStyle name="Comma 2 9 18" xfId="17564"/>
    <cellStyle name="Comma 2 9 18 2" xfId="17565"/>
    <cellStyle name="Comma 2 9 19" xfId="17566"/>
    <cellStyle name="Comma 2 9 2" xfId="17567"/>
    <cellStyle name="Comma 2 9 2 10" xfId="17568"/>
    <cellStyle name="Comma 2 9 2 11" xfId="17569"/>
    <cellStyle name="Comma 2 9 2 2" xfId="17570"/>
    <cellStyle name="Comma 2 9 2 2 2" xfId="17571"/>
    <cellStyle name="Comma 2 9 2 2 2 2" xfId="17572"/>
    <cellStyle name="Comma 2 9 2 2 2 2 2" xfId="17573"/>
    <cellStyle name="Comma 2 9 2 2 2 2 3" xfId="17574"/>
    <cellStyle name="Comma 2 9 2 2 2 3" xfId="17575"/>
    <cellStyle name="Comma 2 9 2 2 2 4" xfId="17576"/>
    <cellStyle name="Comma 2 9 2 2 2 5" xfId="17577"/>
    <cellStyle name="Comma 2 9 2 2 2 6" xfId="17578"/>
    <cellStyle name="Comma 2 9 2 2 3" xfId="17579"/>
    <cellStyle name="Comma 2 9 2 2 3 2" xfId="17580"/>
    <cellStyle name="Comma 2 9 2 2 3 2 2" xfId="17581"/>
    <cellStyle name="Comma 2 9 2 2 3 3" xfId="17582"/>
    <cellStyle name="Comma 2 9 2 2 3 4" xfId="17583"/>
    <cellStyle name="Comma 2 9 2 2 3 5" xfId="17584"/>
    <cellStyle name="Comma 2 9 2 2 4" xfId="17585"/>
    <cellStyle name="Comma 2 9 2 2 4 2" xfId="17586"/>
    <cellStyle name="Comma 2 9 2 2 4 3" xfId="17587"/>
    <cellStyle name="Comma 2 9 2 2 4 4" xfId="17588"/>
    <cellStyle name="Comma 2 9 2 2 5" xfId="17589"/>
    <cellStyle name="Comma 2 9 2 2 5 2" xfId="17590"/>
    <cellStyle name="Comma 2 9 2 2 6" xfId="17591"/>
    <cellStyle name="Comma 2 9 2 2 7" xfId="17592"/>
    <cellStyle name="Comma 2 9 2 2 8" xfId="17593"/>
    <cellStyle name="Comma 2 9 2 2 9" xfId="17594"/>
    <cellStyle name="Comma 2 9 2 3" xfId="17595"/>
    <cellStyle name="Comma 2 9 2 3 2" xfId="17596"/>
    <cellStyle name="Comma 2 9 2 3 2 2" xfId="17597"/>
    <cellStyle name="Comma 2 9 2 3 2 2 2" xfId="17598"/>
    <cellStyle name="Comma 2 9 2 3 2 2 3" xfId="17599"/>
    <cellStyle name="Comma 2 9 2 3 2 3" xfId="17600"/>
    <cellStyle name="Comma 2 9 2 3 2 4" xfId="17601"/>
    <cellStyle name="Comma 2 9 2 3 2 5" xfId="17602"/>
    <cellStyle name="Comma 2 9 2 3 2 6" xfId="17603"/>
    <cellStyle name="Comma 2 9 2 3 3" xfId="17604"/>
    <cellStyle name="Comma 2 9 2 3 3 2" xfId="17605"/>
    <cellStyle name="Comma 2 9 2 3 3 2 2" xfId="17606"/>
    <cellStyle name="Comma 2 9 2 3 3 3" xfId="17607"/>
    <cellStyle name="Comma 2 9 2 3 3 4" xfId="17608"/>
    <cellStyle name="Comma 2 9 2 3 3 5" xfId="17609"/>
    <cellStyle name="Comma 2 9 2 3 4" xfId="17610"/>
    <cellStyle name="Comma 2 9 2 3 4 2" xfId="17611"/>
    <cellStyle name="Comma 2 9 2 3 4 3" xfId="17612"/>
    <cellStyle name="Comma 2 9 2 3 4 4" xfId="17613"/>
    <cellStyle name="Comma 2 9 2 3 5" xfId="17614"/>
    <cellStyle name="Comma 2 9 2 3 5 2" xfId="17615"/>
    <cellStyle name="Comma 2 9 2 3 6" xfId="17616"/>
    <cellStyle name="Comma 2 9 2 3 7" xfId="17617"/>
    <cellStyle name="Comma 2 9 2 3 8" xfId="17618"/>
    <cellStyle name="Comma 2 9 2 3 9" xfId="17619"/>
    <cellStyle name="Comma 2 9 2 4" xfId="17620"/>
    <cellStyle name="Comma 2 9 2 4 2" xfId="17621"/>
    <cellStyle name="Comma 2 9 2 4 2 2" xfId="17622"/>
    <cellStyle name="Comma 2 9 2 4 2 3" xfId="17623"/>
    <cellStyle name="Comma 2 9 2 4 3" xfId="17624"/>
    <cellStyle name="Comma 2 9 2 4 4" xfId="17625"/>
    <cellStyle name="Comma 2 9 2 4 5" xfId="17626"/>
    <cellStyle name="Comma 2 9 2 4 6" xfId="17627"/>
    <cellStyle name="Comma 2 9 2 5" xfId="17628"/>
    <cellStyle name="Comma 2 9 2 5 2" xfId="17629"/>
    <cellStyle name="Comma 2 9 2 5 2 2" xfId="17630"/>
    <cellStyle name="Comma 2 9 2 5 3" xfId="17631"/>
    <cellStyle name="Comma 2 9 2 5 4" xfId="17632"/>
    <cellStyle name="Comma 2 9 2 5 5" xfId="17633"/>
    <cellStyle name="Comma 2 9 2 6" xfId="17634"/>
    <cellStyle name="Comma 2 9 2 6 2" xfId="17635"/>
    <cellStyle name="Comma 2 9 2 6 3" xfId="17636"/>
    <cellStyle name="Comma 2 9 2 6 4" xfId="17637"/>
    <cellStyle name="Comma 2 9 2 7" xfId="17638"/>
    <cellStyle name="Comma 2 9 2 7 2" xfId="17639"/>
    <cellStyle name="Comma 2 9 2 8" xfId="17640"/>
    <cellStyle name="Comma 2 9 2 9" xfId="17641"/>
    <cellStyle name="Comma 2 9 20" xfId="17642"/>
    <cellStyle name="Comma 2 9 21" xfId="17643"/>
    <cellStyle name="Comma 2 9 22" xfId="17644"/>
    <cellStyle name="Comma 2 9 3" xfId="17645"/>
    <cellStyle name="Comma 2 9 3 10" xfId="17646"/>
    <cellStyle name="Comma 2 9 3 11" xfId="17647"/>
    <cellStyle name="Comma 2 9 3 2" xfId="17648"/>
    <cellStyle name="Comma 2 9 3 2 2" xfId="17649"/>
    <cellStyle name="Comma 2 9 3 2 2 2" xfId="17650"/>
    <cellStyle name="Comma 2 9 3 2 2 2 2" xfId="17651"/>
    <cellStyle name="Comma 2 9 3 2 2 2 3" xfId="17652"/>
    <cellStyle name="Comma 2 9 3 2 2 3" xfId="17653"/>
    <cellStyle name="Comma 2 9 3 2 2 4" xfId="17654"/>
    <cellStyle name="Comma 2 9 3 2 2 5" xfId="17655"/>
    <cellStyle name="Comma 2 9 3 2 2 6" xfId="17656"/>
    <cellStyle name="Comma 2 9 3 2 3" xfId="17657"/>
    <cellStyle name="Comma 2 9 3 2 3 2" xfId="17658"/>
    <cellStyle name="Comma 2 9 3 2 3 2 2" xfId="17659"/>
    <cellStyle name="Comma 2 9 3 2 3 3" xfId="17660"/>
    <cellStyle name="Comma 2 9 3 2 3 4" xfId="17661"/>
    <cellStyle name="Comma 2 9 3 2 3 5" xfId="17662"/>
    <cellStyle name="Comma 2 9 3 2 4" xfId="17663"/>
    <cellStyle name="Comma 2 9 3 2 4 2" xfId="17664"/>
    <cellStyle name="Comma 2 9 3 2 4 3" xfId="17665"/>
    <cellStyle name="Comma 2 9 3 2 4 4" xfId="17666"/>
    <cellStyle name="Comma 2 9 3 2 5" xfId="17667"/>
    <cellStyle name="Comma 2 9 3 2 5 2" xfId="17668"/>
    <cellStyle name="Comma 2 9 3 2 6" xfId="17669"/>
    <cellStyle name="Comma 2 9 3 2 7" xfId="17670"/>
    <cellStyle name="Comma 2 9 3 2 8" xfId="17671"/>
    <cellStyle name="Comma 2 9 3 2 9" xfId="17672"/>
    <cellStyle name="Comma 2 9 3 3" xfId="17673"/>
    <cellStyle name="Comma 2 9 3 3 2" xfId="17674"/>
    <cellStyle name="Comma 2 9 3 3 2 2" xfId="17675"/>
    <cellStyle name="Comma 2 9 3 3 2 2 2" xfId="17676"/>
    <cellStyle name="Comma 2 9 3 3 2 2 3" xfId="17677"/>
    <cellStyle name="Comma 2 9 3 3 2 3" xfId="17678"/>
    <cellStyle name="Comma 2 9 3 3 2 4" xfId="17679"/>
    <cellStyle name="Comma 2 9 3 3 2 5" xfId="17680"/>
    <cellStyle name="Comma 2 9 3 3 2 6" xfId="17681"/>
    <cellStyle name="Comma 2 9 3 3 3" xfId="17682"/>
    <cellStyle name="Comma 2 9 3 3 3 2" xfId="17683"/>
    <cellStyle name="Comma 2 9 3 3 3 2 2" xfId="17684"/>
    <cellStyle name="Comma 2 9 3 3 3 3" xfId="17685"/>
    <cellStyle name="Comma 2 9 3 3 3 4" xfId="17686"/>
    <cellStyle name="Comma 2 9 3 3 3 5" xfId="17687"/>
    <cellStyle name="Comma 2 9 3 3 4" xfId="17688"/>
    <cellStyle name="Comma 2 9 3 3 4 2" xfId="17689"/>
    <cellStyle name="Comma 2 9 3 3 4 3" xfId="17690"/>
    <cellStyle name="Comma 2 9 3 3 4 4" xfId="17691"/>
    <cellStyle name="Comma 2 9 3 3 5" xfId="17692"/>
    <cellStyle name="Comma 2 9 3 3 5 2" xfId="17693"/>
    <cellStyle name="Comma 2 9 3 3 6" xfId="17694"/>
    <cellStyle name="Comma 2 9 3 3 7" xfId="17695"/>
    <cellStyle name="Comma 2 9 3 3 8" xfId="17696"/>
    <cellStyle name="Comma 2 9 3 3 9" xfId="17697"/>
    <cellStyle name="Comma 2 9 3 4" xfId="17698"/>
    <cellStyle name="Comma 2 9 3 4 2" xfId="17699"/>
    <cellStyle name="Comma 2 9 3 4 2 2" xfId="17700"/>
    <cellStyle name="Comma 2 9 3 4 2 3" xfId="17701"/>
    <cellStyle name="Comma 2 9 3 4 3" xfId="17702"/>
    <cellStyle name="Comma 2 9 3 4 4" xfId="17703"/>
    <cellStyle name="Comma 2 9 3 4 5" xfId="17704"/>
    <cellStyle name="Comma 2 9 3 4 6" xfId="17705"/>
    <cellStyle name="Comma 2 9 3 5" xfId="17706"/>
    <cellStyle name="Comma 2 9 3 5 2" xfId="17707"/>
    <cellStyle name="Comma 2 9 3 5 2 2" xfId="17708"/>
    <cellStyle name="Comma 2 9 3 5 3" xfId="17709"/>
    <cellStyle name="Comma 2 9 3 5 4" xfId="17710"/>
    <cellStyle name="Comma 2 9 3 5 5" xfId="17711"/>
    <cellStyle name="Comma 2 9 3 6" xfId="17712"/>
    <cellStyle name="Comma 2 9 3 6 2" xfId="17713"/>
    <cellStyle name="Comma 2 9 3 6 3" xfId="17714"/>
    <cellStyle name="Comma 2 9 3 6 4" xfId="17715"/>
    <cellStyle name="Comma 2 9 3 7" xfId="17716"/>
    <cellStyle name="Comma 2 9 3 7 2" xfId="17717"/>
    <cellStyle name="Comma 2 9 3 8" xfId="17718"/>
    <cellStyle name="Comma 2 9 3 9" xfId="17719"/>
    <cellStyle name="Comma 2 9 4" xfId="17720"/>
    <cellStyle name="Comma 2 9 4 10" xfId="17721"/>
    <cellStyle name="Comma 2 9 4 11" xfId="17722"/>
    <cellStyle name="Comma 2 9 4 2" xfId="17723"/>
    <cellStyle name="Comma 2 9 4 2 2" xfId="17724"/>
    <cellStyle name="Comma 2 9 4 2 2 2" xfId="17725"/>
    <cellStyle name="Comma 2 9 4 2 2 2 2" xfId="17726"/>
    <cellStyle name="Comma 2 9 4 2 2 2 3" xfId="17727"/>
    <cellStyle name="Comma 2 9 4 2 2 3" xfId="17728"/>
    <cellStyle name="Comma 2 9 4 2 2 4" xfId="17729"/>
    <cellStyle name="Comma 2 9 4 2 2 5" xfId="17730"/>
    <cellStyle name="Comma 2 9 4 2 2 6" xfId="17731"/>
    <cellStyle name="Comma 2 9 4 2 3" xfId="17732"/>
    <cellStyle name="Comma 2 9 4 2 3 2" xfId="17733"/>
    <cellStyle name="Comma 2 9 4 2 3 2 2" xfId="17734"/>
    <cellStyle name="Comma 2 9 4 2 3 3" xfId="17735"/>
    <cellStyle name="Comma 2 9 4 2 3 4" xfId="17736"/>
    <cellStyle name="Comma 2 9 4 2 3 5" xfId="17737"/>
    <cellStyle name="Comma 2 9 4 2 4" xfId="17738"/>
    <cellStyle name="Comma 2 9 4 2 4 2" xfId="17739"/>
    <cellStyle name="Comma 2 9 4 2 4 3" xfId="17740"/>
    <cellStyle name="Comma 2 9 4 2 4 4" xfId="17741"/>
    <cellStyle name="Comma 2 9 4 2 5" xfId="17742"/>
    <cellStyle name="Comma 2 9 4 2 5 2" xfId="17743"/>
    <cellStyle name="Comma 2 9 4 2 6" xfId="17744"/>
    <cellStyle name="Comma 2 9 4 2 7" xfId="17745"/>
    <cellStyle name="Comma 2 9 4 2 8" xfId="17746"/>
    <cellStyle name="Comma 2 9 4 2 9" xfId="17747"/>
    <cellStyle name="Comma 2 9 4 3" xfId="17748"/>
    <cellStyle name="Comma 2 9 4 3 2" xfId="17749"/>
    <cellStyle name="Comma 2 9 4 3 2 2" xfId="17750"/>
    <cellStyle name="Comma 2 9 4 3 2 2 2" xfId="17751"/>
    <cellStyle name="Comma 2 9 4 3 2 2 3" xfId="17752"/>
    <cellStyle name="Comma 2 9 4 3 2 3" xfId="17753"/>
    <cellStyle name="Comma 2 9 4 3 2 4" xfId="17754"/>
    <cellStyle name="Comma 2 9 4 3 2 5" xfId="17755"/>
    <cellStyle name="Comma 2 9 4 3 2 6" xfId="17756"/>
    <cellStyle name="Comma 2 9 4 3 3" xfId="17757"/>
    <cellStyle name="Comma 2 9 4 3 3 2" xfId="17758"/>
    <cellStyle name="Comma 2 9 4 3 3 2 2" xfId="17759"/>
    <cellStyle name="Comma 2 9 4 3 3 3" xfId="17760"/>
    <cellStyle name="Comma 2 9 4 3 3 4" xfId="17761"/>
    <cellStyle name="Comma 2 9 4 3 3 5" xfId="17762"/>
    <cellStyle name="Comma 2 9 4 3 4" xfId="17763"/>
    <cellStyle name="Comma 2 9 4 3 4 2" xfId="17764"/>
    <cellStyle name="Comma 2 9 4 3 4 3" xfId="17765"/>
    <cellStyle name="Comma 2 9 4 3 4 4" xfId="17766"/>
    <cellStyle name="Comma 2 9 4 3 5" xfId="17767"/>
    <cellStyle name="Comma 2 9 4 3 5 2" xfId="17768"/>
    <cellStyle name="Comma 2 9 4 3 6" xfId="17769"/>
    <cellStyle name="Comma 2 9 4 3 7" xfId="17770"/>
    <cellStyle name="Comma 2 9 4 3 8" xfId="17771"/>
    <cellStyle name="Comma 2 9 4 3 9" xfId="17772"/>
    <cellStyle name="Comma 2 9 4 4" xfId="17773"/>
    <cellStyle name="Comma 2 9 4 4 2" xfId="17774"/>
    <cellStyle name="Comma 2 9 4 4 2 2" xfId="17775"/>
    <cellStyle name="Comma 2 9 4 4 2 3" xfId="17776"/>
    <cellStyle name="Comma 2 9 4 4 3" xfId="17777"/>
    <cellStyle name="Comma 2 9 4 4 4" xfId="17778"/>
    <cellStyle name="Comma 2 9 4 4 5" xfId="17779"/>
    <cellStyle name="Comma 2 9 4 4 6" xfId="17780"/>
    <cellStyle name="Comma 2 9 4 5" xfId="17781"/>
    <cellStyle name="Comma 2 9 4 5 2" xfId="17782"/>
    <cellStyle name="Comma 2 9 4 5 2 2" xfId="17783"/>
    <cellStyle name="Comma 2 9 4 5 3" xfId="17784"/>
    <cellStyle name="Comma 2 9 4 5 4" xfId="17785"/>
    <cellStyle name="Comma 2 9 4 5 5" xfId="17786"/>
    <cellStyle name="Comma 2 9 4 6" xfId="17787"/>
    <cellStyle name="Comma 2 9 4 6 2" xfId="17788"/>
    <cellStyle name="Comma 2 9 4 6 3" xfId="17789"/>
    <cellStyle name="Comma 2 9 4 6 4" xfId="17790"/>
    <cellStyle name="Comma 2 9 4 7" xfId="17791"/>
    <cellStyle name="Comma 2 9 4 7 2" xfId="17792"/>
    <cellStyle name="Comma 2 9 4 8" xfId="17793"/>
    <cellStyle name="Comma 2 9 4 9" xfId="17794"/>
    <cellStyle name="Comma 2 9 5" xfId="17795"/>
    <cellStyle name="Comma 2 9 5 10" xfId="17796"/>
    <cellStyle name="Comma 2 9 5 11" xfId="17797"/>
    <cellStyle name="Comma 2 9 5 2" xfId="17798"/>
    <cellStyle name="Comma 2 9 5 2 2" xfId="17799"/>
    <cellStyle name="Comma 2 9 5 2 2 2" xfId="17800"/>
    <cellStyle name="Comma 2 9 5 2 2 2 2" xfId="17801"/>
    <cellStyle name="Comma 2 9 5 2 2 2 3" xfId="17802"/>
    <cellStyle name="Comma 2 9 5 2 2 3" xfId="17803"/>
    <cellStyle name="Comma 2 9 5 2 2 4" xfId="17804"/>
    <cellStyle name="Comma 2 9 5 2 2 5" xfId="17805"/>
    <cellStyle name="Comma 2 9 5 2 2 6" xfId="17806"/>
    <cellStyle name="Comma 2 9 5 2 3" xfId="17807"/>
    <cellStyle name="Comma 2 9 5 2 3 2" xfId="17808"/>
    <cellStyle name="Comma 2 9 5 2 3 2 2" xfId="17809"/>
    <cellStyle name="Comma 2 9 5 2 3 3" xfId="17810"/>
    <cellStyle name="Comma 2 9 5 2 3 4" xfId="17811"/>
    <cellStyle name="Comma 2 9 5 2 3 5" xfId="17812"/>
    <cellStyle name="Comma 2 9 5 2 4" xfId="17813"/>
    <cellStyle name="Comma 2 9 5 2 4 2" xfId="17814"/>
    <cellStyle name="Comma 2 9 5 2 4 3" xfId="17815"/>
    <cellStyle name="Comma 2 9 5 2 4 4" xfId="17816"/>
    <cellStyle name="Comma 2 9 5 2 5" xfId="17817"/>
    <cellStyle name="Comma 2 9 5 2 5 2" xfId="17818"/>
    <cellStyle name="Comma 2 9 5 2 6" xfId="17819"/>
    <cellStyle name="Comma 2 9 5 2 7" xfId="17820"/>
    <cellStyle name="Comma 2 9 5 2 8" xfId="17821"/>
    <cellStyle name="Comma 2 9 5 2 9" xfId="17822"/>
    <cellStyle name="Comma 2 9 5 3" xfId="17823"/>
    <cellStyle name="Comma 2 9 5 3 2" xfId="17824"/>
    <cellStyle name="Comma 2 9 5 3 2 2" xfId="17825"/>
    <cellStyle name="Comma 2 9 5 3 2 2 2" xfId="17826"/>
    <cellStyle name="Comma 2 9 5 3 2 2 3" xfId="17827"/>
    <cellStyle name="Comma 2 9 5 3 2 3" xfId="17828"/>
    <cellStyle name="Comma 2 9 5 3 2 4" xfId="17829"/>
    <cellStyle name="Comma 2 9 5 3 2 5" xfId="17830"/>
    <cellStyle name="Comma 2 9 5 3 2 6" xfId="17831"/>
    <cellStyle name="Comma 2 9 5 3 3" xfId="17832"/>
    <cellStyle name="Comma 2 9 5 3 3 2" xfId="17833"/>
    <cellStyle name="Comma 2 9 5 3 3 2 2" xfId="17834"/>
    <cellStyle name="Comma 2 9 5 3 3 3" xfId="17835"/>
    <cellStyle name="Comma 2 9 5 3 3 4" xfId="17836"/>
    <cellStyle name="Comma 2 9 5 3 3 5" xfId="17837"/>
    <cellStyle name="Comma 2 9 5 3 4" xfId="17838"/>
    <cellStyle name="Comma 2 9 5 3 4 2" xfId="17839"/>
    <cellStyle name="Comma 2 9 5 3 4 3" xfId="17840"/>
    <cellStyle name="Comma 2 9 5 3 4 4" xfId="17841"/>
    <cellStyle name="Comma 2 9 5 3 5" xfId="17842"/>
    <cellStyle name="Comma 2 9 5 3 5 2" xfId="17843"/>
    <cellStyle name="Comma 2 9 5 3 6" xfId="17844"/>
    <cellStyle name="Comma 2 9 5 3 7" xfId="17845"/>
    <cellStyle name="Comma 2 9 5 3 8" xfId="17846"/>
    <cellStyle name="Comma 2 9 5 3 9" xfId="17847"/>
    <cellStyle name="Comma 2 9 5 4" xfId="17848"/>
    <cellStyle name="Comma 2 9 5 4 2" xfId="17849"/>
    <cellStyle name="Comma 2 9 5 4 2 2" xfId="17850"/>
    <cellStyle name="Comma 2 9 5 4 2 3" xfId="17851"/>
    <cellStyle name="Comma 2 9 5 4 3" xfId="17852"/>
    <cellStyle name="Comma 2 9 5 4 4" xfId="17853"/>
    <cellStyle name="Comma 2 9 5 4 5" xfId="17854"/>
    <cellStyle name="Comma 2 9 5 4 6" xfId="17855"/>
    <cellStyle name="Comma 2 9 5 5" xfId="17856"/>
    <cellStyle name="Comma 2 9 5 5 2" xfId="17857"/>
    <cellStyle name="Comma 2 9 5 5 2 2" xfId="17858"/>
    <cellStyle name="Comma 2 9 5 5 3" xfId="17859"/>
    <cellStyle name="Comma 2 9 5 5 4" xfId="17860"/>
    <cellStyle name="Comma 2 9 5 5 5" xfId="17861"/>
    <cellStyle name="Comma 2 9 5 6" xfId="17862"/>
    <cellStyle name="Comma 2 9 5 6 2" xfId="17863"/>
    <cellStyle name="Comma 2 9 5 6 3" xfId="17864"/>
    <cellStyle name="Comma 2 9 5 6 4" xfId="17865"/>
    <cellStyle name="Comma 2 9 5 7" xfId="17866"/>
    <cellStyle name="Comma 2 9 5 7 2" xfId="17867"/>
    <cellStyle name="Comma 2 9 5 8" xfId="17868"/>
    <cellStyle name="Comma 2 9 5 9" xfId="17869"/>
    <cellStyle name="Comma 2 9 6" xfId="17870"/>
    <cellStyle name="Comma 2 9 6 10" xfId="17871"/>
    <cellStyle name="Comma 2 9 6 11" xfId="17872"/>
    <cellStyle name="Comma 2 9 6 2" xfId="17873"/>
    <cellStyle name="Comma 2 9 6 2 2" xfId="17874"/>
    <cellStyle name="Comma 2 9 6 2 2 2" xfId="17875"/>
    <cellStyle name="Comma 2 9 6 2 2 2 2" xfId="17876"/>
    <cellStyle name="Comma 2 9 6 2 2 2 3" xfId="17877"/>
    <cellStyle name="Comma 2 9 6 2 2 3" xfId="17878"/>
    <cellStyle name="Comma 2 9 6 2 2 4" xfId="17879"/>
    <cellStyle name="Comma 2 9 6 2 2 5" xfId="17880"/>
    <cellStyle name="Comma 2 9 6 2 2 6" xfId="17881"/>
    <cellStyle name="Comma 2 9 6 2 3" xfId="17882"/>
    <cellStyle name="Comma 2 9 6 2 3 2" xfId="17883"/>
    <cellStyle name="Comma 2 9 6 2 3 2 2" xfId="17884"/>
    <cellStyle name="Comma 2 9 6 2 3 3" xfId="17885"/>
    <cellStyle name="Comma 2 9 6 2 3 4" xfId="17886"/>
    <cellStyle name="Comma 2 9 6 2 3 5" xfId="17887"/>
    <cellStyle name="Comma 2 9 6 2 4" xfId="17888"/>
    <cellStyle name="Comma 2 9 6 2 4 2" xfId="17889"/>
    <cellStyle name="Comma 2 9 6 2 4 3" xfId="17890"/>
    <cellStyle name="Comma 2 9 6 2 4 4" xfId="17891"/>
    <cellStyle name="Comma 2 9 6 2 5" xfId="17892"/>
    <cellStyle name="Comma 2 9 6 2 5 2" xfId="17893"/>
    <cellStyle name="Comma 2 9 6 2 6" xfId="17894"/>
    <cellStyle name="Comma 2 9 6 2 7" xfId="17895"/>
    <cellStyle name="Comma 2 9 6 2 8" xfId="17896"/>
    <cellStyle name="Comma 2 9 6 2 9" xfId="17897"/>
    <cellStyle name="Comma 2 9 6 3" xfId="17898"/>
    <cellStyle name="Comma 2 9 6 3 2" xfId="17899"/>
    <cellStyle name="Comma 2 9 6 3 2 2" xfId="17900"/>
    <cellStyle name="Comma 2 9 6 3 2 2 2" xfId="17901"/>
    <cellStyle name="Comma 2 9 6 3 2 2 3" xfId="17902"/>
    <cellStyle name="Comma 2 9 6 3 2 3" xfId="17903"/>
    <cellStyle name="Comma 2 9 6 3 2 4" xfId="17904"/>
    <cellStyle name="Comma 2 9 6 3 2 5" xfId="17905"/>
    <cellStyle name="Comma 2 9 6 3 2 6" xfId="17906"/>
    <cellStyle name="Comma 2 9 6 3 3" xfId="17907"/>
    <cellStyle name="Comma 2 9 6 3 3 2" xfId="17908"/>
    <cellStyle name="Comma 2 9 6 3 3 2 2" xfId="17909"/>
    <cellStyle name="Comma 2 9 6 3 3 3" xfId="17910"/>
    <cellStyle name="Comma 2 9 6 3 3 4" xfId="17911"/>
    <cellStyle name="Comma 2 9 6 3 3 5" xfId="17912"/>
    <cellStyle name="Comma 2 9 6 3 4" xfId="17913"/>
    <cellStyle name="Comma 2 9 6 3 4 2" xfId="17914"/>
    <cellStyle name="Comma 2 9 6 3 4 3" xfId="17915"/>
    <cellStyle name="Comma 2 9 6 3 4 4" xfId="17916"/>
    <cellStyle name="Comma 2 9 6 3 5" xfId="17917"/>
    <cellStyle name="Comma 2 9 6 3 5 2" xfId="17918"/>
    <cellStyle name="Comma 2 9 6 3 6" xfId="17919"/>
    <cellStyle name="Comma 2 9 6 3 7" xfId="17920"/>
    <cellStyle name="Comma 2 9 6 3 8" xfId="17921"/>
    <cellStyle name="Comma 2 9 6 3 9" xfId="17922"/>
    <cellStyle name="Comma 2 9 6 4" xfId="17923"/>
    <cellStyle name="Comma 2 9 6 4 2" xfId="17924"/>
    <cellStyle name="Comma 2 9 6 4 2 2" xfId="17925"/>
    <cellStyle name="Comma 2 9 6 4 2 3" xfId="17926"/>
    <cellStyle name="Comma 2 9 6 4 3" xfId="17927"/>
    <cellStyle name="Comma 2 9 6 4 4" xfId="17928"/>
    <cellStyle name="Comma 2 9 6 4 5" xfId="17929"/>
    <cellStyle name="Comma 2 9 6 4 6" xfId="17930"/>
    <cellStyle name="Comma 2 9 6 5" xfId="17931"/>
    <cellStyle name="Comma 2 9 6 5 2" xfId="17932"/>
    <cellStyle name="Comma 2 9 6 5 2 2" xfId="17933"/>
    <cellStyle name="Comma 2 9 6 5 3" xfId="17934"/>
    <cellStyle name="Comma 2 9 6 5 4" xfId="17935"/>
    <cellStyle name="Comma 2 9 6 5 5" xfId="17936"/>
    <cellStyle name="Comma 2 9 6 6" xfId="17937"/>
    <cellStyle name="Comma 2 9 6 6 2" xfId="17938"/>
    <cellStyle name="Comma 2 9 6 6 3" xfId="17939"/>
    <cellStyle name="Comma 2 9 6 6 4" xfId="17940"/>
    <cellStyle name="Comma 2 9 6 7" xfId="17941"/>
    <cellStyle name="Comma 2 9 6 7 2" xfId="17942"/>
    <cellStyle name="Comma 2 9 6 8" xfId="17943"/>
    <cellStyle name="Comma 2 9 6 9" xfId="17944"/>
    <cellStyle name="Comma 2 9 7" xfId="17945"/>
    <cellStyle name="Comma 2 9 7 10" xfId="17946"/>
    <cellStyle name="Comma 2 9 7 11" xfId="17947"/>
    <cellStyle name="Comma 2 9 7 2" xfId="17948"/>
    <cellStyle name="Comma 2 9 7 2 2" xfId="17949"/>
    <cellStyle name="Comma 2 9 7 2 2 2" xfId="17950"/>
    <cellStyle name="Comma 2 9 7 2 2 2 2" xfId="17951"/>
    <cellStyle name="Comma 2 9 7 2 2 2 3" xfId="17952"/>
    <cellStyle name="Comma 2 9 7 2 2 3" xfId="17953"/>
    <cellStyle name="Comma 2 9 7 2 2 4" xfId="17954"/>
    <cellStyle name="Comma 2 9 7 2 2 5" xfId="17955"/>
    <cellStyle name="Comma 2 9 7 2 2 6" xfId="17956"/>
    <cellStyle name="Comma 2 9 7 2 3" xfId="17957"/>
    <cellStyle name="Comma 2 9 7 2 3 2" xfId="17958"/>
    <cellStyle name="Comma 2 9 7 2 3 2 2" xfId="17959"/>
    <cellStyle name="Comma 2 9 7 2 3 3" xfId="17960"/>
    <cellStyle name="Comma 2 9 7 2 3 4" xfId="17961"/>
    <cellStyle name="Comma 2 9 7 2 3 5" xfId="17962"/>
    <cellStyle name="Comma 2 9 7 2 4" xfId="17963"/>
    <cellStyle name="Comma 2 9 7 2 4 2" xfId="17964"/>
    <cellStyle name="Comma 2 9 7 2 4 3" xfId="17965"/>
    <cellStyle name="Comma 2 9 7 2 4 4" xfId="17966"/>
    <cellStyle name="Comma 2 9 7 2 5" xfId="17967"/>
    <cellStyle name="Comma 2 9 7 2 5 2" xfId="17968"/>
    <cellStyle name="Comma 2 9 7 2 6" xfId="17969"/>
    <cellStyle name="Comma 2 9 7 2 7" xfId="17970"/>
    <cellStyle name="Comma 2 9 7 2 8" xfId="17971"/>
    <cellStyle name="Comma 2 9 7 2 9" xfId="17972"/>
    <cellStyle name="Comma 2 9 7 3" xfId="17973"/>
    <cellStyle name="Comma 2 9 7 3 2" xfId="17974"/>
    <cellStyle name="Comma 2 9 7 3 2 2" xfId="17975"/>
    <cellStyle name="Comma 2 9 7 3 2 2 2" xfId="17976"/>
    <cellStyle name="Comma 2 9 7 3 2 2 3" xfId="17977"/>
    <cellStyle name="Comma 2 9 7 3 2 3" xfId="17978"/>
    <cellStyle name="Comma 2 9 7 3 2 4" xfId="17979"/>
    <cellStyle name="Comma 2 9 7 3 2 5" xfId="17980"/>
    <cellStyle name="Comma 2 9 7 3 2 6" xfId="17981"/>
    <cellStyle name="Comma 2 9 7 3 3" xfId="17982"/>
    <cellStyle name="Comma 2 9 7 3 3 2" xfId="17983"/>
    <cellStyle name="Comma 2 9 7 3 3 2 2" xfId="17984"/>
    <cellStyle name="Comma 2 9 7 3 3 3" xfId="17985"/>
    <cellStyle name="Comma 2 9 7 3 3 4" xfId="17986"/>
    <cellStyle name="Comma 2 9 7 3 3 5" xfId="17987"/>
    <cellStyle name="Comma 2 9 7 3 4" xfId="17988"/>
    <cellStyle name="Comma 2 9 7 3 4 2" xfId="17989"/>
    <cellStyle name="Comma 2 9 7 3 4 3" xfId="17990"/>
    <cellStyle name="Comma 2 9 7 3 4 4" xfId="17991"/>
    <cellStyle name="Comma 2 9 7 3 5" xfId="17992"/>
    <cellStyle name="Comma 2 9 7 3 5 2" xfId="17993"/>
    <cellStyle name="Comma 2 9 7 3 6" xfId="17994"/>
    <cellStyle name="Comma 2 9 7 3 7" xfId="17995"/>
    <cellStyle name="Comma 2 9 7 3 8" xfId="17996"/>
    <cellStyle name="Comma 2 9 7 3 9" xfId="17997"/>
    <cellStyle name="Comma 2 9 7 4" xfId="17998"/>
    <cellStyle name="Comma 2 9 7 4 2" xfId="17999"/>
    <cellStyle name="Comma 2 9 7 4 2 2" xfId="18000"/>
    <cellStyle name="Comma 2 9 7 4 2 3" xfId="18001"/>
    <cellStyle name="Comma 2 9 7 4 3" xfId="18002"/>
    <cellStyle name="Comma 2 9 7 4 4" xfId="18003"/>
    <cellStyle name="Comma 2 9 7 4 5" xfId="18004"/>
    <cellStyle name="Comma 2 9 7 4 6" xfId="18005"/>
    <cellStyle name="Comma 2 9 7 5" xfId="18006"/>
    <cellStyle name="Comma 2 9 7 5 2" xfId="18007"/>
    <cellStyle name="Comma 2 9 7 5 2 2" xfId="18008"/>
    <cellStyle name="Comma 2 9 7 5 3" xfId="18009"/>
    <cellStyle name="Comma 2 9 7 5 4" xfId="18010"/>
    <cellStyle name="Comma 2 9 7 5 5" xfId="18011"/>
    <cellStyle name="Comma 2 9 7 6" xfId="18012"/>
    <cellStyle name="Comma 2 9 7 6 2" xfId="18013"/>
    <cellStyle name="Comma 2 9 7 6 3" xfId="18014"/>
    <cellStyle name="Comma 2 9 7 6 4" xfId="18015"/>
    <cellStyle name="Comma 2 9 7 7" xfId="18016"/>
    <cellStyle name="Comma 2 9 7 7 2" xfId="18017"/>
    <cellStyle name="Comma 2 9 7 8" xfId="18018"/>
    <cellStyle name="Comma 2 9 7 9" xfId="18019"/>
    <cellStyle name="Comma 2 9 8" xfId="18020"/>
    <cellStyle name="Comma 2 9 8 10" xfId="18021"/>
    <cellStyle name="Comma 2 9 8 2" xfId="18022"/>
    <cellStyle name="Comma 2 9 8 2 2" xfId="18023"/>
    <cellStyle name="Comma 2 9 8 2 2 2" xfId="18024"/>
    <cellStyle name="Comma 2 9 8 2 2 3" xfId="18025"/>
    <cellStyle name="Comma 2 9 8 2 3" xfId="18026"/>
    <cellStyle name="Comma 2 9 8 2 4" xfId="18027"/>
    <cellStyle name="Comma 2 9 8 2 5" xfId="18028"/>
    <cellStyle name="Comma 2 9 8 2 6" xfId="18029"/>
    <cellStyle name="Comma 2 9 8 3" xfId="18030"/>
    <cellStyle name="Comma 2 9 8 3 2" xfId="18031"/>
    <cellStyle name="Comma 2 9 8 3 2 2" xfId="18032"/>
    <cellStyle name="Comma 2 9 8 3 2 3" xfId="18033"/>
    <cellStyle name="Comma 2 9 8 3 3" xfId="18034"/>
    <cellStyle name="Comma 2 9 8 3 4" xfId="18035"/>
    <cellStyle name="Comma 2 9 8 3 5" xfId="18036"/>
    <cellStyle name="Comma 2 9 8 3 6" xfId="18037"/>
    <cellStyle name="Comma 2 9 8 4" xfId="18038"/>
    <cellStyle name="Comma 2 9 8 4 2" xfId="18039"/>
    <cellStyle name="Comma 2 9 8 4 2 2" xfId="18040"/>
    <cellStyle name="Comma 2 9 8 4 3" xfId="18041"/>
    <cellStyle name="Comma 2 9 8 4 4" xfId="18042"/>
    <cellStyle name="Comma 2 9 8 4 5" xfId="18043"/>
    <cellStyle name="Comma 2 9 8 5" xfId="18044"/>
    <cellStyle name="Comma 2 9 8 5 2" xfId="18045"/>
    <cellStyle name="Comma 2 9 8 5 3" xfId="18046"/>
    <cellStyle name="Comma 2 9 8 5 4" xfId="18047"/>
    <cellStyle name="Comma 2 9 8 6" xfId="18048"/>
    <cellStyle name="Comma 2 9 8 6 2" xfId="18049"/>
    <cellStyle name="Comma 2 9 8 7" xfId="18050"/>
    <cellStyle name="Comma 2 9 8 8" xfId="18051"/>
    <cellStyle name="Comma 2 9 8 9" xfId="18052"/>
    <cellStyle name="Comma 2 9 9" xfId="18053"/>
    <cellStyle name="Comma 2 9 9 10" xfId="18054"/>
    <cellStyle name="Comma 2 9 9 2" xfId="18055"/>
    <cellStyle name="Comma 2 9 9 2 2" xfId="18056"/>
    <cellStyle name="Comma 2 9 9 2 2 2" xfId="18057"/>
    <cellStyle name="Comma 2 9 9 2 2 3" xfId="18058"/>
    <cellStyle name="Comma 2 9 9 2 3" xfId="18059"/>
    <cellStyle name="Comma 2 9 9 2 4" xfId="18060"/>
    <cellStyle name="Comma 2 9 9 2 5" xfId="18061"/>
    <cellStyle name="Comma 2 9 9 2 6" xfId="18062"/>
    <cellStyle name="Comma 2 9 9 3" xfId="18063"/>
    <cellStyle name="Comma 2 9 9 3 2" xfId="18064"/>
    <cellStyle name="Comma 2 9 9 3 2 2" xfId="18065"/>
    <cellStyle name="Comma 2 9 9 3 2 3" xfId="18066"/>
    <cellStyle name="Comma 2 9 9 3 3" xfId="18067"/>
    <cellStyle name="Comma 2 9 9 3 4" xfId="18068"/>
    <cellStyle name="Comma 2 9 9 3 5" xfId="18069"/>
    <cellStyle name="Comma 2 9 9 3 6" xfId="18070"/>
    <cellStyle name="Comma 2 9 9 4" xfId="18071"/>
    <cellStyle name="Comma 2 9 9 4 2" xfId="18072"/>
    <cellStyle name="Comma 2 9 9 4 2 2" xfId="18073"/>
    <cellStyle name="Comma 2 9 9 4 3" xfId="18074"/>
    <cellStyle name="Comma 2 9 9 4 4" xfId="18075"/>
    <cellStyle name="Comma 2 9 9 4 5" xfId="18076"/>
    <cellStyle name="Comma 2 9 9 5" xfId="18077"/>
    <cellStyle name="Comma 2 9 9 5 2" xfId="18078"/>
    <cellStyle name="Comma 2 9 9 5 3" xfId="18079"/>
    <cellStyle name="Comma 2 9 9 5 4" xfId="18080"/>
    <cellStyle name="Comma 2 9 9 6" xfId="18081"/>
    <cellStyle name="Comma 2 9 9 6 2" xfId="18082"/>
    <cellStyle name="Comma 2 9 9 7" xfId="18083"/>
    <cellStyle name="Comma 2 9 9 8" xfId="18084"/>
    <cellStyle name="Comma 2 9 9 9" xfId="18085"/>
    <cellStyle name="Comma 20" xfId="18086"/>
    <cellStyle name="Comma 21" xfId="18087"/>
    <cellStyle name="Comma 22" xfId="18088"/>
    <cellStyle name="Comma 23" xfId="42322"/>
    <cellStyle name="Comma 25" xfId="18089"/>
    <cellStyle name="Comma 3" xfId="18090"/>
    <cellStyle name="Comma 3 10" xfId="18091"/>
    <cellStyle name="Comma 3 11" xfId="18092"/>
    <cellStyle name="Comma 3 12" xfId="18093"/>
    <cellStyle name="Comma 3 13" xfId="18094"/>
    <cellStyle name="Comma 3 14" xfId="18095"/>
    <cellStyle name="Comma 3 15" xfId="18096"/>
    <cellStyle name="Comma 3 16" xfId="18097"/>
    <cellStyle name="Comma 3 17" xfId="18098"/>
    <cellStyle name="Comma 3 18" xfId="18099"/>
    <cellStyle name="Comma 3 19" xfId="18100"/>
    <cellStyle name="Comma 3 2" xfId="18101"/>
    <cellStyle name="Comma 3 2 2" xfId="18102"/>
    <cellStyle name="Comma 3 2 2 2" xfId="18103"/>
    <cellStyle name="Comma 3 2 3" xfId="18104"/>
    <cellStyle name="Comma 3 2 3 2" xfId="18105"/>
    <cellStyle name="Comma 3 2 4" xfId="18106"/>
    <cellStyle name="Comma 3 2 5" xfId="18107"/>
    <cellStyle name="Comma 3 20" xfId="18108"/>
    <cellStyle name="Comma 3 21" xfId="18109"/>
    <cellStyle name="Comma 3 22" xfId="18110"/>
    <cellStyle name="Comma 3 23" xfId="18111"/>
    <cellStyle name="Comma 3 24" xfId="18112"/>
    <cellStyle name="Comma 3 25" xfId="18113"/>
    <cellStyle name="Comma 3 26" xfId="18114"/>
    <cellStyle name="Comma 3 27" xfId="18115"/>
    <cellStyle name="Comma 3 28" xfId="18116"/>
    <cellStyle name="Comma 3 29" xfId="18117"/>
    <cellStyle name="Comma 3 3" xfId="18118"/>
    <cellStyle name="Comma 3 3 2" xfId="18119"/>
    <cellStyle name="Comma 3 3 2 2" xfId="18120"/>
    <cellStyle name="Comma 3 3 3" xfId="18121"/>
    <cellStyle name="Comma 3 3 4" xfId="18122"/>
    <cellStyle name="Comma 3 30" xfId="18123"/>
    <cellStyle name="Comma 3 31" xfId="18124"/>
    <cellStyle name="Comma 3 32" xfId="18125"/>
    <cellStyle name="Comma 3 33" xfId="18126"/>
    <cellStyle name="Comma 3 34" xfId="18127"/>
    <cellStyle name="Comma 3 35" xfId="18128"/>
    <cellStyle name="Comma 3 36" xfId="18129"/>
    <cellStyle name="Comma 3 37" xfId="18130"/>
    <cellStyle name="Comma 3 38" xfId="18131"/>
    <cellStyle name="Comma 3 39" xfId="18132"/>
    <cellStyle name="Comma 3 4" xfId="18133"/>
    <cellStyle name="Comma 3 4 2" xfId="18134"/>
    <cellStyle name="Comma 3 40" xfId="18135"/>
    <cellStyle name="Comma 3 5" xfId="18136"/>
    <cellStyle name="Comma 3 6" xfId="18137"/>
    <cellStyle name="Comma 3 7" xfId="18138"/>
    <cellStyle name="Comma 3 8" xfId="18139"/>
    <cellStyle name="Comma 3 9" xfId="18140"/>
    <cellStyle name="Comma 31" xfId="18141"/>
    <cellStyle name="Comma 32" xfId="18142"/>
    <cellStyle name="Comma 4" xfId="18143"/>
    <cellStyle name="Comma 4 10" xfId="18144"/>
    <cellStyle name="Comma 4 11" xfId="18145"/>
    <cellStyle name="Comma 4 12" xfId="18146"/>
    <cellStyle name="Comma 4 13" xfId="18147"/>
    <cellStyle name="Comma 4 14" xfId="18148"/>
    <cellStyle name="Comma 4 15" xfId="18149"/>
    <cellStyle name="Comma 4 16" xfId="18150"/>
    <cellStyle name="Comma 4 17" xfId="18151"/>
    <cellStyle name="Comma 4 18" xfId="18152"/>
    <cellStyle name="Comma 4 18 2" xfId="18153"/>
    <cellStyle name="Comma 4 19" xfId="18154"/>
    <cellStyle name="Comma 4 2" xfId="18155"/>
    <cellStyle name="Comma 4 2 2" xfId="18156"/>
    <cellStyle name="Comma 4 2 2 2" xfId="18157"/>
    <cellStyle name="Comma 4 2 2 2 2" xfId="18158"/>
    <cellStyle name="Comma 4 2 2 2 3" xfId="18159"/>
    <cellStyle name="Comma 4 2 2 3" xfId="18160"/>
    <cellStyle name="Comma 4 2 2 4" xfId="18161"/>
    <cellStyle name="Comma 4 2 2 5" xfId="18162"/>
    <cellStyle name="Comma 4 2 2 6" xfId="18163"/>
    <cellStyle name="Comma 4 2 3" xfId="18164"/>
    <cellStyle name="Comma 4 2 3 2" xfId="18165"/>
    <cellStyle name="Comma 4 2 3 2 2" xfId="18166"/>
    <cellStyle name="Comma 4 2 3 3" xfId="18167"/>
    <cellStyle name="Comma 4 2 3 4" xfId="18168"/>
    <cellStyle name="Comma 4 2 3 5" xfId="18169"/>
    <cellStyle name="Comma 4 2 3 6" xfId="18170"/>
    <cellStyle name="Comma 4 2 4" xfId="18171"/>
    <cellStyle name="Comma 4 2 4 2" xfId="18172"/>
    <cellStyle name="Comma 4 2 4 3" xfId="18173"/>
    <cellStyle name="Comma 4 2 4 4" xfId="18174"/>
    <cellStyle name="Comma 4 2 5" xfId="18175"/>
    <cellStyle name="Comma 4 2 5 2" xfId="18176"/>
    <cellStyle name="Comma 4 2 6" xfId="18177"/>
    <cellStyle name="Comma 4 2 7" xfId="18178"/>
    <cellStyle name="Comma 4 2 8" xfId="18179"/>
    <cellStyle name="Comma 4 2 9" xfId="18180"/>
    <cellStyle name="Comma 4 20" xfId="18181"/>
    <cellStyle name="Comma 4 21" xfId="18182"/>
    <cellStyle name="Comma 4 3" xfId="18183"/>
    <cellStyle name="Comma 4 3 2" xfId="18184"/>
    <cellStyle name="Comma 4 3 2 2" xfId="18185"/>
    <cellStyle name="Comma 4 3 2 2 2" xfId="18186"/>
    <cellStyle name="Comma 4 3 2 3" xfId="18187"/>
    <cellStyle name="Comma 4 3 2 4" xfId="18188"/>
    <cellStyle name="Comma 4 3 2 5" xfId="18189"/>
    <cellStyle name="Comma 4 3 2 6" xfId="18190"/>
    <cellStyle name="Comma 4 3 3" xfId="18191"/>
    <cellStyle name="Comma 4 3 3 2" xfId="18192"/>
    <cellStyle name="Comma 4 3 3 3" xfId="18193"/>
    <cellStyle name="Comma 4 3 3 4" xfId="18194"/>
    <cellStyle name="Comma 4 3 4" xfId="18195"/>
    <cellStyle name="Comma 4 3 4 2" xfId="18196"/>
    <cellStyle name="Comma 4 3 5" xfId="18197"/>
    <cellStyle name="Comma 4 3 6" xfId="18198"/>
    <cellStyle name="Comma 4 3 7" xfId="18199"/>
    <cellStyle name="Comma 4 3 8" xfId="18200"/>
    <cellStyle name="Comma 4 4" xfId="18201"/>
    <cellStyle name="Comma 4 4 2" xfId="18202"/>
    <cellStyle name="Comma 4 4 2 2" xfId="18203"/>
    <cellStyle name="Comma 4 4 2 3" xfId="18204"/>
    <cellStyle name="Comma 4 4 3" xfId="18205"/>
    <cellStyle name="Comma 4 4 4" xfId="18206"/>
    <cellStyle name="Comma 4 4 5" xfId="18207"/>
    <cellStyle name="Comma 4 4 6" xfId="18208"/>
    <cellStyle name="Comma 4 5" xfId="18209"/>
    <cellStyle name="Comma 4 5 2" xfId="18210"/>
    <cellStyle name="Comma 4 5 2 2" xfId="18211"/>
    <cellStyle name="Comma 4 5 3" xfId="18212"/>
    <cellStyle name="Comma 4 5 4" xfId="18213"/>
    <cellStyle name="Comma 4 5 5" xfId="18214"/>
    <cellStyle name="Comma 4 5 6" xfId="18215"/>
    <cellStyle name="Comma 4 6" xfId="18216"/>
    <cellStyle name="Comma 4 6 2" xfId="18217"/>
    <cellStyle name="Comma 4 6 3" xfId="18218"/>
    <cellStyle name="Comma 4 6 4" xfId="18219"/>
    <cellStyle name="Comma 4 6 5" xfId="18220"/>
    <cellStyle name="Comma 4 7" xfId="18221"/>
    <cellStyle name="Comma 4 7 2" xfId="18222"/>
    <cellStyle name="Comma 4 7 3" xfId="18223"/>
    <cellStyle name="Comma 4 8" xfId="18224"/>
    <cellStyle name="Comma 4 8 2" xfId="18225"/>
    <cellStyle name="Comma 4 8 3" xfId="18226"/>
    <cellStyle name="Comma 4 9" xfId="18227"/>
    <cellStyle name="Comma 5" xfId="18228"/>
    <cellStyle name="Comma 5 10" xfId="18229"/>
    <cellStyle name="Comma 5 11" xfId="42323"/>
    <cellStyle name="Comma 5 2" xfId="18230"/>
    <cellStyle name="Comma 5 2 2" xfId="18231"/>
    <cellStyle name="Comma 5 2 2 2" xfId="18232"/>
    <cellStyle name="Comma 5 2 2 2 2" xfId="18233"/>
    <cellStyle name="Comma 5 2 2 2 3" xfId="18234"/>
    <cellStyle name="Comma 5 2 2 3" xfId="18235"/>
    <cellStyle name="Comma 5 2 2 4" xfId="18236"/>
    <cellStyle name="Comma 5 2 2 5" xfId="18237"/>
    <cellStyle name="Comma 5 2 2 6" xfId="18238"/>
    <cellStyle name="Comma 5 2 3" xfId="18239"/>
    <cellStyle name="Comma 5 2 3 2" xfId="18240"/>
    <cellStyle name="Comma 5 2 3 2 2" xfId="18241"/>
    <cellStyle name="Comma 5 2 3 3" xfId="18242"/>
    <cellStyle name="Comma 5 2 3 4" xfId="18243"/>
    <cellStyle name="Comma 5 2 3 5" xfId="18244"/>
    <cellStyle name="Comma 5 2 4" xfId="18245"/>
    <cellStyle name="Comma 5 2 4 2" xfId="18246"/>
    <cellStyle name="Comma 5 2 4 3" xfId="18247"/>
    <cellStyle name="Comma 5 2 4 4" xfId="18248"/>
    <cellStyle name="Comma 5 2 5" xfId="18249"/>
    <cellStyle name="Comma 5 2 5 2" xfId="18250"/>
    <cellStyle name="Comma 5 2 6" xfId="18251"/>
    <cellStyle name="Comma 5 2 7" xfId="18252"/>
    <cellStyle name="Comma 5 2 8" xfId="18253"/>
    <cellStyle name="Comma 5 2 9" xfId="18254"/>
    <cellStyle name="Comma 5 3" xfId="18255"/>
    <cellStyle name="Comma 5 3 2" xfId="18256"/>
    <cellStyle name="Comma 5 3 2 2" xfId="18257"/>
    <cellStyle name="Comma 5 3 2 3" xfId="18258"/>
    <cellStyle name="Comma 5 3 3" xfId="18259"/>
    <cellStyle name="Comma 5 3 4" xfId="18260"/>
    <cellStyle name="Comma 5 3 5" xfId="18261"/>
    <cellStyle name="Comma 5 3 6" xfId="18262"/>
    <cellStyle name="Comma 5 4" xfId="18263"/>
    <cellStyle name="Comma 5 4 2" xfId="18264"/>
    <cellStyle name="Comma 5 4 2 2" xfId="18265"/>
    <cellStyle name="Comma 5 4 3" xfId="18266"/>
    <cellStyle name="Comma 5 4 4" xfId="18267"/>
    <cellStyle name="Comma 5 4 5" xfId="18268"/>
    <cellStyle name="Comma 5 5" xfId="18269"/>
    <cellStyle name="Comma 5 5 2" xfId="18270"/>
    <cellStyle name="Comma 5 5 3" xfId="18271"/>
    <cellStyle name="Comma 5 5 4" xfId="18272"/>
    <cellStyle name="Comma 5 6" xfId="18273"/>
    <cellStyle name="Comma 5 6 2" xfId="18274"/>
    <cellStyle name="Comma 5 7" xfId="18275"/>
    <cellStyle name="Comma 5 8" xfId="18276"/>
    <cellStyle name="Comma 5 9" xfId="18277"/>
    <cellStyle name="Comma 6" xfId="18278"/>
    <cellStyle name="Comma 6 2" xfId="18279"/>
    <cellStyle name="Comma 6 2 2" xfId="18280"/>
    <cellStyle name="Comma 6 2 2 2" xfId="18281"/>
    <cellStyle name="Comma 6 2 2 3" xfId="18282"/>
    <cellStyle name="Comma 6 2 3" xfId="18283"/>
    <cellStyle name="Comma 6 2 4" xfId="18284"/>
    <cellStyle name="Comma 6 2 5" xfId="18285"/>
    <cellStyle name="Comma 6 2 6" xfId="18286"/>
    <cellStyle name="Comma 6 3" xfId="18287"/>
    <cellStyle name="Comma 6 3 2" xfId="18288"/>
    <cellStyle name="Comma 6 3 2 2" xfId="18289"/>
    <cellStyle name="Comma 6 3 3" xfId="18290"/>
    <cellStyle name="Comma 6 3 4" xfId="18291"/>
    <cellStyle name="Comma 6 3 5" xfId="18292"/>
    <cellStyle name="Comma 6 3 6" xfId="18293"/>
    <cellStyle name="Comma 6 4" xfId="18294"/>
    <cellStyle name="Comma 6 4 2" xfId="18295"/>
    <cellStyle name="Comma 6 4 3" xfId="18296"/>
    <cellStyle name="Comma 6 4 4" xfId="18297"/>
    <cellStyle name="Comma 6 5" xfId="18298"/>
    <cellStyle name="Comma 6 5 2" xfId="18299"/>
    <cellStyle name="Comma 6 6" xfId="18300"/>
    <cellStyle name="Comma 6 7" xfId="18301"/>
    <cellStyle name="Comma 6 8" xfId="18302"/>
    <cellStyle name="Comma 6 9" xfId="18303"/>
    <cellStyle name="Comma 7" xfId="18304"/>
    <cellStyle name="Comma 7 2" xfId="18305"/>
    <cellStyle name="Comma 7 2 2" xfId="18306"/>
    <cellStyle name="Comma 7 2 2 2" xfId="18307"/>
    <cellStyle name="Comma 7 2 3" xfId="18308"/>
    <cellStyle name="Comma 7 2 4" xfId="18309"/>
    <cellStyle name="Comma 7 2 5" xfId="18310"/>
    <cellStyle name="Comma 7 2 6" xfId="18311"/>
    <cellStyle name="Comma 7 3" xfId="18312"/>
    <cellStyle name="Comma 7 3 2" xfId="18313"/>
    <cellStyle name="Comma 7 3 3" xfId="18314"/>
    <cellStyle name="Comma 7 3 4" xfId="18315"/>
    <cellStyle name="Comma 7 4" xfId="18316"/>
    <cellStyle name="Comma 7 4 2" xfId="18317"/>
    <cellStyle name="Comma 7 5" xfId="18318"/>
    <cellStyle name="Comma 7 6" xfId="18319"/>
    <cellStyle name="Comma 7 7" xfId="18320"/>
    <cellStyle name="Comma 7 8" xfId="18321"/>
    <cellStyle name="Comma 8" xfId="18322"/>
    <cellStyle name="Comma 8 2" xfId="18323"/>
    <cellStyle name="Comma 8 2 2" xfId="18324"/>
    <cellStyle name="Comma 8 2 2 2" xfId="18325"/>
    <cellStyle name="Comma 8 2 3" xfId="18326"/>
    <cellStyle name="Comma 8 2 4" xfId="18327"/>
    <cellStyle name="Comma 8 2 5" xfId="18328"/>
    <cellStyle name="Comma 8 3" xfId="18329"/>
    <cellStyle name="Comma 8 3 2" xfId="18330"/>
    <cellStyle name="Comma 8 3 3" xfId="18331"/>
    <cellStyle name="Comma 8 3 4" xfId="18332"/>
    <cellStyle name="Comma 8 4" xfId="18333"/>
    <cellStyle name="Comma 8 4 2" xfId="18334"/>
    <cellStyle name="Comma 8 5" xfId="18335"/>
    <cellStyle name="Comma 8 6" xfId="18336"/>
    <cellStyle name="Comma 8 7" xfId="18337"/>
    <cellStyle name="Comma 8 8" xfId="18338"/>
    <cellStyle name="Comma 9" xfId="18339"/>
    <cellStyle name="Comma 9 2" xfId="18340"/>
    <cellStyle name="Comma 9 3" xfId="18341"/>
    <cellStyle name="Comma0" xfId="18342"/>
    <cellStyle name="Currency" xfId="2" builtinId="4"/>
    <cellStyle name="Currency 10" xfId="18343"/>
    <cellStyle name="Currency 10 2" xfId="18344"/>
    <cellStyle name="Currency 10 2 2" xfId="18345"/>
    <cellStyle name="Currency 10 2 3" xfId="18346"/>
    <cellStyle name="Currency 10 2 4" xfId="18347"/>
    <cellStyle name="Currency 10 3" xfId="18348"/>
    <cellStyle name="Currency 10 3 2" xfId="18349"/>
    <cellStyle name="Currency 10 4" xfId="18350"/>
    <cellStyle name="Currency 10 5" xfId="18351"/>
    <cellStyle name="Currency 10 6" xfId="18352"/>
    <cellStyle name="Currency 11" xfId="18353"/>
    <cellStyle name="Currency 11 2" xfId="18354"/>
    <cellStyle name="Currency 11 2 2" xfId="18355"/>
    <cellStyle name="Currency 11 2 3" xfId="18356"/>
    <cellStyle name="Currency 11 3" xfId="18357"/>
    <cellStyle name="Currency 12" xfId="18358"/>
    <cellStyle name="Currency 13" xfId="42324"/>
    <cellStyle name="Currency 2" xfId="18359"/>
    <cellStyle name="Currency 2 10" xfId="18360"/>
    <cellStyle name="Currency 2 10 2" xfId="18361"/>
    <cellStyle name="Currency 2 10 3" xfId="18362"/>
    <cellStyle name="Currency 2 10 4" xfId="18363"/>
    <cellStyle name="Currency 2 10 5" xfId="18364"/>
    <cellStyle name="Currency 2 10 6" xfId="18365"/>
    <cellStyle name="Currency 2 10 7" xfId="18366"/>
    <cellStyle name="Currency 2 11" xfId="18367"/>
    <cellStyle name="Currency 2 11 2" xfId="18368"/>
    <cellStyle name="Currency 2 11 3" xfId="18369"/>
    <cellStyle name="Currency 2 11 4" xfId="18370"/>
    <cellStyle name="Currency 2 11 5" xfId="18371"/>
    <cellStyle name="Currency 2 11 6" xfId="18372"/>
    <cellStyle name="Currency 2 11 7" xfId="18373"/>
    <cellStyle name="Currency 2 12" xfId="18374"/>
    <cellStyle name="Currency 2 12 2" xfId="18375"/>
    <cellStyle name="Currency 2 12 3" xfId="18376"/>
    <cellStyle name="Currency 2 12 4" xfId="18377"/>
    <cellStyle name="Currency 2 12 5" xfId="18378"/>
    <cellStyle name="Currency 2 12 6" xfId="18379"/>
    <cellStyle name="Currency 2 12 7" xfId="18380"/>
    <cellStyle name="Currency 2 13" xfId="18381"/>
    <cellStyle name="Currency 2 13 2" xfId="18382"/>
    <cellStyle name="Currency 2 13 3" xfId="18383"/>
    <cellStyle name="Currency 2 13 4" xfId="18384"/>
    <cellStyle name="Currency 2 13 5" xfId="18385"/>
    <cellStyle name="Currency 2 13 6" xfId="18386"/>
    <cellStyle name="Currency 2 13 7" xfId="18387"/>
    <cellStyle name="Currency 2 14" xfId="18388"/>
    <cellStyle name="Currency 2 14 2" xfId="18389"/>
    <cellStyle name="Currency 2 14 3" xfId="18390"/>
    <cellStyle name="Currency 2 14 4" xfId="18391"/>
    <cellStyle name="Currency 2 14 5" xfId="18392"/>
    <cellStyle name="Currency 2 14 6" xfId="18393"/>
    <cellStyle name="Currency 2 14 7" xfId="18394"/>
    <cellStyle name="Currency 2 15" xfId="18395"/>
    <cellStyle name="Currency 2 15 2" xfId="18396"/>
    <cellStyle name="Currency 2 15 3" xfId="18397"/>
    <cellStyle name="Currency 2 15 4" xfId="18398"/>
    <cellStyle name="Currency 2 15 5" xfId="18399"/>
    <cellStyle name="Currency 2 15 6" xfId="18400"/>
    <cellStyle name="Currency 2 15 7" xfId="18401"/>
    <cellStyle name="Currency 2 16" xfId="18402"/>
    <cellStyle name="Currency 2 16 2" xfId="18403"/>
    <cellStyle name="Currency 2 16 3" xfId="18404"/>
    <cellStyle name="Currency 2 16 4" xfId="18405"/>
    <cellStyle name="Currency 2 16 5" xfId="18406"/>
    <cellStyle name="Currency 2 16 6" xfId="18407"/>
    <cellStyle name="Currency 2 16 7" xfId="18408"/>
    <cellStyle name="Currency 2 17" xfId="18409"/>
    <cellStyle name="Currency 2 17 2" xfId="18410"/>
    <cellStyle name="Currency 2 17 2 2" xfId="18411"/>
    <cellStyle name="Currency 2 17 3" xfId="18412"/>
    <cellStyle name="Currency 2 17 4" xfId="18413"/>
    <cellStyle name="Currency 2 17 5" xfId="18414"/>
    <cellStyle name="Currency 2 17 6" xfId="18415"/>
    <cellStyle name="Currency 2 17 7" xfId="18416"/>
    <cellStyle name="Currency 2 18" xfId="18417"/>
    <cellStyle name="Currency 2 18 2" xfId="18418"/>
    <cellStyle name="Currency 2 18 3" xfId="18419"/>
    <cellStyle name="Currency 2 18 4" xfId="18420"/>
    <cellStyle name="Currency 2 18 5" xfId="18421"/>
    <cellStyle name="Currency 2 18 6" xfId="18422"/>
    <cellStyle name="Currency 2 18 7" xfId="18423"/>
    <cellStyle name="Currency 2 19" xfId="18424"/>
    <cellStyle name="Currency 2 19 2" xfId="18425"/>
    <cellStyle name="Currency 2 19 3" xfId="18426"/>
    <cellStyle name="Currency 2 19 4" xfId="18427"/>
    <cellStyle name="Currency 2 19 5" xfId="18428"/>
    <cellStyle name="Currency 2 19 6" xfId="18429"/>
    <cellStyle name="Currency 2 19 7" xfId="18430"/>
    <cellStyle name="Currency 2 2" xfId="18431"/>
    <cellStyle name="Currency 2 2 10" xfId="18432"/>
    <cellStyle name="Currency 2 2 10 2" xfId="18433"/>
    <cellStyle name="Currency 2 2 11" xfId="18434"/>
    <cellStyle name="Currency 2 2 11 2" xfId="18435"/>
    <cellStyle name="Currency 2 2 12" xfId="18436"/>
    <cellStyle name="Currency 2 2 12 2" xfId="18437"/>
    <cellStyle name="Currency 2 2 13" xfId="18438"/>
    <cellStyle name="Currency 2 2 13 2" xfId="18439"/>
    <cellStyle name="Currency 2 2 14" xfId="18440"/>
    <cellStyle name="Currency 2 2 14 2" xfId="18441"/>
    <cellStyle name="Currency 2 2 15" xfId="18442"/>
    <cellStyle name="Currency 2 2 15 2" xfId="18443"/>
    <cellStyle name="Currency 2 2 16" xfId="18444"/>
    <cellStyle name="Currency 2 2 16 2" xfId="18445"/>
    <cellStyle name="Currency 2 2 17" xfId="18446"/>
    <cellStyle name="Currency 2 2 18" xfId="18447"/>
    <cellStyle name="Currency 2 2 19" xfId="18448"/>
    <cellStyle name="Currency 2 2 2" xfId="18449"/>
    <cellStyle name="Currency 2 2 2 2" xfId="18450"/>
    <cellStyle name="Currency 2 2 2 3" xfId="18451"/>
    <cellStyle name="Currency 2 2 2 4" xfId="18452"/>
    <cellStyle name="Currency 2 2 20" xfId="18453"/>
    <cellStyle name="Currency 2 2 21" xfId="18454"/>
    <cellStyle name="Currency 2 2 22" xfId="18455"/>
    <cellStyle name="Currency 2 2 23" xfId="18456"/>
    <cellStyle name="Currency 2 2 24" xfId="18457"/>
    <cellStyle name="Currency 2 2 25" xfId="18458"/>
    <cellStyle name="Currency 2 2 26" xfId="18459"/>
    <cellStyle name="Currency 2 2 27" xfId="18460"/>
    <cellStyle name="Currency 2 2 28" xfId="18461"/>
    <cellStyle name="Currency 2 2 29" xfId="18462"/>
    <cellStyle name="Currency 2 2 3" xfId="18463"/>
    <cellStyle name="Currency 2 2 3 2" xfId="18464"/>
    <cellStyle name="Currency 2 2 3 3" xfId="18465"/>
    <cellStyle name="Currency 2 2 3 4" xfId="18466"/>
    <cellStyle name="Currency 2 2 3 4 2" xfId="18467"/>
    <cellStyle name="Currency 2 2 3 5" xfId="18468"/>
    <cellStyle name="Currency 2 2 3 6" xfId="18469"/>
    <cellStyle name="Currency 2 2 30" xfId="18470"/>
    <cellStyle name="Currency 2 2 31" xfId="18471"/>
    <cellStyle name="Currency 2 2 32" xfId="18472"/>
    <cellStyle name="Currency 2 2 33" xfId="18473"/>
    <cellStyle name="Currency 2 2 34" xfId="18474"/>
    <cellStyle name="Currency 2 2 35" xfId="18475"/>
    <cellStyle name="Currency 2 2 36" xfId="18476"/>
    <cellStyle name="Currency 2 2 37" xfId="18477"/>
    <cellStyle name="Currency 2 2 38" xfId="18478"/>
    <cellStyle name="Currency 2 2 39" xfId="18479"/>
    <cellStyle name="Currency 2 2 4" xfId="18480"/>
    <cellStyle name="Currency 2 2 4 2" xfId="18481"/>
    <cellStyle name="Currency 2 2 4 3" xfId="18482"/>
    <cellStyle name="Currency 2 2 40" xfId="18483"/>
    <cellStyle name="Currency 2 2 41" xfId="18484"/>
    <cellStyle name="Currency 2 2 42" xfId="18485"/>
    <cellStyle name="Currency 2 2 43" xfId="18486"/>
    <cellStyle name="Currency 2 2 44" xfId="18487"/>
    <cellStyle name="Currency 2 2 45" xfId="18488"/>
    <cellStyle name="Currency 2 2 46" xfId="18489"/>
    <cellStyle name="Currency 2 2 47" xfId="18490"/>
    <cellStyle name="Currency 2 2 48" xfId="18491"/>
    <cellStyle name="Currency 2 2 49" xfId="18492"/>
    <cellStyle name="Currency 2 2 5" xfId="18493"/>
    <cellStyle name="Currency 2 2 5 2" xfId="18494"/>
    <cellStyle name="Currency 2 2 5 3" xfId="18495"/>
    <cellStyle name="Currency 2 2 50" xfId="18496"/>
    <cellStyle name="Currency 2 2 51" xfId="18497"/>
    <cellStyle name="Currency 2 2 52" xfId="18498"/>
    <cellStyle name="Currency 2 2 6" xfId="18499"/>
    <cellStyle name="Currency 2 2 6 2" xfId="18500"/>
    <cellStyle name="Currency 2 2 6 3" xfId="18501"/>
    <cellStyle name="Currency 2 2 7" xfId="18502"/>
    <cellStyle name="Currency 2 2 7 2" xfId="18503"/>
    <cellStyle name="Currency 2 2 7 3" xfId="18504"/>
    <cellStyle name="Currency 2 2 8" xfId="18505"/>
    <cellStyle name="Currency 2 2 8 2" xfId="18506"/>
    <cellStyle name="Currency 2 2 8 3" xfId="18507"/>
    <cellStyle name="Currency 2 2 9" xfId="18508"/>
    <cellStyle name="Currency 2 2 9 2" xfId="18509"/>
    <cellStyle name="Currency 2 20" xfId="18510"/>
    <cellStyle name="Currency 2 20 2" xfId="18511"/>
    <cellStyle name="Currency 2 20 3" xfId="18512"/>
    <cellStyle name="Currency 2 20 4" xfId="18513"/>
    <cellStyle name="Currency 2 20 5" xfId="18514"/>
    <cellStyle name="Currency 2 20 6" xfId="18515"/>
    <cellStyle name="Currency 2 20 7" xfId="18516"/>
    <cellStyle name="Currency 2 21" xfId="18517"/>
    <cellStyle name="Currency 2 21 2" xfId="18518"/>
    <cellStyle name="Currency 2 21 3" xfId="18519"/>
    <cellStyle name="Currency 2 21 4" xfId="18520"/>
    <cellStyle name="Currency 2 21 5" xfId="18521"/>
    <cellStyle name="Currency 2 21 6" xfId="18522"/>
    <cellStyle name="Currency 2 22" xfId="18523"/>
    <cellStyle name="Currency 2 22 2" xfId="18524"/>
    <cellStyle name="Currency 2 22 3" xfId="18525"/>
    <cellStyle name="Currency 2 22 4" xfId="18526"/>
    <cellStyle name="Currency 2 22 5" xfId="18527"/>
    <cellStyle name="Currency 2 22 6" xfId="18528"/>
    <cellStyle name="Currency 2 23" xfId="18529"/>
    <cellStyle name="Currency 2 23 2" xfId="18530"/>
    <cellStyle name="Currency 2 23 3" xfId="18531"/>
    <cellStyle name="Currency 2 23 4" xfId="18532"/>
    <cellStyle name="Currency 2 23 5" xfId="18533"/>
    <cellStyle name="Currency 2 23 6" xfId="18534"/>
    <cellStyle name="Currency 2 24" xfId="18535"/>
    <cellStyle name="Currency 2 24 2" xfId="18536"/>
    <cellStyle name="Currency 2 24 3" xfId="18537"/>
    <cellStyle name="Currency 2 24 4" xfId="18538"/>
    <cellStyle name="Currency 2 24 5" xfId="18539"/>
    <cellStyle name="Currency 2 24 6" xfId="18540"/>
    <cellStyle name="Currency 2 25" xfId="18541"/>
    <cellStyle name="Currency 2 25 2" xfId="18542"/>
    <cellStyle name="Currency 2 25 3" xfId="18543"/>
    <cellStyle name="Currency 2 25 4" xfId="18544"/>
    <cellStyle name="Currency 2 25 5" xfId="18545"/>
    <cellStyle name="Currency 2 25 6" xfId="18546"/>
    <cellStyle name="Currency 2 26" xfId="18547"/>
    <cellStyle name="Currency 2 26 2" xfId="18548"/>
    <cellStyle name="Currency 2 26 3" xfId="18549"/>
    <cellStyle name="Currency 2 26 4" xfId="18550"/>
    <cellStyle name="Currency 2 26 5" xfId="18551"/>
    <cellStyle name="Currency 2 26 6" xfId="18552"/>
    <cellStyle name="Currency 2 27" xfId="18553"/>
    <cellStyle name="Currency 2 27 2" xfId="18554"/>
    <cellStyle name="Currency 2 27 3" xfId="18555"/>
    <cellStyle name="Currency 2 27 4" xfId="18556"/>
    <cellStyle name="Currency 2 27 5" xfId="18557"/>
    <cellStyle name="Currency 2 27 6" xfId="18558"/>
    <cellStyle name="Currency 2 28" xfId="18559"/>
    <cellStyle name="Currency 2 28 2" xfId="18560"/>
    <cellStyle name="Currency 2 28 3" xfId="18561"/>
    <cellStyle name="Currency 2 28 4" xfId="18562"/>
    <cellStyle name="Currency 2 28 5" xfId="18563"/>
    <cellStyle name="Currency 2 28 6" xfId="18564"/>
    <cellStyle name="Currency 2 29" xfId="18565"/>
    <cellStyle name="Currency 2 29 2" xfId="18566"/>
    <cellStyle name="Currency 2 29 3" xfId="18567"/>
    <cellStyle name="Currency 2 29 4" xfId="18568"/>
    <cellStyle name="Currency 2 29 5" xfId="18569"/>
    <cellStyle name="Currency 2 29 6" xfId="18570"/>
    <cellStyle name="Currency 2 3" xfId="18571"/>
    <cellStyle name="Currency 2 3 2" xfId="18572"/>
    <cellStyle name="Currency 2 3 2 2" xfId="18573"/>
    <cellStyle name="Currency 2 3 3" xfId="18574"/>
    <cellStyle name="Currency 2 3 4" xfId="18575"/>
    <cellStyle name="Currency 2 3 5" xfId="18576"/>
    <cellStyle name="Currency 2 3 6" xfId="18577"/>
    <cellStyle name="Currency 2 3 7" xfId="18578"/>
    <cellStyle name="Currency 2 30" xfId="18579"/>
    <cellStyle name="Currency 2 30 2" xfId="18580"/>
    <cellStyle name="Currency 2 30 3" xfId="18581"/>
    <cellStyle name="Currency 2 30 4" xfId="18582"/>
    <cellStyle name="Currency 2 30 5" xfId="18583"/>
    <cellStyle name="Currency 2 30 6" xfId="18584"/>
    <cellStyle name="Currency 2 31" xfId="18585"/>
    <cellStyle name="Currency 2 31 2" xfId="18586"/>
    <cellStyle name="Currency 2 31 3" xfId="18587"/>
    <cellStyle name="Currency 2 31 4" xfId="18588"/>
    <cellStyle name="Currency 2 31 5" xfId="18589"/>
    <cellStyle name="Currency 2 31 6" xfId="18590"/>
    <cellStyle name="Currency 2 32" xfId="18591"/>
    <cellStyle name="Currency 2 32 2" xfId="18592"/>
    <cellStyle name="Currency 2 32 3" xfId="18593"/>
    <cellStyle name="Currency 2 32 4" xfId="18594"/>
    <cellStyle name="Currency 2 32 5" xfId="18595"/>
    <cellStyle name="Currency 2 32 6" xfId="18596"/>
    <cellStyle name="Currency 2 33" xfId="18597"/>
    <cellStyle name="Currency 2 33 2" xfId="18598"/>
    <cellStyle name="Currency 2 33 3" xfId="18599"/>
    <cellStyle name="Currency 2 33 4" xfId="18600"/>
    <cellStyle name="Currency 2 33 5" xfId="18601"/>
    <cellStyle name="Currency 2 33 6" xfId="18602"/>
    <cellStyle name="Currency 2 34" xfId="18603"/>
    <cellStyle name="Currency 2 34 2" xfId="18604"/>
    <cellStyle name="Currency 2 34 3" xfId="18605"/>
    <cellStyle name="Currency 2 34 4" xfId="18606"/>
    <cellStyle name="Currency 2 34 5" xfId="18607"/>
    <cellStyle name="Currency 2 34 6" xfId="18608"/>
    <cellStyle name="Currency 2 35" xfId="18609"/>
    <cellStyle name="Currency 2 35 2" xfId="18610"/>
    <cellStyle name="Currency 2 35 3" xfId="18611"/>
    <cellStyle name="Currency 2 35 4" xfId="18612"/>
    <cellStyle name="Currency 2 35 5" xfId="18613"/>
    <cellStyle name="Currency 2 35 6" xfId="18614"/>
    <cellStyle name="Currency 2 36" xfId="18615"/>
    <cellStyle name="Currency 2 36 2" xfId="18616"/>
    <cellStyle name="Currency 2 36 3" xfId="18617"/>
    <cellStyle name="Currency 2 36 4" xfId="18618"/>
    <cellStyle name="Currency 2 36 5" xfId="18619"/>
    <cellStyle name="Currency 2 36 6" xfId="18620"/>
    <cellStyle name="Currency 2 37" xfId="18621"/>
    <cellStyle name="Currency 2 37 2" xfId="18622"/>
    <cellStyle name="Currency 2 37 3" xfId="18623"/>
    <cellStyle name="Currency 2 37 4" xfId="18624"/>
    <cellStyle name="Currency 2 37 5" xfId="18625"/>
    <cellStyle name="Currency 2 37 6" xfId="18626"/>
    <cellStyle name="Currency 2 38" xfId="18627"/>
    <cellStyle name="Currency 2 38 2" xfId="18628"/>
    <cellStyle name="Currency 2 38 3" xfId="18629"/>
    <cellStyle name="Currency 2 38 4" xfId="18630"/>
    <cellStyle name="Currency 2 38 5" xfId="18631"/>
    <cellStyle name="Currency 2 38 6" xfId="18632"/>
    <cellStyle name="Currency 2 39" xfId="18633"/>
    <cellStyle name="Currency 2 39 2" xfId="18634"/>
    <cellStyle name="Currency 2 39 3" xfId="18635"/>
    <cellStyle name="Currency 2 39 4" xfId="18636"/>
    <cellStyle name="Currency 2 39 5" xfId="18637"/>
    <cellStyle name="Currency 2 39 6" xfId="18638"/>
    <cellStyle name="Currency 2 4" xfId="18639"/>
    <cellStyle name="Currency 2 4 2" xfId="18640"/>
    <cellStyle name="Currency 2 4 3" xfId="18641"/>
    <cellStyle name="Currency 2 4 4" xfId="18642"/>
    <cellStyle name="Currency 2 4 5" xfId="18643"/>
    <cellStyle name="Currency 2 4 6" xfId="18644"/>
    <cellStyle name="Currency 2 4 7" xfId="18645"/>
    <cellStyle name="Currency 2 40" xfId="18646"/>
    <cellStyle name="Currency 2 40 2" xfId="18647"/>
    <cellStyle name="Currency 2 40 3" xfId="18648"/>
    <cellStyle name="Currency 2 40 4" xfId="18649"/>
    <cellStyle name="Currency 2 40 5" xfId="18650"/>
    <cellStyle name="Currency 2 40 6" xfId="18651"/>
    <cellStyle name="Currency 2 41" xfId="18652"/>
    <cellStyle name="Currency 2 41 2" xfId="18653"/>
    <cellStyle name="Currency 2 41 3" xfId="18654"/>
    <cellStyle name="Currency 2 41 4" xfId="18655"/>
    <cellStyle name="Currency 2 41 5" xfId="18656"/>
    <cellStyle name="Currency 2 41 6" xfId="18657"/>
    <cellStyle name="Currency 2 42" xfId="18658"/>
    <cellStyle name="Currency 2 42 2" xfId="18659"/>
    <cellStyle name="Currency 2 42 3" xfId="18660"/>
    <cellStyle name="Currency 2 42 4" xfId="18661"/>
    <cellStyle name="Currency 2 42 5" xfId="18662"/>
    <cellStyle name="Currency 2 42 6" xfId="18663"/>
    <cellStyle name="Currency 2 43" xfId="18664"/>
    <cellStyle name="Currency 2 43 2" xfId="18665"/>
    <cellStyle name="Currency 2 43 3" xfId="18666"/>
    <cellStyle name="Currency 2 43 4" xfId="18667"/>
    <cellStyle name="Currency 2 43 5" xfId="18668"/>
    <cellStyle name="Currency 2 43 6" xfId="18669"/>
    <cellStyle name="Currency 2 44" xfId="18670"/>
    <cellStyle name="Currency 2 44 2" xfId="18671"/>
    <cellStyle name="Currency 2 44 3" xfId="18672"/>
    <cellStyle name="Currency 2 44 4" xfId="18673"/>
    <cellStyle name="Currency 2 44 5" xfId="18674"/>
    <cellStyle name="Currency 2 44 6" xfId="18675"/>
    <cellStyle name="Currency 2 45" xfId="18676"/>
    <cellStyle name="Currency 2 45 2" xfId="18677"/>
    <cellStyle name="Currency 2 45 3" xfId="18678"/>
    <cellStyle name="Currency 2 45 4" xfId="18679"/>
    <cellStyle name="Currency 2 45 5" xfId="18680"/>
    <cellStyle name="Currency 2 45 6" xfId="18681"/>
    <cellStyle name="Currency 2 46" xfId="18682"/>
    <cellStyle name="Currency 2 46 2" xfId="18683"/>
    <cellStyle name="Currency 2 46 3" xfId="18684"/>
    <cellStyle name="Currency 2 46 4" xfId="18685"/>
    <cellStyle name="Currency 2 46 5" xfId="18686"/>
    <cellStyle name="Currency 2 46 6" xfId="18687"/>
    <cellStyle name="Currency 2 47" xfId="18688"/>
    <cellStyle name="Currency 2 47 2" xfId="18689"/>
    <cellStyle name="Currency 2 47 3" xfId="18690"/>
    <cellStyle name="Currency 2 47 4" xfId="18691"/>
    <cellStyle name="Currency 2 47 5" xfId="18692"/>
    <cellStyle name="Currency 2 47 6" xfId="18693"/>
    <cellStyle name="Currency 2 48" xfId="18694"/>
    <cellStyle name="Currency 2 48 2" xfId="18695"/>
    <cellStyle name="Currency 2 48 3" xfId="18696"/>
    <cellStyle name="Currency 2 48 4" xfId="18697"/>
    <cellStyle name="Currency 2 48 5" xfId="18698"/>
    <cellStyle name="Currency 2 48 6" xfId="18699"/>
    <cellStyle name="Currency 2 49" xfId="18700"/>
    <cellStyle name="Currency 2 49 2" xfId="18701"/>
    <cellStyle name="Currency 2 49 3" xfId="18702"/>
    <cellStyle name="Currency 2 49 4" xfId="18703"/>
    <cellStyle name="Currency 2 49 5" xfId="18704"/>
    <cellStyle name="Currency 2 49 6" xfId="18705"/>
    <cellStyle name="Currency 2 5" xfId="18706"/>
    <cellStyle name="Currency 2 5 2" xfId="18707"/>
    <cellStyle name="Currency 2 5 3" xfId="18708"/>
    <cellStyle name="Currency 2 5 4" xfId="18709"/>
    <cellStyle name="Currency 2 5 5" xfId="18710"/>
    <cellStyle name="Currency 2 5 6" xfId="18711"/>
    <cellStyle name="Currency 2 5 7" xfId="18712"/>
    <cellStyle name="Currency 2 50" xfId="18713"/>
    <cellStyle name="Currency 2 50 2" xfId="18714"/>
    <cellStyle name="Currency 2 50 3" xfId="18715"/>
    <cellStyle name="Currency 2 50 4" xfId="18716"/>
    <cellStyle name="Currency 2 50 5" xfId="18717"/>
    <cellStyle name="Currency 2 50 6" xfId="18718"/>
    <cellStyle name="Currency 2 51" xfId="18719"/>
    <cellStyle name="Currency 2 51 2" xfId="18720"/>
    <cellStyle name="Currency 2 51 3" xfId="18721"/>
    <cellStyle name="Currency 2 51 4" xfId="18722"/>
    <cellStyle name="Currency 2 51 5" xfId="18723"/>
    <cellStyle name="Currency 2 51 6" xfId="18724"/>
    <cellStyle name="Currency 2 52" xfId="18725"/>
    <cellStyle name="Currency 2 52 2" xfId="18726"/>
    <cellStyle name="Currency 2 52 3" xfId="18727"/>
    <cellStyle name="Currency 2 52 4" xfId="18728"/>
    <cellStyle name="Currency 2 52 5" xfId="18729"/>
    <cellStyle name="Currency 2 52 6" xfId="18730"/>
    <cellStyle name="Currency 2 53" xfId="18731"/>
    <cellStyle name="Currency 2 53 2" xfId="18732"/>
    <cellStyle name="Currency 2 53 3" xfId="18733"/>
    <cellStyle name="Currency 2 53 4" xfId="18734"/>
    <cellStyle name="Currency 2 53 5" xfId="18735"/>
    <cellStyle name="Currency 2 53 6" xfId="18736"/>
    <cellStyle name="Currency 2 54" xfId="18737"/>
    <cellStyle name="Currency 2 54 2" xfId="18738"/>
    <cellStyle name="Currency 2 54 3" xfId="18739"/>
    <cellStyle name="Currency 2 54 4" xfId="18740"/>
    <cellStyle name="Currency 2 54 5" xfId="18741"/>
    <cellStyle name="Currency 2 54 6" xfId="18742"/>
    <cellStyle name="Currency 2 55" xfId="18743"/>
    <cellStyle name="Currency 2 55 2" xfId="18744"/>
    <cellStyle name="Currency 2 55 3" xfId="18745"/>
    <cellStyle name="Currency 2 55 4" xfId="18746"/>
    <cellStyle name="Currency 2 55 5" xfId="18747"/>
    <cellStyle name="Currency 2 55 6" xfId="18748"/>
    <cellStyle name="Currency 2 56" xfId="18749"/>
    <cellStyle name="Currency 2 6" xfId="18750"/>
    <cellStyle name="Currency 2 6 2" xfId="18751"/>
    <cellStyle name="Currency 2 6 3" xfId="18752"/>
    <cellStyle name="Currency 2 6 4" xfId="18753"/>
    <cellStyle name="Currency 2 6 5" xfId="18754"/>
    <cellStyle name="Currency 2 6 6" xfId="18755"/>
    <cellStyle name="Currency 2 6 7" xfId="18756"/>
    <cellStyle name="Currency 2 7" xfId="18757"/>
    <cellStyle name="Currency 2 7 10" xfId="18758"/>
    <cellStyle name="Currency 2 7 2" xfId="18759"/>
    <cellStyle name="Currency 2 7 2 2" xfId="18760"/>
    <cellStyle name="Currency 2 7 2 2 2" xfId="18761"/>
    <cellStyle name="Currency 2 7 2 3" xfId="18762"/>
    <cellStyle name="Currency 2 7 2 4" xfId="18763"/>
    <cellStyle name="Currency 2 7 2 5" xfId="18764"/>
    <cellStyle name="Currency 2 7 2 6" xfId="18765"/>
    <cellStyle name="Currency 2 7 3" xfId="18766"/>
    <cellStyle name="Currency 2 7 3 2" xfId="18767"/>
    <cellStyle name="Currency 2 7 3 3" xfId="18768"/>
    <cellStyle name="Currency 2 7 3 4" xfId="18769"/>
    <cellStyle name="Currency 2 7 3 5" xfId="18770"/>
    <cellStyle name="Currency 2 7 4" xfId="18771"/>
    <cellStyle name="Currency 2 7 4 2" xfId="18772"/>
    <cellStyle name="Currency 2 7 4 3" xfId="18773"/>
    <cellStyle name="Currency 2 7 5" xfId="18774"/>
    <cellStyle name="Currency 2 7 5 2" xfId="18775"/>
    <cellStyle name="Currency 2 7 6" xfId="18776"/>
    <cellStyle name="Currency 2 7 6 2" xfId="18777"/>
    <cellStyle name="Currency 2 7 7" xfId="18778"/>
    <cellStyle name="Currency 2 7 7 2" xfId="18779"/>
    <cellStyle name="Currency 2 7 8" xfId="18780"/>
    <cellStyle name="Currency 2 7 9" xfId="18781"/>
    <cellStyle name="Currency 2 8" xfId="18782"/>
    <cellStyle name="Currency 2 8 2" xfId="18783"/>
    <cellStyle name="Currency 2 8 2 2" xfId="18784"/>
    <cellStyle name="Currency 2 8 3" xfId="18785"/>
    <cellStyle name="Currency 2 8 3 2" xfId="18786"/>
    <cellStyle name="Currency 2 8 4" xfId="18787"/>
    <cellStyle name="Currency 2 8 5" xfId="18788"/>
    <cellStyle name="Currency 2 8 6" xfId="18789"/>
    <cellStyle name="Currency 2 8 7" xfId="18790"/>
    <cellStyle name="Currency 2 9" xfId="18791"/>
    <cellStyle name="Currency 2 9 2" xfId="18792"/>
    <cellStyle name="Currency 2 9 3" xfId="18793"/>
    <cellStyle name="Currency 2 9 4" xfId="18794"/>
    <cellStyle name="Currency 2 9 5" xfId="18795"/>
    <cellStyle name="Currency 2 9 6" xfId="18796"/>
    <cellStyle name="Currency 2 9 7" xfId="18797"/>
    <cellStyle name="Currency 3" xfId="18798"/>
    <cellStyle name="Currency 3 10" xfId="18799"/>
    <cellStyle name="Currency 3 11" xfId="18800"/>
    <cellStyle name="Currency 3 12" xfId="18801"/>
    <cellStyle name="Currency 3 13" xfId="18802"/>
    <cellStyle name="Currency 3 14" xfId="18803"/>
    <cellStyle name="Currency 3 15" xfId="18804"/>
    <cellStyle name="Currency 3 16" xfId="18805"/>
    <cellStyle name="Currency 3 17" xfId="18806"/>
    <cellStyle name="Currency 3 18" xfId="18807"/>
    <cellStyle name="Currency 3 19" xfId="18808"/>
    <cellStyle name="Currency 3 2" xfId="18809"/>
    <cellStyle name="Currency 3 2 2" xfId="18810"/>
    <cellStyle name="Currency 3 20" xfId="18811"/>
    <cellStyle name="Currency 3 21" xfId="18812"/>
    <cellStyle name="Currency 3 22" xfId="18813"/>
    <cellStyle name="Currency 3 23" xfId="18814"/>
    <cellStyle name="Currency 3 24" xfId="18815"/>
    <cellStyle name="Currency 3 25" xfId="18816"/>
    <cellStyle name="Currency 3 26" xfId="18817"/>
    <cellStyle name="Currency 3 27" xfId="18818"/>
    <cellStyle name="Currency 3 28" xfId="18819"/>
    <cellStyle name="Currency 3 29" xfId="18820"/>
    <cellStyle name="Currency 3 3" xfId="18821"/>
    <cellStyle name="Currency 3 30" xfId="18822"/>
    <cellStyle name="Currency 3 31" xfId="18823"/>
    <cellStyle name="Currency 3 32" xfId="18824"/>
    <cellStyle name="Currency 3 33" xfId="18825"/>
    <cellStyle name="Currency 3 34" xfId="18826"/>
    <cellStyle name="Currency 3 35" xfId="18827"/>
    <cellStyle name="Currency 3 36" xfId="18828"/>
    <cellStyle name="Currency 3 37" xfId="18829"/>
    <cellStyle name="Currency 3 38" xfId="18830"/>
    <cellStyle name="Currency 3 39" xfId="18831"/>
    <cellStyle name="Currency 3 4" xfId="18832"/>
    <cellStyle name="Currency 3 40" xfId="18833"/>
    <cellStyle name="Currency 3 5" xfId="18834"/>
    <cellStyle name="Currency 3 6" xfId="18835"/>
    <cellStyle name="Currency 3 7" xfId="18836"/>
    <cellStyle name="Currency 3 8" xfId="18837"/>
    <cellStyle name="Currency 3 9" xfId="18838"/>
    <cellStyle name="Currency 4" xfId="18839"/>
    <cellStyle name="Currency 4 10" xfId="18840"/>
    <cellStyle name="Currency 4 10 2" xfId="18841"/>
    <cellStyle name="Currency 4 10 2 2" xfId="18842"/>
    <cellStyle name="Currency 4 10 2 3" xfId="18843"/>
    <cellStyle name="Currency 4 10 3" xfId="18844"/>
    <cellStyle name="Currency 4 10 4" xfId="18845"/>
    <cellStyle name="Currency 4 10 5" xfId="18846"/>
    <cellStyle name="Currency 4 10 6" xfId="18847"/>
    <cellStyle name="Currency 4 11" xfId="18848"/>
    <cellStyle name="Currency 4 11 2" xfId="18849"/>
    <cellStyle name="Currency 4 11 2 2" xfId="18850"/>
    <cellStyle name="Currency 4 11 3" xfId="18851"/>
    <cellStyle name="Currency 4 11 4" xfId="18852"/>
    <cellStyle name="Currency 4 11 5" xfId="18853"/>
    <cellStyle name="Currency 4 12" xfId="18854"/>
    <cellStyle name="Currency 4 12 2" xfId="18855"/>
    <cellStyle name="Currency 4 12 3" xfId="18856"/>
    <cellStyle name="Currency 4 12 4" xfId="18857"/>
    <cellStyle name="Currency 4 13" xfId="18858"/>
    <cellStyle name="Currency 4 14" xfId="18859"/>
    <cellStyle name="Currency 4 15" xfId="18860"/>
    <cellStyle name="Currency 4 16" xfId="18861"/>
    <cellStyle name="Currency 4 2" xfId="18862"/>
    <cellStyle name="Currency 4 2 10" xfId="18863"/>
    <cellStyle name="Currency 4 2 2" xfId="18864"/>
    <cellStyle name="Currency 4 2 2 2" xfId="18865"/>
    <cellStyle name="Currency 4 2 2 2 2" xfId="18866"/>
    <cellStyle name="Currency 4 2 2 2 2 2" xfId="18867"/>
    <cellStyle name="Currency 4 2 2 2 2 3" xfId="18868"/>
    <cellStyle name="Currency 4 2 2 2 3" xfId="18869"/>
    <cellStyle name="Currency 4 2 2 2 4" xfId="18870"/>
    <cellStyle name="Currency 4 2 2 2 5" xfId="18871"/>
    <cellStyle name="Currency 4 2 2 2 6" xfId="18872"/>
    <cellStyle name="Currency 4 2 2 3" xfId="18873"/>
    <cellStyle name="Currency 4 2 2 3 2" xfId="18874"/>
    <cellStyle name="Currency 4 2 2 3 2 2" xfId="18875"/>
    <cellStyle name="Currency 4 2 2 3 3" xfId="18876"/>
    <cellStyle name="Currency 4 2 2 3 4" xfId="18877"/>
    <cellStyle name="Currency 4 2 2 3 5" xfId="18878"/>
    <cellStyle name="Currency 4 2 2 4" xfId="18879"/>
    <cellStyle name="Currency 4 2 2 4 2" xfId="18880"/>
    <cellStyle name="Currency 4 2 2 4 3" xfId="18881"/>
    <cellStyle name="Currency 4 2 2 4 4" xfId="18882"/>
    <cellStyle name="Currency 4 2 2 5" xfId="18883"/>
    <cellStyle name="Currency 4 2 2 5 2" xfId="18884"/>
    <cellStyle name="Currency 4 2 2 6" xfId="18885"/>
    <cellStyle name="Currency 4 2 2 7" xfId="18886"/>
    <cellStyle name="Currency 4 2 2 8" xfId="18887"/>
    <cellStyle name="Currency 4 2 2 9" xfId="18888"/>
    <cellStyle name="Currency 4 2 3" xfId="18889"/>
    <cellStyle name="Currency 4 2 3 2" xfId="18890"/>
    <cellStyle name="Currency 4 2 3 2 2" xfId="18891"/>
    <cellStyle name="Currency 4 2 3 2 3" xfId="18892"/>
    <cellStyle name="Currency 4 2 3 3" xfId="18893"/>
    <cellStyle name="Currency 4 2 3 4" xfId="18894"/>
    <cellStyle name="Currency 4 2 3 5" xfId="18895"/>
    <cellStyle name="Currency 4 2 3 6" xfId="18896"/>
    <cellStyle name="Currency 4 2 4" xfId="18897"/>
    <cellStyle name="Currency 4 2 4 2" xfId="18898"/>
    <cellStyle name="Currency 4 2 4 2 2" xfId="18899"/>
    <cellStyle name="Currency 4 2 4 3" xfId="18900"/>
    <cellStyle name="Currency 4 2 4 4" xfId="18901"/>
    <cellStyle name="Currency 4 2 4 5" xfId="18902"/>
    <cellStyle name="Currency 4 2 5" xfId="18903"/>
    <cellStyle name="Currency 4 2 5 2" xfId="18904"/>
    <cellStyle name="Currency 4 2 5 2 2" xfId="18905"/>
    <cellStyle name="Currency 4 2 5 3" xfId="18906"/>
    <cellStyle name="Currency 4 2 5 4" xfId="18907"/>
    <cellStyle name="Currency 4 2 5 5" xfId="18908"/>
    <cellStyle name="Currency 4 2 6" xfId="18909"/>
    <cellStyle name="Currency 4 2 6 2" xfId="18910"/>
    <cellStyle name="Currency 4 2 7" xfId="18911"/>
    <cellStyle name="Currency 4 2 8" xfId="18912"/>
    <cellStyle name="Currency 4 2 9" xfId="18913"/>
    <cellStyle name="Currency 4 3" xfId="18914"/>
    <cellStyle name="Currency 4 3 10" xfId="18915"/>
    <cellStyle name="Currency 4 3 2" xfId="18916"/>
    <cellStyle name="Currency 4 3 2 2" xfId="18917"/>
    <cellStyle name="Currency 4 3 2 2 2" xfId="18918"/>
    <cellStyle name="Currency 4 3 2 2 2 2" xfId="18919"/>
    <cellStyle name="Currency 4 3 2 2 2 3" xfId="18920"/>
    <cellStyle name="Currency 4 3 2 2 3" xfId="18921"/>
    <cellStyle name="Currency 4 3 2 2 4" xfId="18922"/>
    <cellStyle name="Currency 4 3 2 2 5" xfId="18923"/>
    <cellStyle name="Currency 4 3 2 2 6" xfId="18924"/>
    <cellStyle name="Currency 4 3 2 3" xfId="18925"/>
    <cellStyle name="Currency 4 3 2 3 2" xfId="18926"/>
    <cellStyle name="Currency 4 3 2 3 2 2" xfId="18927"/>
    <cellStyle name="Currency 4 3 2 3 3" xfId="18928"/>
    <cellStyle name="Currency 4 3 2 3 4" xfId="18929"/>
    <cellStyle name="Currency 4 3 2 3 5" xfId="18930"/>
    <cellStyle name="Currency 4 3 2 4" xfId="18931"/>
    <cellStyle name="Currency 4 3 2 4 2" xfId="18932"/>
    <cellStyle name="Currency 4 3 2 4 3" xfId="18933"/>
    <cellStyle name="Currency 4 3 2 4 4" xfId="18934"/>
    <cellStyle name="Currency 4 3 2 5" xfId="18935"/>
    <cellStyle name="Currency 4 3 2 5 2" xfId="18936"/>
    <cellStyle name="Currency 4 3 2 6" xfId="18937"/>
    <cellStyle name="Currency 4 3 2 7" xfId="18938"/>
    <cellStyle name="Currency 4 3 2 8" xfId="18939"/>
    <cellStyle name="Currency 4 3 2 9" xfId="18940"/>
    <cellStyle name="Currency 4 3 3" xfId="18941"/>
    <cellStyle name="Currency 4 3 3 2" xfId="18942"/>
    <cellStyle name="Currency 4 3 3 2 2" xfId="18943"/>
    <cellStyle name="Currency 4 3 3 2 3" xfId="18944"/>
    <cellStyle name="Currency 4 3 3 3" xfId="18945"/>
    <cellStyle name="Currency 4 3 3 4" xfId="18946"/>
    <cellStyle name="Currency 4 3 3 5" xfId="18947"/>
    <cellStyle name="Currency 4 3 3 6" xfId="18948"/>
    <cellStyle name="Currency 4 3 4" xfId="18949"/>
    <cellStyle name="Currency 4 3 4 2" xfId="18950"/>
    <cellStyle name="Currency 4 3 4 2 2" xfId="18951"/>
    <cellStyle name="Currency 4 3 4 3" xfId="18952"/>
    <cellStyle name="Currency 4 3 4 4" xfId="18953"/>
    <cellStyle name="Currency 4 3 4 5" xfId="18954"/>
    <cellStyle name="Currency 4 3 5" xfId="18955"/>
    <cellStyle name="Currency 4 3 5 2" xfId="18956"/>
    <cellStyle name="Currency 4 3 5 2 2" xfId="18957"/>
    <cellStyle name="Currency 4 3 5 3" xfId="18958"/>
    <cellStyle name="Currency 4 3 5 4" xfId="18959"/>
    <cellStyle name="Currency 4 3 5 5" xfId="18960"/>
    <cellStyle name="Currency 4 3 6" xfId="18961"/>
    <cellStyle name="Currency 4 3 6 2" xfId="18962"/>
    <cellStyle name="Currency 4 3 7" xfId="18963"/>
    <cellStyle name="Currency 4 3 8" xfId="18964"/>
    <cellStyle name="Currency 4 3 9" xfId="18965"/>
    <cellStyle name="Currency 4 4" xfId="18966"/>
    <cellStyle name="Currency 4 4 10" xfId="18967"/>
    <cellStyle name="Currency 4 4 2" xfId="18968"/>
    <cellStyle name="Currency 4 4 2 2" xfId="18969"/>
    <cellStyle name="Currency 4 4 2 2 2" xfId="18970"/>
    <cellStyle name="Currency 4 4 2 2 2 2" xfId="18971"/>
    <cellStyle name="Currency 4 4 2 2 2 3" xfId="18972"/>
    <cellStyle name="Currency 4 4 2 2 3" xfId="18973"/>
    <cellStyle name="Currency 4 4 2 2 4" xfId="18974"/>
    <cellStyle name="Currency 4 4 2 2 5" xfId="18975"/>
    <cellStyle name="Currency 4 4 2 2 6" xfId="18976"/>
    <cellStyle name="Currency 4 4 2 3" xfId="18977"/>
    <cellStyle name="Currency 4 4 2 3 2" xfId="18978"/>
    <cellStyle name="Currency 4 4 2 3 2 2" xfId="18979"/>
    <cellStyle name="Currency 4 4 2 3 3" xfId="18980"/>
    <cellStyle name="Currency 4 4 2 3 4" xfId="18981"/>
    <cellStyle name="Currency 4 4 2 3 5" xfId="18982"/>
    <cellStyle name="Currency 4 4 2 4" xfId="18983"/>
    <cellStyle name="Currency 4 4 2 4 2" xfId="18984"/>
    <cellStyle name="Currency 4 4 2 4 3" xfId="18985"/>
    <cellStyle name="Currency 4 4 2 4 4" xfId="18986"/>
    <cellStyle name="Currency 4 4 2 5" xfId="18987"/>
    <cellStyle name="Currency 4 4 2 5 2" xfId="18988"/>
    <cellStyle name="Currency 4 4 2 6" xfId="18989"/>
    <cellStyle name="Currency 4 4 2 7" xfId="18990"/>
    <cellStyle name="Currency 4 4 2 8" xfId="18991"/>
    <cellStyle name="Currency 4 4 2 9" xfId="18992"/>
    <cellStyle name="Currency 4 4 3" xfId="18993"/>
    <cellStyle name="Currency 4 4 3 2" xfId="18994"/>
    <cellStyle name="Currency 4 4 3 2 2" xfId="18995"/>
    <cellStyle name="Currency 4 4 3 2 3" xfId="18996"/>
    <cellStyle name="Currency 4 4 3 3" xfId="18997"/>
    <cellStyle name="Currency 4 4 3 4" xfId="18998"/>
    <cellStyle name="Currency 4 4 3 5" xfId="18999"/>
    <cellStyle name="Currency 4 4 3 6" xfId="19000"/>
    <cellStyle name="Currency 4 4 4" xfId="19001"/>
    <cellStyle name="Currency 4 4 4 2" xfId="19002"/>
    <cellStyle name="Currency 4 4 4 2 2" xfId="19003"/>
    <cellStyle name="Currency 4 4 4 3" xfId="19004"/>
    <cellStyle name="Currency 4 4 4 4" xfId="19005"/>
    <cellStyle name="Currency 4 4 4 5" xfId="19006"/>
    <cellStyle name="Currency 4 4 5" xfId="19007"/>
    <cellStyle name="Currency 4 4 5 2" xfId="19008"/>
    <cellStyle name="Currency 4 4 5 2 2" xfId="19009"/>
    <cellStyle name="Currency 4 4 5 3" xfId="19010"/>
    <cellStyle name="Currency 4 4 5 4" xfId="19011"/>
    <cellStyle name="Currency 4 4 5 5" xfId="19012"/>
    <cellStyle name="Currency 4 4 6" xfId="19013"/>
    <cellStyle name="Currency 4 4 6 2" xfId="19014"/>
    <cellStyle name="Currency 4 4 7" xfId="19015"/>
    <cellStyle name="Currency 4 4 8" xfId="19016"/>
    <cellStyle name="Currency 4 4 9" xfId="19017"/>
    <cellStyle name="Currency 4 5" xfId="19018"/>
    <cellStyle name="Currency 4 5 10" xfId="19019"/>
    <cellStyle name="Currency 4 5 2" xfId="19020"/>
    <cellStyle name="Currency 4 5 2 2" xfId="19021"/>
    <cellStyle name="Currency 4 5 2 2 2" xfId="19022"/>
    <cellStyle name="Currency 4 5 2 2 2 2" xfId="19023"/>
    <cellStyle name="Currency 4 5 2 2 2 3" xfId="19024"/>
    <cellStyle name="Currency 4 5 2 2 3" xfId="19025"/>
    <cellStyle name="Currency 4 5 2 2 4" xfId="19026"/>
    <cellStyle name="Currency 4 5 2 2 5" xfId="19027"/>
    <cellStyle name="Currency 4 5 2 2 6" xfId="19028"/>
    <cellStyle name="Currency 4 5 2 3" xfId="19029"/>
    <cellStyle name="Currency 4 5 2 3 2" xfId="19030"/>
    <cellStyle name="Currency 4 5 2 3 2 2" xfId="19031"/>
    <cellStyle name="Currency 4 5 2 3 3" xfId="19032"/>
    <cellStyle name="Currency 4 5 2 3 4" xfId="19033"/>
    <cellStyle name="Currency 4 5 2 3 5" xfId="19034"/>
    <cellStyle name="Currency 4 5 2 4" xfId="19035"/>
    <cellStyle name="Currency 4 5 2 4 2" xfId="19036"/>
    <cellStyle name="Currency 4 5 2 4 3" xfId="19037"/>
    <cellStyle name="Currency 4 5 2 4 4" xfId="19038"/>
    <cellStyle name="Currency 4 5 2 5" xfId="19039"/>
    <cellStyle name="Currency 4 5 2 5 2" xfId="19040"/>
    <cellStyle name="Currency 4 5 2 6" xfId="19041"/>
    <cellStyle name="Currency 4 5 2 7" xfId="19042"/>
    <cellStyle name="Currency 4 5 2 8" xfId="19043"/>
    <cellStyle name="Currency 4 5 2 9" xfId="19044"/>
    <cellStyle name="Currency 4 5 3" xfId="19045"/>
    <cellStyle name="Currency 4 5 3 2" xfId="19046"/>
    <cellStyle name="Currency 4 5 3 2 2" xfId="19047"/>
    <cellStyle name="Currency 4 5 3 2 3" xfId="19048"/>
    <cellStyle name="Currency 4 5 3 3" xfId="19049"/>
    <cellStyle name="Currency 4 5 3 4" xfId="19050"/>
    <cellStyle name="Currency 4 5 3 5" xfId="19051"/>
    <cellStyle name="Currency 4 5 3 6" xfId="19052"/>
    <cellStyle name="Currency 4 5 4" xfId="19053"/>
    <cellStyle name="Currency 4 5 4 2" xfId="19054"/>
    <cellStyle name="Currency 4 5 4 2 2" xfId="19055"/>
    <cellStyle name="Currency 4 5 4 3" xfId="19056"/>
    <cellStyle name="Currency 4 5 4 4" xfId="19057"/>
    <cellStyle name="Currency 4 5 4 5" xfId="19058"/>
    <cellStyle name="Currency 4 5 5" xfId="19059"/>
    <cellStyle name="Currency 4 5 5 2" xfId="19060"/>
    <cellStyle name="Currency 4 5 5 2 2" xfId="19061"/>
    <cellStyle name="Currency 4 5 5 3" xfId="19062"/>
    <cellStyle name="Currency 4 5 5 4" xfId="19063"/>
    <cellStyle name="Currency 4 5 5 5" xfId="19064"/>
    <cellStyle name="Currency 4 5 6" xfId="19065"/>
    <cellStyle name="Currency 4 5 6 2" xfId="19066"/>
    <cellStyle name="Currency 4 5 7" xfId="19067"/>
    <cellStyle name="Currency 4 5 8" xfId="19068"/>
    <cellStyle name="Currency 4 5 9" xfId="19069"/>
    <cellStyle name="Currency 4 6" xfId="19070"/>
    <cellStyle name="Currency 4 6 10" xfId="19071"/>
    <cellStyle name="Currency 4 6 2" xfId="19072"/>
    <cellStyle name="Currency 4 6 2 2" xfId="19073"/>
    <cellStyle name="Currency 4 6 2 2 2" xfId="19074"/>
    <cellStyle name="Currency 4 6 2 2 2 2" xfId="19075"/>
    <cellStyle name="Currency 4 6 2 2 2 3" xfId="19076"/>
    <cellStyle name="Currency 4 6 2 2 3" xfId="19077"/>
    <cellStyle name="Currency 4 6 2 2 4" xfId="19078"/>
    <cellStyle name="Currency 4 6 2 2 5" xfId="19079"/>
    <cellStyle name="Currency 4 6 2 2 6" xfId="19080"/>
    <cellStyle name="Currency 4 6 2 3" xfId="19081"/>
    <cellStyle name="Currency 4 6 2 3 2" xfId="19082"/>
    <cellStyle name="Currency 4 6 2 3 2 2" xfId="19083"/>
    <cellStyle name="Currency 4 6 2 3 3" xfId="19084"/>
    <cellStyle name="Currency 4 6 2 3 4" xfId="19085"/>
    <cellStyle name="Currency 4 6 2 3 5" xfId="19086"/>
    <cellStyle name="Currency 4 6 2 4" xfId="19087"/>
    <cellStyle name="Currency 4 6 2 4 2" xfId="19088"/>
    <cellStyle name="Currency 4 6 2 4 3" xfId="19089"/>
    <cellStyle name="Currency 4 6 2 4 4" xfId="19090"/>
    <cellStyle name="Currency 4 6 2 5" xfId="19091"/>
    <cellStyle name="Currency 4 6 2 5 2" xfId="19092"/>
    <cellStyle name="Currency 4 6 2 6" xfId="19093"/>
    <cellStyle name="Currency 4 6 2 7" xfId="19094"/>
    <cellStyle name="Currency 4 6 2 8" xfId="19095"/>
    <cellStyle name="Currency 4 6 2 9" xfId="19096"/>
    <cellStyle name="Currency 4 6 3" xfId="19097"/>
    <cellStyle name="Currency 4 6 3 2" xfId="19098"/>
    <cellStyle name="Currency 4 6 3 2 2" xfId="19099"/>
    <cellStyle name="Currency 4 6 3 2 3" xfId="19100"/>
    <cellStyle name="Currency 4 6 3 3" xfId="19101"/>
    <cellStyle name="Currency 4 6 3 4" xfId="19102"/>
    <cellStyle name="Currency 4 6 3 5" xfId="19103"/>
    <cellStyle name="Currency 4 6 3 6" xfId="19104"/>
    <cellStyle name="Currency 4 6 4" xfId="19105"/>
    <cellStyle name="Currency 4 6 4 2" xfId="19106"/>
    <cellStyle name="Currency 4 6 4 2 2" xfId="19107"/>
    <cellStyle name="Currency 4 6 4 3" xfId="19108"/>
    <cellStyle name="Currency 4 6 4 4" xfId="19109"/>
    <cellStyle name="Currency 4 6 4 5" xfId="19110"/>
    <cellStyle name="Currency 4 6 5" xfId="19111"/>
    <cellStyle name="Currency 4 6 5 2" xfId="19112"/>
    <cellStyle name="Currency 4 6 5 2 2" xfId="19113"/>
    <cellStyle name="Currency 4 6 5 3" xfId="19114"/>
    <cellStyle name="Currency 4 6 5 4" xfId="19115"/>
    <cellStyle name="Currency 4 6 5 5" xfId="19116"/>
    <cellStyle name="Currency 4 6 6" xfId="19117"/>
    <cellStyle name="Currency 4 6 6 2" xfId="19118"/>
    <cellStyle name="Currency 4 6 7" xfId="19119"/>
    <cellStyle name="Currency 4 6 8" xfId="19120"/>
    <cellStyle name="Currency 4 6 9" xfId="19121"/>
    <cellStyle name="Currency 4 7" xfId="19122"/>
    <cellStyle name="Currency 4 7 10" xfId="19123"/>
    <cellStyle name="Currency 4 7 2" xfId="19124"/>
    <cellStyle name="Currency 4 7 2 2" xfId="19125"/>
    <cellStyle name="Currency 4 7 2 2 2" xfId="19126"/>
    <cellStyle name="Currency 4 7 2 2 2 2" xfId="19127"/>
    <cellStyle name="Currency 4 7 2 2 2 3" xfId="19128"/>
    <cellStyle name="Currency 4 7 2 2 3" xfId="19129"/>
    <cellStyle name="Currency 4 7 2 2 4" xfId="19130"/>
    <cellStyle name="Currency 4 7 2 2 5" xfId="19131"/>
    <cellStyle name="Currency 4 7 2 2 6" xfId="19132"/>
    <cellStyle name="Currency 4 7 2 3" xfId="19133"/>
    <cellStyle name="Currency 4 7 2 3 2" xfId="19134"/>
    <cellStyle name="Currency 4 7 2 3 2 2" xfId="19135"/>
    <cellStyle name="Currency 4 7 2 3 3" xfId="19136"/>
    <cellStyle name="Currency 4 7 2 3 4" xfId="19137"/>
    <cellStyle name="Currency 4 7 2 3 5" xfId="19138"/>
    <cellStyle name="Currency 4 7 2 4" xfId="19139"/>
    <cellStyle name="Currency 4 7 2 4 2" xfId="19140"/>
    <cellStyle name="Currency 4 7 2 4 3" xfId="19141"/>
    <cellStyle name="Currency 4 7 2 4 4" xfId="19142"/>
    <cellStyle name="Currency 4 7 2 5" xfId="19143"/>
    <cellStyle name="Currency 4 7 2 5 2" xfId="19144"/>
    <cellStyle name="Currency 4 7 2 6" xfId="19145"/>
    <cellStyle name="Currency 4 7 2 7" xfId="19146"/>
    <cellStyle name="Currency 4 7 2 8" xfId="19147"/>
    <cellStyle name="Currency 4 7 2 9" xfId="19148"/>
    <cellStyle name="Currency 4 7 3" xfId="19149"/>
    <cellStyle name="Currency 4 7 3 2" xfId="19150"/>
    <cellStyle name="Currency 4 7 3 2 2" xfId="19151"/>
    <cellStyle name="Currency 4 7 3 2 3" xfId="19152"/>
    <cellStyle name="Currency 4 7 3 3" xfId="19153"/>
    <cellStyle name="Currency 4 7 3 4" xfId="19154"/>
    <cellStyle name="Currency 4 7 3 5" xfId="19155"/>
    <cellStyle name="Currency 4 7 3 6" xfId="19156"/>
    <cellStyle name="Currency 4 7 4" xfId="19157"/>
    <cellStyle name="Currency 4 7 4 2" xfId="19158"/>
    <cellStyle name="Currency 4 7 4 2 2" xfId="19159"/>
    <cellStyle name="Currency 4 7 4 3" xfId="19160"/>
    <cellStyle name="Currency 4 7 4 4" xfId="19161"/>
    <cellStyle name="Currency 4 7 4 5" xfId="19162"/>
    <cellStyle name="Currency 4 7 5" xfId="19163"/>
    <cellStyle name="Currency 4 7 5 2" xfId="19164"/>
    <cellStyle name="Currency 4 7 5 2 2" xfId="19165"/>
    <cellStyle name="Currency 4 7 5 3" xfId="19166"/>
    <cellStyle name="Currency 4 7 5 4" xfId="19167"/>
    <cellStyle name="Currency 4 7 5 5" xfId="19168"/>
    <cellStyle name="Currency 4 7 6" xfId="19169"/>
    <cellStyle name="Currency 4 7 6 2" xfId="19170"/>
    <cellStyle name="Currency 4 7 7" xfId="19171"/>
    <cellStyle name="Currency 4 7 8" xfId="19172"/>
    <cellStyle name="Currency 4 7 9" xfId="19173"/>
    <cellStyle name="Currency 4 8" xfId="19174"/>
    <cellStyle name="Currency 4 8 10" xfId="19175"/>
    <cellStyle name="Currency 4 8 2" xfId="19176"/>
    <cellStyle name="Currency 4 8 2 2" xfId="19177"/>
    <cellStyle name="Currency 4 8 2 2 2" xfId="19178"/>
    <cellStyle name="Currency 4 8 2 2 2 2" xfId="19179"/>
    <cellStyle name="Currency 4 8 2 2 2 3" xfId="19180"/>
    <cellStyle name="Currency 4 8 2 2 3" xfId="19181"/>
    <cellStyle name="Currency 4 8 2 2 4" xfId="19182"/>
    <cellStyle name="Currency 4 8 2 2 5" xfId="19183"/>
    <cellStyle name="Currency 4 8 2 2 6" xfId="19184"/>
    <cellStyle name="Currency 4 8 2 3" xfId="19185"/>
    <cellStyle name="Currency 4 8 2 3 2" xfId="19186"/>
    <cellStyle name="Currency 4 8 2 3 2 2" xfId="19187"/>
    <cellStyle name="Currency 4 8 2 3 3" xfId="19188"/>
    <cellStyle name="Currency 4 8 2 3 4" xfId="19189"/>
    <cellStyle name="Currency 4 8 2 3 5" xfId="19190"/>
    <cellStyle name="Currency 4 8 2 4" xfId="19191"/>
    <cellStyle name="Currency 4 8 2 4 2" xfId="19192"/>
    <cellStyle name="Currency 4 8 2 4 3" xfId="19193"/>
    <cellStyle name="Currency 4 8 2 4 4" xfId="19194"/>
    <cellStyle name="Currency 4 8 2 5" xfId="19195"/>
    <cellStyle name="Currency 4 8 2 5 2" xfId="19196"/>
    <cellStyle name="Currency 4 8 2 6" xfId="19197"/>
    <cellStyle name="Currency 4 8 2 7" xfId="19198"/>
    <cellStyle name="Currency 4 8 2 8" xfId="19199"/>
    <cellStyle name="Currency 4 8 2 9" xfId="19200"/>
    <cellStyle name="Currency 4 8 3" xfId="19201"/>
    <cellStyle name="Currency 4 8 3 2" xfId="19202"/>
    <cellStyle name="Currency 4 8 3 2 2" xfId="19203"/>
    <cellStyle name="Currency 4 8 3 2 3" xfId="19204"/>
    <cellStyle name="Currency 4 8 3 3" xfId="19205"/>
    <cellStyle name="Currency 4 8 3 4" xfId="19206"/>
    <cellStyle name="Currency 4 8 3 5" xfId="19207"/>
    <cellStyle name="Currency 4 8 3 6" xfId="19208"/>
    <cellStyle name="Currency 4 8 4" xfId="19209"/>
    <cellStyle name="Currency 4 8 4 2" xfId="19210"/>
    <cellStyle name="Currency 4 8 4 2 2" xfId="19211"/>
    <cellStyle name="Currency 4 8 4 3" xfId="19212"/>
    <cellStyle name="Currency 4 8 4 4" xfId="19213"/>
    <cellStyle name="Currency 4 8 4 5" xfId="19214"/>
    <cellStyle name="Currency 4 8 5" xfId="19215"/>
    <cellStyle name="Currency 4 8 5 2" xfId="19216"/>
    <cellStyle name="Currency 4 8 5 2 2" xfId="19217"/>
    <cellStyle name="Currency 4 8 5 3" xfId="19218"/>
    <cellStyle name="Currency 4 8 5 4" xfId="19219"/>
    <cellStyle name="Currency 4 8 5 5" xfId="19220"/>
    <cellStyle name="Currency 4 8 6" xfId="19221"/>
    <cellStyle name="Currency 4 8 6 2" xfId="19222"/>
    <cellStyle name="Currency 4 8 7" xfId="19223"/>
    <cellStyle name="Currency 4 8 8" xfId="19224"/>
    <cellStyle name="Currency 4 8 9" xfId="19225"/>
    <cellStyle name="Currency 4 9" xfId="19226"/>
    <cellStyle name="Currency 4 9 2" xfId="19227"/>
    <cellStyle name="Currency 4 9 2 2" xfId="19228"/>
    <cellStyle name="Currency 4 9 2 2 2" xfId="19229"/>
    <cellStyle name="Currency 4 9 2 2 3" xfId="19230"/>
    <cellStyle name="Currency 4 9 2 3" xfId="19231"/>
    <cellStyle name="Currency 4 9 2 4" xfId="19232"/>
    <cellStyle name="Currency 4 9 2 5" xfId="19233"/>
    <cellStyle name="Currency 4 9 2 6" xfId="19234"/>
    <cellStyle name="Currency 4 9 3" xfId="19235"/>
    <cellStyle name="Currency 4 9 3 2" xfId="19236"/>
    <cellStyle name="Currency 4 9 3 2 2" xfId="19237"/>
    <cellStyle name="Currency 4 9 3 3" xfId="19238"/>
    <cellStyle name="Currency 4 9 3 4" xfId="19239"/>
    <cellStyle name="Currency 4 9 3 5" xfId="19240"/>
    <cellStyle name="Currency 4 9 4" xfId="19241"/>
    <cellStyle name="Currency 4 9 4 2" xfId="19242"/>
    <cellStyle name="Currency 4 9 4 3" xfId="19243"/>
    <cellStyle name="Currency 4 9 4 4" xfId="19244"/>
    <cellStyle name="Currency 4 9 5" xfId="19245"/>
    <cellStyle name="Currency 4 9 5 2" xfId="19246"/>
    <cellStyle name="Currency 4 9 6" xfId="19247"/>
    <cellStyle name="Currency 4 9 7" xfId="19248"/>
    <cellStyle name="Currency 4 9 8" xfId="19249"/>
    <cellStyle name="Currency 4 9 9" xfId="19250"/>
    <cellStyle name="Currency 5" xfId="19251"/>
    <cellStyle name="Currency 5 10" xfId="19252"/>
    <cellStyle name="Currency 5 2" xfId="19253"/>
    <cellStyle name="Currency 5 2 2" xfId="19254"/>
    <cellStyle name="Currency 5 2 2 2" xfId="19255"/>
    <cellStyle name="Currency 5 2 2 2 2" xfId="19256"/>
    <cellStyle name="Currency 5 2 2 2 3" xfId="19257"/>
    <cellStyle name="Currency 5 2 2 3" xfId="19258"/>
    <cellStyle name="Currency 5 2 2 4" xfId="19259"/>
    <cellStyle name="Currency 5 2 2 5" xfId="19260"/>
    <cellStyle name="Currency 5 2 2 6" xfId="19261"/>
    <cellStyle name="Currency 5 2 3" xfId="19262"/>
    <cellStyle name="Currency 5 2 3 2" xfId="19263"/>
    <cellStyle name="Currency 5 2 3 2 2" xfId="19264"/>
    <cellStyle name="Currency 5 2 3 3" xfId="19265"/>
    <cellStyle name="Currency 5 2 3 4" xfId="19266"/>
    <cellStyle name="Currency 5 2 3 5" xfId="19267"/>
    <cellStyle name="Currency 5 2 4" xfId="19268"/>
    <cellStyle name="Currency 5 2 4 2" xfId="19269"/>
    <cellStyle name="Currency 5 2 4 3" xfId="19270"/>
    <cellStyle name="Currency 5 2 4 4" xfId="19271"/>
    <cellStyle name="Currency 5 2 5" xfId="19272"/>
    <cellStyle name="Currency 5 2 5 2" xfId="19273"/>
    <cellStyle name="Currency 5 2 6" xfId="19274"/>
    <cellStyle name="Currency 5 2 7" xfId="19275"/>
    <cellStyle name="Currency 5 2 8" xfId="19276"/>
    <cellStyle name="Currency 5 2 9" xfId="19277"/>
    <cellStyle name="Currency 5 3" xfId="19278"/>
    <cellStyle name="Currency 5 3 2" xfId="19279"/>
    <cellStyle name="Currency 5 3 2 2" xfId="19280"/>
    <cellStyle name="Currency 5 3 2 3" xfId="19281"/>
    <cellStyle name="Currency 5 3 3" xfId="19282"/>
    <cellStyle name="Currency 5 3 4" xfId="19283"/>
    <cellStyle name="Currency 5 3 5" xfId="19284"/>
    <cellStyle name="Currency 5 3 6" xfId="19285"/>
    <cellStyle name="Currency 5 4" xfId="19286"/>
    <cellStyle name="Currency 5 4 2" xfId="19287"/>
    <cellStyle name="Currency 5 4 2 2" xfId="19288"/>
    <cellStyle name="Currency 5 4 3" xfId="19289"/>
    <cellStyle name="Currency 5 4 4" xfId="19290"/>
    <cellStyle name="Currency 5 4 5" xfId="19291"/>
    <cellStyle name="Currency 5 5" xfId="19292"/>
    <cellStyle name="Currency 5 5 2" xfId="19293"/>
    <cellStyle name="Currency 5 5 3" xfId="19294"/>
    <cellStyle name="Currency 5 5 4" xfId="19295"/>
    <cellStyle name="Currency 5 6" xfId="19296"/>
    <cellStyle name="Currency 5 6 2" xfId="19297"/>
    <cellStyle name="Currency 5 7" xfId="19298"/>
    <cellStyle name="Currency 5 8" xfId="19299"/>
    <cellStyle name="Currency 5 9" xfId="19300"/>
    <cellStyle name="Currency 6" xfId="19301"/>
    <cellStyle name="Currency 6 2" xfId="19302"/>
    <cellStyle name="Currency 6 2 2" xfId="19303"/>
    <cellStyle name="Currency 6 2 2 2" xfId="19304"/>
    <cellStyle name="Currency 6 2 2 3" xfId="19305"/>
    <cellStyle name="Currency 6 2 3" xfId="19306"/>
    <cellStyle name="Currency 6 2 4" xfId="19307"/>
    <cellStyle name="Currency 6 2 5" xfId="19308"/>
    <cellStyle name="Currency 6 2 6" xfId="19309"/>
    <cellStyle name="Currency 6 3" xfId="19310"/>
    <cellStyle name="Currency 6 3 2" xfId="19311"/>
    <cellStyle name="Currency 6 3 2 2" xfId="19312"/>
    <cellStyle name="Currency 6 3 3" xfId="19313"/>
    <cellStyle name="Currency 6 3 4" xfId="19314"/>
    <cellStyle name="Currency 6 3 5" xfId="19315"/>
    <cellStyle name="Currency 6 4" xfId="19316"/>
    <cellStyle name="Currency 6 4 2" xfId="19317"/>
    <cellStyle name="Currency 6 4 3" xfId="19318"/>
    <cellStyle name="Currency 6 4 4" xfId="19319"/>
    <cellStyle name="Currency 6 5" xfId="19320"/>
    <cellStyle name="Currency 6 5 2" xfId="19321"/>
    <cellStyle name="Currency 6 6" xfId="19322"/>
    <cellStyle name="Currency 6 7" xfId="19323"/>
    <cellStyle name="Currency 6 8" xfId="19324"/>
    <cellStyle name="Currency 6 9" xfId="19325"/>
    <cellStyle name="Currency 7" xfId="19326"/>
    <cellStyle name="Currency 7 2" xfId="19327"/>
    <cellStyle name="Currency 7 2 2" xfId="19328"/>
    <cellStyle name="Currency 7 2 2 2" xfId="19329"/>
    <cellStyle name="Currency 7 2 3" xfId="19330"/>
    <cellStyle name="Currency 7 2 4" xfId="19331"/>
    <cellStyle name="Currency 7 2 5" xfId="19332"/>
    <cellStyle name="Currency 7 3" xfId="19333"/>
    <cellStyle name="Currency 7 3 2" xfId="19334"/>
    <cellStyle name="Currency 7 3 3" xfId="19335"/>
    <cellStyle name="Currency 7 3 4" xfId="19336"/>
    <cellStyle name="Currency 7 4" xfId="19337"/>
    <cellStyle name="Currency 7 4 2" xfId="19338"/>
    <cellStyle name="Currency 7 5" xfId="19339"/>
    <cellStyle name="Currency 7 6" xfId="19340"/>
    <cellStyle name="Currency 7 7" xfId="19341"/>
    <cellStyle name="Currency 7 8" xfId="19342"/>
    <cellStyle name="Currency 8" xfId="19343"/>
    <cellStyle name="Currency 8 2" xfId="19344"/>
    <cellStyle name="Currency 8 2 2" xfId="19345"/>
    <cellStyle name="Currency 8 2 2 2" xfId="19346"/>
    <cellStyle name="Currency 8 2 3" xfId="19347"/>
    <cellStyle name="Currency 8 2 4" xfId="19348"/>
    <cellStyle name="Currency 8 2 5" xfId="19349"/>
    <cellStyle name="Currency 8 3" xfId="19350"/>
    <cellStyle name="Currency 8 3 2" xfId="19351"/>
    <cellStyle name="Currency 8 3 3" xfId="19352"/>
    <cellStyle name="Currency 8 3 4" xfId="19353"/>
    <cellStyle name="Currency 8 4" xfId="19354"/>
    <cellStyle name="Currency 8 4 2" xfId="19355"/>
    <cellStyle name="Currency 8 5" xfId="19356"/>
    <cellStyle name="Currency 8 6" xfId="19357"/>
    <cellStyle name="Currency 8 7" xfId="19358"/>
    <cellStyle name="Currency 8 8" xfId="19359"/>
    <cellStyle name="Currency 9" xfId="19360"/>
    <cellStyle name="Currency 9 2" xfId="19361"/>
    <cellStyle name="Currency 9 2 2" xfId="19362"/>
    <cellStyle name="Currency 9 2 3" xfId="19363"/>
    <cellStyle name="Currency 9 2 4" xfId="19364"/>
    <cellStyle name="Currency 9 3" xfId="19365"/>
    <cellStyle name="Currency 9 3 2" xfId="19366"/>
    <cellStyle name="Currency 9 4" xfId="19367"/>
    <cellStyle name="Currency 9 5" xfId="19368"/>
    <cellStyle name="Currency 9 6" xfId="19369"/>
    <cellStyle name="Currency0" xfId="19370"/>
    <cellStyle name="Date" xfId="19371"/>
    <cellStyle name="Fixed" xfId="19372"/>
    <cellStyle name="govt_labor" xfId="19373"/>
    <cellStyle name="Grey" xfId="19374"/>
    <cellStyle name="Heading 1 2" xfId="19375"/>
    <cellStyle name="Heading 2 2" xfId="19376"/>
    <cellStyle name="Heading1" xfId="19377"/>
    <cellStyle name="Heading2" xfId="19378"/>
    <cellStyle name="Hyperlink" xfId="42329" builtinId="8"/>
    <cellStyle name="Hyperlink 2" xfId="19379"/>
    <cellStyle name="Input [yellow]" xfId="19380"/>
    <cellStyle name="Normal" xfId="0" builtinId="0"/>
    <cellStyle name="Normal - Style1" xfId="19381"/>
    <cellStyle name="Normal 10" xfId="19382"/>
    <cellStyle name="Normal 10 2" xfId="19383"/>
    <cellStyle name="Normal 10 2 2" xfId="19384"/>
    <cellStyle name="Normal 10 3" xfId="19385"/>
    <cellStyle name="Normal 11" xfId="19386"/>
    <cellStyle name="Normal 11 2" xfId="19387"/>
    <cellStyle name="Normal 11 2 2" xfId="19388"/>
    <cellStyle name="Normal 11 3" xfId="19389"/>
    <cellStyle name="Normal 11 4" xfId="19390"/>
    <cellStyle name="Normal 11 5" xfId="19391"/>
    <cellStyle name="Normal 12" xfId="19392"/>
    <cellStyle name="Normal 12 10" xfId="19393"/>
    <cellStyle name="Normal 12 2" xfId="19394"/>
    <cellStyle name="Normal 12 2 2" xfId="19395"/>
    <cellStyle name="Normal 12 2 2 2" xfId="19396"/>
    <cellStyle name="Normal 12 2 2 2 2" xfId="19397"/>
    <cellStyle name="Normal 12 2 2 2 3" xfId="19398"/>
    <cellStyle name="Normal 12 2 2 3" xfId="19399"/>
    <cellStyle name="Normal 12 2 2 4" xfId="19400"/>
    <cellStyle name="Normal 12 2 2 5" xfId="19401"/>
    <cellStyle name="Normal 12 2 2 6" xfId="19402"/>
    <cellStyle name="Normal 12 2 3" xfId="19403"/>
    <cellStyle name="Normal 12 2 3 2" xfId="19404"/>
    <cellStyle name="Normal 12 2 3 2 2" xfId="19405"/>
    <cellStyle name="Normal 12 2 3 3" xfId="19406"/>
    <cellStyle name="Normal 12 2 3 4" xfId="19407"/>
    <cellStyle name="Normal 12 2 3 5" xfId="19408"/>
    <cellStyle name="Normal 12 2 4" xfId="19409"/>
    <cellStyle name="Normal 12 2 4 2" xfId="19410"/>
    <cellStyle name="Normal 12 2 4 3" xfId="19411"/>
    <cellStyle name="Normal 12 2 4 4" xfId="19412"/>
    <cellStyle name="Normal 12 2 5" xfId="19413"/>
    <cellStyle name="Normal 12 2 5 2" xfId="19414"/>
    <cellStyle name="Normal 12 2 6" xfId="19415"/>
    <cellStyle name="Normal 12 2 7" xfId="19416"/>
    <cellStyle name="Normal 12 2 8" xfId="19417"/>
    <cellStyle name="Normal 12 2 9" xfId="19418"/>
    <cellStyle name="Normal 12 3" xfId="19419"/>
    <cellStyle name="Normal 12 3 2" xfId="19420"/>
    <cellStyle name="Normal 12 3 2 2" xfId="19421"/>
    <cellStyle name="Normal 12 3 2 3" xfId="19422"/>
    <cellStyle name="Normal 12 3 3" xfId="19423"/>
    <cellStyle name="Normal 12 3 4" xfId="19424"/>
    <cellStyle name="Normal 12 3 5" xfId="19425"/>
    <cellStyle name="Normal 12 3 6" xfId="19426"/>
    <cellStyle name="Normal 12 4" xfId="19427"/>
    <cellStyle name="Normal 12 4 2" xfId="19428"/>
    <cellStyle name="Normal 12 4 2 2" xfId="19429"/>
    <cellStyle name="Normal 12 4 3" xfId="19430"/>
    <cellStyle name="Normal 12 4 4" xfId="19431"/>
    <cellStyle name="Normal 12 4 5" xfId="19432"/>
    <cellStyle name="Normal 12 5" xfId="19433"/>
    <cellStyle name="Normal 12 5 2" xfId="19434"/>
    <cellStyle name="Normal 12 5 2 2" xfId="19435"/>
    <cellStyle name="Normal 12 5 3" xfId="19436"/>
    <cellStyle name="Normal 12 5 4" xfId="19437"/>
    <cellStyle name="Normal 12 5 5" xfId="19438"/>
    <cellStyle name="Normal 12 6" xfId="19439"/>
    <cellStyle name="Normal 12 6 2" xfId="19440"/>
    <cellStyle name="Normal 12 7" xfId="19441"/>
    <cellStyle name="Normal 12 8" xfId="19442"/>
    <cellStyle name="Normal 12 9" xfId="19443"/>
    <cellStyle name="Normal 13" xfId="19444"/>
    <cellStyle name="Normal 13 10" xfId="19445"/>
    <cellStyle name="Normal 13 2" xfId="19446"/>
    <cellStyle name="Normal 13 2 2" xfId="19447"/>
    <cellStyle name="Normal 13 2 2 2" xfId="19448"/>
    <cellStyle name="Normal 13 2 2 2 2" xfId="19449"/>
    <cellStyle name="Normal 13 2 2 2 3" xfId="19450"/>
    <cellStyle name="Normal 13 2 2 3" xfId="19451"/>
    <cellStyle name="Normal 13 2 2 4" xfId="19452"/>
    <cellStyle name="Normal 13 2 2 5" xfId="19453"/>
    <cellStyle name="Normal 13 2 2 6" xfId="19454"/>
    <cellStyle name="Normal 13 2 3" xfId="19455"/>
    <cellStyle name="Normal 13 2 3 2" xfId="19456"/>
    <cellStyle name="Normal 13 2 3 2 2" xfId="19457"/>
    <cellStyle name="Normal 13 2 3 3" xfId="19458"/>
    <cellStyle name="Normal 13 2 3 4" xfId="19459"/>
    <cellStyle name="Normal 13 2 3 5" xfId="19460"/>
    <cellStyle name="Normal 13 2 4" xfId="19461"/>
    <cellStyle name="Normal 13 2 4 2" xfId="19462"/>
    <cellStyle name="Normal 13 2 4 3" xfId="19463"/>
    <cellStyle name="Normal 13 2 4 4" xfId="19464"/>
    <cellStyle name="Normal 13 2 5" xfId="19465"/>
    <cellStyle name="Normal 13 2 5 2" xfId="19466"/>
    <cellStyle name="Normal 13 2 6" xfId="19467"/>
    <cellStyle name="Normal 13 2 7" xfId="19468"/>
    <cellStyle name="Normal 13 2 8" xfId="19469"/>
    <cellStyle name="Normal 13 2 9" xfId="19470"/>
    <cellStyle name="Normal 13 3" xfId="19471"/>
    <cellStyle name="Normal 13 3 2" xfId="19472"/>
    <cellStyle name="Normal 13 3 2 2" xfId="19473"/>
    <cellStyle name="Normal 13 3 2 3" xfId="19474"/>
    <cellStyle name="Normal 13 3 3" xfId="19475"/>
    <cellStyle name="Normal 13 3 4" xfId="19476"/>
    <cellStyle name="Normal 13 3 5" xfId="19477"/>
    <cellStyle name="Normal 13 3 6" xfId="19478"/>
    <cellStyle name="Normal 13 4" xfId="19479"/>
    <cellStyle name="Normal 13 4 2" xfId="19480"/>
    <cellStyle name="Normal 13 4 2 2" xfId="19481"/>
    <cellStyle name="Normal 13 4 3" xfId="19482"/>
    <cellStyle name="Normal 13 4 4" xfId="19483"/>
    <cellStyle name="Normal 13 4 5" xfId="19484"/>
    <cellStyle name="Normal 13 5" xfId="19485"/>
    <cellStyle name="Normal 13 5 2" xfId="19486"/>
    <cellStyle name="Normal 13 5 2 2" xfId="19487"/>
    <cellStyle name="Normal 13 5 3" xfId="19488"/>
    <cellStyle name="Normal 13 5 4" xfId="19489"/>
    <cellStyle name="Normal 13 5 5" xfId="19490"/>
    <cellStyle name="Normal 13 6" xfId="19491"/>
    <cellStyle name="Normal 13 6 2" xfId="19492"/>
    <cellStyle name="Normal 13 7" xfId="19493"/>
    <cellStyle name="Normal 13 8" xfId="19494"/>
    <cellStyle name="Normal 13 9" xfId="19495"/>
    <cellStyle name="Normal 14" xfId="19496"/>
    <cellStyle name="Normal 14 10" xfId="19497"/>
    <cellStyle name="Normal 14 2" xfId="19498"/>
    <cellStyle name="Normal 14 2 2" xfId="19499"/>
    <cellStyle name="Normal 14 2 2 2" xfId="19500"/>
    <cellStyle name="Normal 14 2 2 2 2" xfId="19501"/>
    <cellStyle name="Normal 14 2 2 2 3" xfId="19502"/>
    <cellStyle name="Normal 14 2 2 3" xfId="19503"/>
    <cellStyle name="Normal 14 2 2 4" xfId="19504"/>
    <cellStyle name="Normal 14 2 2 5" xfId="19505"/>
    <cellStyle name="Normal 14 2 2 6" xfId="19506"/>
    <cellStyle name="Normal 14 2 3" xfId="19507"/>
    <cellStyle name="Normal 14 2 3 2" xfId="19508"/>
    <cellStyle name="Normal 14 2 3 2 2" xfId="19509"/>
    <cellStyle name="Normal 14 2 3 3" xfId="19510"/>
    <cellStyle name="Normal 14 2 3 4" xfId="19511"/>
    <cellStyle name="Normal 14 2 3 5" xfId="19512"/>
    <cellStyle name="Normal 14 2 4" xfId="19513"/>
    <cellStyle name="Normal 14 2 4 2" xfId="19514"/>
    <cellStyle name="Normal 14 2 4 3" xfId="19515"/>
    <cellStyle name="Normal 14 2 4 4" xfId="19516"/>
    <cellStyle name="Normal 14 2 5" xfId="19517"/>
    <cellStyle name="Normal 14 2 5 2" xfId="19518"/>
    <cellStyle name="Normal 14 2 6" xfId="19519"/>
    <cellStyle name="Normal 14 2 7" xfId="19520"/>
    <cellStyle name="Normal 14 2 8" xfId="19521"/>
    <cellStyle name="Normal 14 2 9" xfId="19522"/>
    <cellStyle name="Normal 14 3" xfId="19523"/>
    <cellStyle name="Normal 14 3 2" xfId="19524"/>
    <cellStyle name="Normal 14 3 2 2" xfId="19525"/>
    <cellStyle name="Normal 14 3 2 3" xfId="19526"/>
    <cellStyle name="Normal 14 3 3" xfId="19527"/>
    <cellStyle name="Normal 14 3 4" xfId="19528"/>
    <cellStyle name="Normal 14 3 5" xfId="19529"/>
    <cellStyle name="Normal 14 3 6" xfId="19530"/>
    <cellStyle name="Normal 14 4" xfId="19531"/>
    <cellStyle name="Normal 14 4 2" xfId="19532"/>
    <cellStyle name="Normal 14 4 2 2" xfId="19533"/>
    <cellStyle name="Normal 14 4 3" xfId="19534"/>
    <cellStyle name="Normal 14 4 4" xfId="19535"/>
    <cellStyle name="Normal 14 4 5" xfId="19536"/>
    <cellStyle name="Normal 14 5" xfId="19537"/>
    <cellStyle name="Normal 14 5 2" xfId="19538"/>
    <cellStyle name="Normal 14 5 3" xfId="19539"/>
    <cellStyle name="Normal 14 5 4" xfId="19540"/>
    <cellStyle name="Normal 14 6" xfId="19541"/>
    <cellStyle name="Normal 14 6 2" xfId="19542"/>
    <cellStyle name="Normal 14 7" xfId="19543"/>
    <cellStyle name="Normal 14 8" xfId="19544"/>
    <cellStyle name="Normal 14 9" xfId="19545"/>
    <cellStyle name="Normal 15" xfId="19546"/>
    <cellStyle name="Normal 15 2" xfId="19547"/>
    <cellStyle name="Normal 15 2 2" xfId="19548"/>
    <cellStyle name="Normal 15 2 2 2" xfId="19549"/>
    <cellStyle name="Normal 15 2 2 3" xfId="19550"/>
    <cellStyle name="Normal 15 2 3" xfId="19551"/>
    <cellStyle name="Normal 15 2 4" xfId="19552"/>
    <cellStyle name="Normal 15 2 5" xfId="19553"/>
    <cellStyle name="Normal 15 2 6" xfId="19554"/>
    <cellStyle name="Normal 15 3" xfId="19555"/>
    <cellStyle name="Normal 15 3 2" xfId="19556"/>
    <cellStyle name="Normal 15 3 2 2" xfId="19557"/>
    <cellStyle name="Normal 15 3 3" xfId="19558"/>
    <cellStyle name="Normal 15 3 4" xfId="19559"/>
    <cellStyle name="Normal 15 3 5" xfId="19560"/>
    <cellStyle name="Normal 15 4" xfId="19561"/>
    <cellStyle name="Normal 15 4 2" xfId="19562"/>
    <cellStyle name="Normal 15 4 3" xfId="19563"/>
    <cellStyle name="Normal 15 4 4" xfId="19564"/>
    <cellStyle name="Normal 15 5" xfId="19565"/>
    <cellStyle name="Normal 15 5 2" xfId="19566"/>
    <cellStyle name="Normal 15 6" xfId="19567"/>
    <cellStyle name="Normal 15 7" xfId="19568"/>
    <cellStyle name="Normal 15 8" xfId="19569"/>
    <cellStyle name="Normal 15 9" xfId="19570"/>
    <cellStyle name="Normal 16" xfId="19571"/>
    <cellStyle name="Normal 16 2" xfId="19572"/>
    <cellStyle name="Normal 16 2 2" xfId="19573"/>
    <cellStyle name="Normal 16 2 2 2" xfId="19574"/>
    <cellStyle name="Normal 16 2 3" xfId="19575"/>
    <cellStyle name="Normal 16 2 4" xfId="19576"/>
    <cellStyle name="Normal 16 2 5" xfId="19577"/>
    <cellStyle name="Normal 16 2 6" xfId="19578"/>
    <cellStyle name="Normal 16 3" xfId="19579"/>
    <cellStyle name="Normal 16 3 2" xfId="19580"/>
    <cellStyle name="Normal 16 3 3" xfId="19581"/>
    <cellStyle name="Normal 16 3 4" xfId="19582"/>
    <cellStyle name="Normal 16 4" xfId="19583"/>
    <cellStyle name="Normal 16 4 2" xfId="19584"/>
    <cellStyle name="Normal 16 5" xfId="19585"/>
    <cellStyle name="Normal 16 6" xfId="19586"/>
    <cellStyle name="Normal 16 7" xfId="19587"/>
    <cellStyle name="Normal 16 8" xfId="19588"/>
    <cellStyle name="Normal 17" xfId="19589"/>
    <cellStyle name="Normal 17 2" xfId="19590"/>
    <cellStyle name="Normal 17 2 2" xfId="19591"/>
    <cellStyle name="Normal 17 2 2 2" xfId="19592"/>
    <cellStyle name="Normal 17 2 3" xfId="19593"/>
    <cellStyle name="Normal 17 2 4" xfId="19594"/>
    <cellStyle name="Normal 17 2 5" xfId="19595"/>
    <cellStyle name="Normal 17 2 6" xfId="19596"/>
    <cellStyle name="Normal 17 3" xfId="19597"/>
    <cellStyle name="Normal 17 3 2" xfId="19598"/>
    <cellStyle name="Normal 17 3 3" xfId="19599"/>
    <cellStyle name="Normal 17 3 4" xfId="19600"/>
    <cellStyle name="Normal 17 4" xfId="19601"/>
    <cellStyle name="Normal 17 4 2" xfId="19602"/>
    <cellStyle name="Normal 17 5" xfId="19603"/>
    <cellStyle name="Normal 17 6" xfId="19604"/>
    <cellStyle name="Normal 17 7" xfId="19605"/>
    <cellStyle name="Normal 17 8" xfId="19606"/>
    <cellStyle name="Normal 18" xfId="19607"/>
    <cellStyle name="Normal 18 2" xfId="19608"/>
    <cellStyle name="Normal 18 2 2" xfId="19609"/>
    <cellStyle name="Normal 18 2 3" xfId="19610"/>
    <cellStyle name="Normal 18 2 4" xfId="19611"/>
    <cellStyle name="Normal 18 2 5" xfId="19612"/>
    <cellStyle name="Normal 18 3" xfId="19613"/>
    <cellStyle name="Normal 18 3 2" xfId="19614"/>
    <cellStyle name="Normal 18 4" xfId="19615"/>
    <cellStyle name="Normal 18 5" xfId="19616"/>
    <cellStyle name="Normal 18 6" xfId="19617"/>
    <cellStyle name="Normal 18 7" xfId="19618"/>
    <cellStyle name="Normal 19" xfId="19619"/>
    <cellStyle name="Normal 19 2" xfId="19620"/>
    <cellStyle name="Normal 19 2 2" xfId="19621"/>
    <cellStyle name="Normal 19 2 3" xfId="19622"/>
    <cellStyle name="Normal 19 2 4" xfId="19623"/>
    <cellStyle name="Normal 19 2 5" xfId="19624"/>
    <cellStyle name="Normal 19 3" xfId="19625"/>
    <cellStyle name="Normal 19 3 2" xfId="19626"/>
    <cellStyle name="Normal 19 4" xfId="19627"/>
    <cellStyle name="Normal 19 5" xfId="19628"/>
    <cellStyle name="Normal 19 6" xfId="19629"/>
    <cellStyle name="Normal 19 7" xfId="19630"/>
    <cellStyle name="Normal 2" xfId="19631"/>
    <cellStyle name="Normal 2 10" xfId="19632"/>
    <cellStyle name="Normal 2 10 2" xfId="19633"/>
    <cellStyle name="Normal 2 10 2 2" xfId="19634"/>
    <cellStyle name="Normal 2 10 3" xfId="19635"/>
    <cellStyle name="Normal 2 10 3 2" xfId="19636"/>
    <cellStyle name="Normal 2 10 4" xfId="19637"/>
    <cellStyle name="Normal 2 10 5" xfId="19638"/>
    <cellStyle name="Normal 2 10 6" xfId="19639"/>
    <cellStyle name="Normal 2 10 7" xfId="19640"/>
    <cellStyle name="Normal 2 10 8" xfId="19641"/>
    <cellStyle name="Normal 2 11" xfId="19642"/>
    <cellStyle name="Normal 2 11 10" xfId="19643"/>
    <cellStyle name="Normal 2 11 10 10" xfId="19644"/>
    <cellStyle name="Normal 2 11 10 2" xfId="19645"/>
    <cellStyle name="Normal 2 11 10 2 2" xfId="19646"/>
    <cellStyle name="Normal 2 11 10 2 2 2" xfId="19647"/>
    <cellStyle name="Normal 2 11 10 2 2 3" xfId="19648"/>
    <cellStyle name="Normal 2 11 10 2 3" xfId="19649"/>
    <cellStyle name="Normal 2 11 10 2 4" xfId="19650"/>
    <cellStyle name="Normal 2 11 10 2 5" xfId="19651"/>
    <cellStyle name="Normal 2 11 10 2 6" xfId="19652"/>
    <cellStyle name="Normal 2 11 10 3" xfId="19653"/>
    <cellStyle name="Normal 2 11 10 3 2" xfId="19654"/>
    <cellStyle name="Normal 2 11 10 3 2 2" xfId="19655"/>
    <cellStyle name="Normal 2 11 10 3 2 3" xfId="19656"/>
    <cellStyle name="Normal 2 11 10 3 3" xfId="19657"/>
    <cellStyle name="Normal 2 11 10 3 4" xfId="19658"/>
    <cellStyle name="Normal 2 11 10 3 5" xfId="19659"/>
    <cellStyle name="Normal 2 11 10 3 6" xfId="19660"/>
    <cellStyle name="Normal 2 11 10 4" xfId="19661"/>
    <cellStyle name="Normal 2 11 10 4 2" xfId="19662"/>
    <cellStyle name="Normal 2 11 10 4 2 2" xfId="19663"/>
    <cellStyle name="Normal 2 11 10 4 3" xfId="19664"/>
    <cellStyle name="Normal 2 11 10 4 4" xfId="19665"/>
    <cellStyle name="Normal 2 11 10 4 5" xfId="19666"/>
    <cellStyle name="Normal 2 11 10 5" xfId="19667"/>
    <cellStyle name="Normal 2 11 10 5 2" xfId="19668"/>
    <cellStyle name="Normal 2 11 10 5 3" xfId="19669"/>
    <cellStyle name="Normal 2 11 10 5 4" xfId="19670"/>
    <cellStyle name="Normal 2 11 10 6" xfId="19671"/>
    <cellStyle name="Normal 2 11 10 6 2" xfId="19672"/>
    <cellStyle name="Normal 2 11 10 7" xfId="19673"/>
    <cellStyle name="Normal 2 11 10 8" xfId="19674"/>
    <cellStyle name="Normal 2 11 10 9" xfId="19675"/>
    <cellStyle name="Normal 2 11 11" xfId="19676"/>
    <cellStyle name="Normal 2 11 11 10" xfId="19677"/>
    <cellStyle name="Normal 2 11 11 2" xfId="19678"/>
    <cellStyle name="Normal 2 11 11 2 2" xfId="19679"/>
    <cellStyle name="Normal 2 11 11 2 2 2" xfId="19680"/>
    <cellStyle name="Normal 2 11 11 2 2 3" xfId="19681"/>
    <cellStyle name="Normal 2 11 11 2 3" xfId="19682"/>
    <cellStyle name="Normal 2 11 11 2 4" xfId="19683"/>
    <cellStyle name="Normal 2 11 11 2 5" xfId="19684"/>
    <cellStyle name="Normal 2 11 11 2 6" xfId="19685"/>
    <cellStyle name="Normal 2 11 11 3" xfId="19686"/>
    <cellStyle name="Normal 2 11 11 3 2" xfId="19687"/>
    <cellStyle name="Normal 2 11 11 3 2 2" xfId="19688"/>
    <cellStyle name="Normal 2 11 11 3 2 3" xfId="19689"/>
    <cellStyle name="Normal 2 11 11 3 3" xfId="19690"/>
    <cellStyle name="Normal 2 11 11 3 4" xfId="19691"/>
    <cellStyle name="Normal 2 11 11 3 5" xfId="19692"/>
    <cellStyle name="Normal 2 11 11 3 6" xfId="19693"/>
    <cellStyle name="Normal 2 11 11 4" xfId="19694"/>
    <cellStyle name="Normal 2 11 11 4 2" xfId="19695"/>
    <cellStyle name="Normal 2 11 11 4 2 2" xfId="19696"/>
    <cellStyle name="Normal 2 11 11 4 3" xfId="19697"/>
    <cellStyle name="Normal 2 11 11 4 4" xfId="19698"/>
    <cellStyle name="Normal 2 11 11 4 5" xfId="19699"/>
    <cellStyle name="Normal 2 11 11 5" xfId="19700"/>
    <cellStyle name="Normal 2 11 11 5 2" xfId="19701"/>
    <cellStyle name="Normal 2 11 11 5 3" xfId="19702"/>
    <cellStyle name="Normal 2 11 11 5 4" xfId="19703"/>
    <cellStyle name="Normal 2 11 11 6" xfId="19704"/>
    <cellStyle name="Normal 2 11 11 6 2" xfId="19705"/>
    <cellStyle name="Normal 2 11 11 7" xfId="19706"/>
    <cellStyle name="Normal 2 11 11 8" xfId="19707"/>
    <cellStyle name="Normal 2 11 11 9" xfId="19708"/>
    <cellStyle name="Normal 2 11 12" xfId="19709"/>
    <cellStyle name="Normal 2 11 12 10" xfId="19710"/>
    <cellStyle name="Normal 2 11 12 2" xfId="19711"/>
    <cellStyle name="Normal 2 11 12 2 2" xfId="19712"/>
    <cellStyle name="Normal 2 11 12 2 2 2" xfId="19713"/>
    <cellStyle name="Normal 2 11 12 2 2 3" xfId="19714"/>
    <cellStyle name="Normal 2 11 12 2 3" xfId="19715"/>
    <cellStyle name="Normal 2 11 12 2 4" xfId="19716"/>
    <cellStyle name="Normal 2 11 12 2 5" xfId="19717"/>
    <cellStyle name="Normal 2 11 12 2 6" xfId="19718"/>
    <cellStyle name="Normal 2 11 12 3" xfId="19719"/>
    <cellStyle name="Normal 2 11 12 3 2" xfId="19720"/>
    <cellStyle name="Normal 2 11 12 3 2 2" xfId="19721"/>
    <cellStyle name="Normal 2 11 12 3 2 3" xfId="19722"/>
    <cellStyle name="Normal 2 11 12 3 3" xfId="19723"/>
    <cellStyle name="Normal 2 11 12 3 4" xfId="19724"/>
    <cellStyle name="Normal 2 11 12 3 5" xfId="19725"/>
    <cellStyle name="Normal 2 11 12 3 6" xfId="19726"/>
    <cellStyle name="Normal 2 11 12 4" xfId="19727"/>
    <cellStyle name="Normal 2 11 12 4 2" xfId="19728"/>
    <cellStyle name="Normal 2 11 12 4 2 2" xfId="19729"/>
    <cellStyle name="Normal 2 11 12 4 3" xfId="19730"/>
    <cellStyle name="Normal 2 11 12 4 4" xfId="19731"/>
    <cellStyle name="Normal 2 11 12 4 5" xfId="19732"/>
    <cellStyle name="Normal 2 11 12 5" xfId="19733"/>
    <cellStyle name="Normal 2 11 12 5 2" xfId="19734"/>
    <cellStyle name="Normal 2 11 12 5 3" xfId="19735"/>
    <cellStyle name="Normal 2 11 12 5 4" xfId="19736"/>
    <cellStyle name="Normal 2 11 12 6" xfId="19737"/>
    <cellStyle name="Normal 2 11 12 6 2" xfId="19738"/>
    <cellStyle name="Normal 2 11 12 7" xfId="19739"/>
    <cellStyle name="Normal 2 11 12 8" xfId="19740"/>
    <cellStyle name="Normal 2 11 12 9" xfId="19741"/>
    <cellStyle name="Normal 2 11 13" xfId="19742"/>
    <cellStyle name="Normal 2 11 13 2" xfId="19743"/>
    <cellStyle name="Normal 2 11 13 2 2" xfId="19744"/>
    <cellStyle name="Normal 2 11 13 2 2 2" xfId="19745"/>
    <cellStyle name="Normal 2 11 13 2 2 3" xfId="19746"/>
    <cellStyle name="Normal 2 11 13 2 3" xfId="19747"/>
    <cellStyle name="Normal 2 11 13 2 4" xfId="19748"/>
    <cellStyle name="Normal 2 11 13 2 5" xfId="19749"/>
    <cellStyle name="Normal 2 11 13 2 6" xfId="19750"/>
    <cellStyle name="Normal 2 11 13 3" xfId="19751"/>
    <cellStyle name="Normal 2 11 13 3 2" xfId="19752"/>
    <cellStyle name="Normal 2 11 13 3 2 2" xfId="19753"/>
    <cellStyle name="Normal 2 11 13 3 3" xfId="19754"/>
    <cellStyle name="Normal 2 11 13 3 4" xfId="19755"/>
    <cellStyle name="Normal 2 11 13 3 5" xfId="19756"/>
    <cellStyle name="Normal 2 11 13 4" xfId="19757"/>
    <cellStyle name="Normal 2 11 13 4 2" xfId="19758"/>
    <cellStyle name="Normal 2 11 13 4 3" xfId="19759"/>
    <cellStyle name="Normal 2 11 13 4 4" xfId="19760"/>
    <cellStyle name="Normal 2 11 13 5" xfId="19761"/>
    <cellStyle name="Normal 2 11 13 5 2" xfId="19762"/>
    <cellStyle name="Normal 2 11 13 6" xfId="19763"/>
    <cellStyle name="Normal 2 11 13 7" xfId="19764"/>
    <cellStyle name="Normal 2 11 13 8" xfId="19765"/>
    <cellStyle name="Normal 2 11 13 9" xfId="19766"/>
    <cellStyle name="Normal 2 11 14" xfId="19767"/>
    <cellStyle name="Normal 2 11 14 2" xfId="19768"/>
    <cellStyle name="Normal 2 11 14 2 2" xfId="19769"/>
    <cellStyle name="Normal 2 11 14 2 2 2" xfId="19770"/>
    <cellStyle name="Normal 2 11 14 2 2 3" xfId="19771"/>
    <cellStyle name="Normal 2 11 14 2 3" xfId="19772"/>
    <cellStyle name="Normal 2 11 14 2 4" xfId="19773"/>
    <cellStyle name="Normal 2 11 14 2 5" xfId="19774"/>
    <cellStyle name="Normal 2 11 14 2 6" xfId="19775"/>
    <cellStyle name="Normal 2 11 14 3" xfId="19776"/>
    <cellStyle name="Normal 2 11 14 3 2" xfId="19777"/>
    <cellStyle name="Normal 2 11 14 3 2 2" xfId="19778"/>
    <cellStyle name="Normal 2 11 14 3 3" xfId="19779"/>
    <cellStyle name="Normal 2 11 14 3 4" xfId="19780"/>
    <cellStyle name="Normal 2 11 14 3 5" xfId="19781"/>
    <cellStyle name="Normal 2 11 14 4" xfId="19782"/>
    <cellStyle name="Normal 2 11 14 4 2" xfId="19783"/>
    <cellStyle name="Normal 2 11 14 4 3" xfId="19784"/>
    <cellStyle name="Normal 2 11 14 4 4" xfId="19785"/>
    <cellStyle name="Normal 2 11 14 5" xfId="19786"/>
    <cellStyle name="Normal 2 11 14 5 2" xfId="19787"/>
    <cellStyle name="Normal 2 11 14 6" xfId="19788"/>
    <cellStyle name="Normal 2 11 14 7" xfId="19789"/>
    <cellStyle name="Normal 2 11 14 8" xfId="19790"/>
    <cellStyle name="Normal 2 11 14 9" xfId="19791"/>
    <cellStyle name="Normal 2 11 15" xfId="19792"/>
    <cellStyle name="Normal 2 11 15 2" xfId="19793"/>
    <cellStyle name="Normal 2 11 15 2 2" xfId="19794"/>
    <cellStyle name="Normal 2 11 15 2 3" xfId="19795"/>
    <cellStyle name="Normal 2 11 15 3" xfId="19796"/>
    <cellStyle name="Normal 2 11 15 4" xfId="19797"/>
    <cellStyle name="Normal 2 11 15 5" xfId="19798"/>
    <cellStyle name="Normal 2 11 15 6" xfId="19799"/>
    <cellStyle name="Normal 2 11 16" xfId="19800"/>
    <cellStyle name="Normal 2 11 16 2" xfId="19801"/>
    <cellStyle name="Normal 2 11 16 2 2" xfId="19802"/>
    <cellStyle name="Normal 2 11 16 3" xfId="19803"/>
    <cellStyle name="Normal 2 11 16 4" xfId="19804"/>
    <cellStyle name="Normal 2 11 16 5" xfId="19805"/>
    <cellStyle name="Normal 2 11 17" xfId="19806"/>
    <cellStyle name="Normal 2 11 17 2" xfId="19807"/>
    <cellStyle name="Normal 2 11 17 2 2" xfId="19808"/>
    <cellStyle name="Normal 2 11 17 3" xfId="19809"/>
    <cellStyle name="Normal 2 11 17 4" xfId="19810"/>
    <cellStyle name="Normal 2 11 17 5" xfId="19811"/>
    <cellStyle name="Normal 2 11 18" xfId="19812"/>
    <cellStyle name="Normal 2 11 18 2" xfId="19813"/>
    <cellStyle name="Normal 2 11 19" xfId="19814"/>
    <cellStyle name="Normal 2 11 2" xfId="19815"/>
    <cellStyle name="Normal 2 11 2 10" xfId="19816"/>
    <cellStyle name="Normal 2 11 2 11" xfId="19817"/>
    <cellStyle name="Normal 2 11 2 2" xfId="19818"/>
    <cellStyle name="Normal 2 11 2 2 2" xfId="19819"/>
    <cellStyle name="Normal 2 11 2 2 2 2" xfId="19820"/>
    <cellStyle name="Normal 2 11 2 2 2 2 2" xfId="19821"/>
    <cellStyle name="Normal 2 11 2 2 2 2 3" xfId="19822"/>
    <cellStyle name="Normal 2 11 2 2 2 3" xfId="19823"/>
    <cellStyle name="Normal 2 11 2 2 2 4" xfId="19824"/>
    <cellStyle name="Normal 2 11 2 2 2 5" xfId="19825"/>
    <cellStyle name="Normal 2 11 2 2 2 6" xfId="19826"/>
    <cellStyle name="Normal 2 11 2 2 3" xfId="19827"/>
    <cellStyle name="Normal 2 11 2 2 3 2" xfId="19828"/>
    <cellStyle name="Normal 2 11 2 2 3 2 2" xfId="19829"/>
    <cellStyle name="Normal 2 11 2 2 3 3" xfId="19830"/>
    <cellStyle name="Normal 2 11 2 2 3 4" xfId="19831"/>
    <cellStyle name="Normal 2 11 2 2 3 5" xfId="19832"/>
    <cellStyle name="Normal 2 11 2 2 4" xfId="19833"/>
    <cellStyle name="Normal 2 11 2 2 4 2" xfId="19834"/>
    <cellStyle name="Normal 2 11 2 2 4 3" xfId="19835"/>
    <cellStyle name="Normal 2 11 2 2 4 4" xfId="19836"/>
    <cellStyle name="Normal 2 11 2 2 5" xfId="19837"/>
    <cellStyle name="Normal 2 11 2 2 5 2" xfId="19838"/>
    <cellStyle name="Normal 2 11 2 2 6" xfId="19839"/>
    <cellStyle name="Normal 2 11 2 2 7" xfId="19840"/>
    <cellStyle name="Normal 2 11 2 2 8" xfId="19841"/>
    <cellStyle name="Normal 2 11 2 2 9" xfId="19842"/>
    <cellStyle name="Normal 2 11 2 3" xfId="19843"/>
    <cellStyle name="Normal 2 11 2 3 2" xfId="19844"/>
    <cellStyle name="Normal 2 11 2 3 2 2" xfId="19845"/>
    <cellStyle name="Normal 2 11 2 3 2 2 2" xfId="19846"/>
    <cellStyle name="Normal 2 11 2 3 2 2 3" xfId="19847"/>
    <cellStyle name="Normal 2 11 2 3 2 3" xfId="19848"/>
    <cellStyle name="Normal 2 11 2 3 2 4" xfId="19849"/>
    <cellStyle name="Normal 2 11 2 3 2 5" xfId="19850"/>
    <cellStyle name="Normal 2 11 2 3 2 6" xfId="19851"/>
    <cellStyle name="Normal 2 11 2 3 3" xfId="19852"/>
    <cellStyle name="Normal 2 11 2 3 3 2" xfId="19853"/>
    <cellStyle name="Normal 2 11 2 3 3 2 2" xfId="19854"/>
    <cellStyle name="Normal 2 11 2 3 3 3" xfId="19855"/>
    <cellStyle name="Normal 2 11 2 3 3 4" xfId="19856"/>
    <cellStyle name="Normal 2 11 2 3 3 5" xfId="19857"/>
    <cellStyle name="Normal 2 11 2 3 4" xfId="19858"/>
    <cellStyle name="Normal 2 11 2 3 4 2" xfId="19859"/>
    <cellStyle name="Normal 2 11 2 3 4 3" xfId="19860"/>
    <cellStyle name="Normal 2 11 2 3 4 4" xfId="19861"/>
    <cellStyle name="Normal 2 11 2 3 5" xfId="19862"/>
    <cellStyle name="Normal 2 11 2 3 5 2" xfId="19863"/>
    <cellStyle name="Normal 2 11 2 3 6" xfId="19864"/>
    <cellStyle name="Normal 2 11 2 3 7" xfId="19865"/>
    <cellStyle name="Normal 2 11 2 3 8" xfId="19866"/>
    <cellStyle name="Normal 2 11 2 3 9" xfId="19867"/>
    <cellStyle name="Normal 2 11 2 4" xfId="19868"/>
    <cellStyle name="Normal 2 11 2 4 2" xfId="19869"/>
    <cellStyle name="Normal 2 11 2 4 2 2" xfId="19870"/>
    <cellStyle name="Normal 2 11 2 4 2 3" xfId="19871"/>
    <cellStyle name="Normal 2 11 2 4 3" xfId="19872"/>
    <cellStyle name="Normal 2 11 2 4 4" xfId="19873"/>
    <cellStyle name="Normal 2 11 2 4 5" xfId="19874"/>
    <cellStyle name="Normal 2 11 2 4 6" xfId="19875"/>
    <cellStyle name="Normal 2 11 2 5" xfId="19876"/>
    <cellStyle name="Normal 2 11 2 5 2" xfId="19877"/>
    <cellStyle name="Normal 2 11 2 5 2 2" xfId="19878"/>
    <cellStyle name="Normal 2 11 2 5 3" xfId="19879"/>
    <cellStyle name="Normal 2 11 2 5 4" xfId="19880"/>
    <cellStyle name="Normal 2 11 2 5 5" xfId="19881"/>
    <cellStyle name="Normal 2 11 2 6" xfId="19882"/>
    <cellStyle name="Normal 2 11 2 6 2" xfId="19883"/>
    <cellStyle name="Normal 2 11 2 6 3" xfId="19884"/>
    <cellStyle name="Normal 2 11 2 6 4" xfId="19885"/>
    <cellStyle name="Normal 2 11 2 7" xfId="19886"/>
    <cellStyle name="Normal 2 11 2 7 2" xfId="19887"/>
    <cellStyle name="Normal 2 11 2 8" xfId="19888"/>
    <cellStyle name="Normal 2 11 2 9" xfId="19889"/>
    <cellStyle name="Normal 2 11 20" xfId="19890"/>
    <cellStyle name="Normal 2 11 21" xfId="19891"/>
    <cellStyle name="Normal 2 11 22" xfId="19892"/>
    <cellStyle name="Normal 2 11 3" xfId="19893"/>
    <cellStyle name="Normal 2 11 3 10" xfId="19894"/>
    <cellStyle name="Normal 2 11 3 11" xfId="19895"/>
    <cellStyle name="Normal 2 11 3 2" xfId="19896"/>
    <cellStyle name="Normal 2 11 3 2 2" xfId="19897"/>
    <cellStyle name="Normal 2 11 3 2 2 2" xfId="19898"/>
    <cellStyle name="Normal 2 11 3 2 2 2 2" xfId="19899"/>
    <cellStyle name="Normal 2 11 3 2 2 2 3" xfId="19900"/>
    <cellStyle name="Normal 2 11 3 2 2 3" xfId="19901"/>
    <cellStyle name="Normal 2 11 3 2 2 4" xfId="19902"/>
    <cellStyle name="Normal 2 11 3 2 2 5" xfId="19903"/>
    <cellStyle name="Normal 2 11 3 2 2 6" xfId="19904"/>
    <cellStyle name="Normal 2 11 3 2 3" xfId="19905"/>
    <cellStyle name="Normal 2 11 3 2 3 2" xfId="19906"/>
    <cellStyle name="Normal 2 11 3 2 3 2 2" xfId="19907"/>
    <cellStyle name="Normal 2 11 3 2 3 3" xfId="19908"/>
    <cellStyle name="Normal 2 11 3 2 3 4" xfId="19909"/>
    <cellStyle name="Normal 2 11 3 2 3 5" xfId="19910"/>
    <cellStyle name="Normal 2 11 3 2 4" xfId="19911"/>
    <cellStyle name="Normal 2 11 3 2 4 2" xfId="19912"/>
    <cellStyle name="Normal 2 11 3 2 4 3" xfId="19913"/>
    <cellStyle name="Normal 2 11 3 2 4 4" xfId="19914"/>
    <cellStyle name="Normal 2 11 3 2 5" xfId="19915"/>
    <cellStyle name="Normal 2 11 3 2 5 2" xfId="19916"/>
    <cellStyle name="Normal 2 11 3 2 6" xfId="19917"/>
    <cellStyle name="Normal 2 11 3 2 7" xfId="19918"/>
    <cellStyle name="Normal 2 11 3 2 8" xfId="19919"/>
    <cellStyle name="Normal 2 11 3 2 9" xfId="19920"/>
    <cellStyle name="Normal 2 11 3 3" xfId="19921"/>
    <cellStyle name="Normal 2 11 3 3 2" xfId="19922"/>
    <cellStyle name="Normal 2 11 3 3 2 2" xfId="19923"/>
    <cellStyle name="Normal 2 11 3 3 2 2 2" xfId="19924"/>
    <cellStyle name="Normal 2 11 3 3 2 2 3" xfId="19925"/>
    <cellStyle name="Normal 2 11 3 3 2 3" xfId="19926"/>
    <cellStyle name="Normal 2 11 3 3 2 4" xfId="19927"/>
    <cellStyle name="Normal 2 11 3 3 2 5" xfId="19928"/>
    <cellStyle name="Normal 2 11 3 3 2 6" xfId="19929"/>
    <cellStyle name="Normal 2 11 3 3 3" xfId="19930"/>
    <cellStyle name="Normal 2 11 3 3 3 2" xfId="19931"/>
    <cellStyle name="Normal 2 11 3 3 3 2 2" xfId="19932"/>
    <cellStyle name="Normal 2 11 3 3 3 3" xfId="19933"/>
    <cellStyle name="Normal 2 11 3 3 3 4" xfId="19934"/>
    <cellStyle name="Normal 2 11 3 3 3 5" xfId="19935"/>
    <cellStyle name="Normal 2 11 3 3 4" xfId="19936"/>
    <cellStyle name="Normal 2 11 3 3 4 2" xfId="19937"/>
    <cellStyle name="Normal 2 11 3 3 4 3" xfId="19938"/>
    <cellStyle name="Normal 2 11 3 3 4 4" xfId="19939"/>
    <cellStyle name="Normal 2 11 3 3 5" xfId="19940"/>
    <cellStyle name="Normal 2 11 3 3 5 2" xfId="19941"/>
    <cellStyle name="Normal 2 11 3 3 6" xfId="19942"/>
    <cellStyle name="Normal 2 11 3 3 7" xfId="19943"/>
    <cellStyle name="Normal 2 11 3 3 8" xfId="19944"/>
    <cellStyle name="Normal 2 11 3 3 9" xfId="19945"/>
    <cellStyle name="Normal 2 11 3 4" xfId="19946"/>
    <cellStyle name="Normal 2 11 3 4 2" xfId="19947"/>
    <cellStyle name="Normal 2 11 3 4 2 2" xfId="19948"/>
    <cellStyle name="Normal 2 11 3 4 2 3" xfId="19949"/>
    <cellStyle name="Normal 2 11 3 4 3" xfId="19950"/>
    <cellStyle name="Normal 2 11 3 4 4" xfId="19951"/>
    <cellStyle name="Normal 2 11 3 4 5" xfId="19952"/>
    <cellStyle name="Normal 2 11 3 4 6" xfId="19953"/>
    <cellStyle name="Normal 2 11 3 5" xfId="19954"/>
    <cellStyle name="Normal 2 11 3 5 2" xfId="19955"/>
    <cellStyle name="Normal 2 11 3 5 2 2" xfId="19956"/>
    <cellStyle name="Normal 2 11 3 5 3" xfId="19957"/>
    <cellStyle name="Normal 2 11 3 5 4" xfId="19958"/>
    <cellStyle name="Normal 2 11 3 5 5" xfId="19959"/>
    <cellStyle name="Normal 2 11 3 6" xfId="19960"/>
    <cellStyle name="Normal 2 11 3 6 2" xfId="19961"/>
    <cellStyle name="Normal 2 11 3 6 3" xfId="19962"/>
    <cellStyle name="Normal 2 11 3 6 4" xfId="19963"/>
    <cellStyle name="Normal 2 11 3 7" xfId="19964"/>
    <cellStyle name="Normal 2 11 3 7 2" xfId="19965"/>
    <cellStyle name="Normal 2 11 3 8" xfId="19966"/>
    <cellStyle name="Normal 2 11 3 9" xfId="19967"/>
    <cellStyle name="Normal 2 11 4" xfId="19968"/>
    <cellStyle name="Normal 2 11 4 10" xfId="19969"/>
    <cellStyle name="Normal 2 11 4 11" xfId="19970"/>
    <cellStyle name="Normal 2 11 4 2" xfId="19971"/>
    <cellStyle name="Normal 2 11 4 2 2" xfId="19972"/>
    <cellStyle name="Normal 2 11 4 2 2 2" xfId="19973"/>
    <cellStyle name="Normal 2 11 4 2 2 2 2" xfId="19974"/>
    <cellStyle name="Normal 2 11 4 2 2 2 3" xfId="19975"/>
    <cellStyle name="Normal 2 11 4 2 2 3" xfId="19976"/>
    <cellStyle name="Normal 2 11 4 2 2 4" xfId="19977"/>
    <cellStyle name="Normal 2 11 4 2 2 5" xfId="19978"/>
    <cellStyle name="Normal 2 11 4 2 2 6" xfId="19979"/>
    <cellStyle name="Normal 2 11 4 2 3" xfId="19980"/>
    <cellStyle name="Normal 2 11 4 2 3 2" xfId="19981"/>
    <cellStyle name="Normal 2 11 4 2 3 2 2" xfId="19982"/>
    <cellStyle name="Normal 2 11 4 2 3 3" xfId="19983"/>
    <cellStyle name="Normal 2 11 4 2 3 4" xfId="19984"/>
    <cellStyle name="Normal 2 11 4 2 3 5" xfId="19985"/>
    <cellStyle name="Normal 2 11 4 2 4" xfId="19986"/>
    <cellStyle name="Normal 2 11 4 2 4 2" xfId="19987"/>
    <cellStyle name="Normal 2 11 4 2 4 3" xfId="19988"/>
    <cellStyle name="Normal 2 11 4 2 4 4" xfId="19989"/>
    <cellStyle name="Normal 2 11 4 2 5" xfId="19990"/>
    <cellStyle name="Normal 2 11 4 2 5 2" xfId="19991"/>
    <cellStyle name="Normal 2 11 4 2 6" xfId="19992"/>
    <cellStyle name="Normal 2 11 4 2 7" xfId="19993"/>
    <cellStyle name="Normal 2 11 4 2 8" xfId="19994"/>
    <cellStyle name="Normal 2 11 4 2 9" xfId="19995"/>
    <cellStyle name="Normal 2 11 4 3" xfId="19996"/>
    <cellStyle name="Normal 2 11 4 3 2" xfId="19997"/>
    <cellStyle name="Normal 2 11 4 3 2 2" xfId="19998"/>
    <cellStyle name="Normal 2 11 4 3 2 2 2" xfId="19999"/>
    <cellStyle name="Normal 2 11 4 3 2 2 3" xfId="20000"/>
    <cellStyle name="Normal 2 11 4 3 2 3" xfId="20001"/>
    <cellStyle name="Normal 2 11 4 3 2 4" xfId="20002"/>
    <cellStyle name="Normal 2 11 4 3 2 5" xfId="20003"/>
    <cellStyle name="Normal 2 11 4 3 2 6" xfId="20004"/>
    <cellStyle name="Normal 2 11 4 3 3" xfId="20005"/>
    <cellStyle name="Normal 2 11 4 3 3 2" xfId="20006"/>
    <cellStyle name="Normal 2 11 4 3 3 2 2" xfId="20007"/>
    <cellStyle name="Normal 2 11 4 3 3 3" xfId="20008"/>
    <cellStyle name="Normal 2 11 4 3 3 4" xfId="20009"/>
    <cellStyle name="Normal 2 11 4 3 3 5" xfId="20010"/>
    <cellStyle name="Normal 2 11 4 3 4" xfId="20011"/>
    <cellStyle name="Normal 2 11 4 3 4 2" xfId="20012"/>
    <cellStyle name="Normal 2 11 4 3 4 3" xfId="20013"/>
    <cellStyle name="Normal 2 11 4 3 4 4" xfId="20014"/>
    <cellStyle name="Normal 2 11 4 3 5" xfId="20015"/>
    <cellStyle name="Normal 2 11 4 3 5 2" xfId="20016"/>
    <cellStyle name="Normal 2 11 4 3 6" xfId="20017"/>
    <cellStyle name="Normal 2 11 4 3 7" xfId="20018"/>
    <cellStyle name="Normal 2 11 4 3 8" xfId="20019"/>
    <cellStyle name="Normal 2 11 4 3 9" xfId="20020"/>
    <cellStyle name="Normal 2 11 4 4" xfId="20021"/>
    <cellStyle name="Normal 2 11 4 4 2" xfId="20022"/>
    <cellStyle name="Normal 2 11 4 4 2 2" xfId="20023"/>
    <cellStyle name="Normal 2 11 4 4 2 3" xfId="20024"/>
    <cellStyle name="Normal 2 11 4 4 3" xfId="20025"/>
    <cellStyle name="Normal 2 11 4 4 4" xfId="20026"/>
    <cellStyle name="Normal 2 11 4 4 5" xfId="20027"/>
    <cellStyle name="Normal 2 11 4 4 6" xfId="20028"/>
    <cellStyle name="Normal 2 11 4 5" xfId="20029"/>
    <cellStyle name="Normal 2 11 4 5 2" xfId="20030"/>
    <cellStyle name="Normal 2 11 4 5 2 2" xfId="20031"/>
    <cellStyle name="Normal 2 11 4 5 3" xfId="20032"/>
    <cellStyle name="Normal 2 11 4 5 4" xfId="20033"/>
    <cellStyle name="Normal 2 11 4 5 5" xfId="20034"/>
    <cellStyle name="Normal 2 11 4 6" xfId="20035"/>
    <cellStyle name="Normal 2 11 4 6 2" xfId="20036"/>
    <cellStyle name="Normal 2 11 4 6 3" xfId="20037"/>
    <cellStyle name="Normal 2 11 4 6 4" xfId="20038"/>
    <cellStyle name="Normal 2 11 4 7" xfId="20039"/>
    <cellStyle name="Normal 2 11 4 7 2" xfId="20040"/>
    <cellStyle name="Normal 2 11 4 8" xfId="20041"/>
    <cellStyle name="Normal 2 11 4 9" xfId="20042"/>
    <cellStyle name="Normal 2 11 5" xfId="20043"/>
    <cellStyle name="Normal 2 11 5 10" xfId="20044"/>
    <cellStyle name="Normal 2 11 5 11" xfId="20045"/>
    <cellStyle name="Normal 2 11 5 2" xfId="20046"/>
    <cellStyle name="Normal 2 11 5 2 2" xfId="20047"/>
    <cellStyle name="Normal 2 11 5 2 2 2" xfId="20048"/>
    <cellStyle name="Normal 2 11 5 2 2 2 2" xfId="20049"/>
    <cellStyle name="Normal 2 11 5 2 2 2 3" xfId="20050"/>
    <cellStyle name="Normal 2 11 5 2 2 3" xfId="20051"/>
    <cellStyle name="Normal 2 11 5 2 2 4" xfId="20052"/>
    <cellStyle name="Normal 2 11 5 2 2 5" xfId="20053"/>
    <cellStyle name="Normal 2 11 5 2 2 6" xfId="20054"/>
    <cellStyle name="Normal 2 11 5 2 3" xfId="20055"/>
    <cellStyle name="Normal 2 11 5 2 3 2" xfId="20056"/>
    <cellStyle name="Normal 2 11 5 2 3 2 2" xfId="20057"/>
    <cellStyle name="Normal 2 11 5 2 3 3" xfId="20058"/>
    <cellStyle name="Normal 2 11 5 2 3 4" xfId="20059"/>
    <cellStyle name="Normal 2 11 5 2 3 5" xfId="20060"/>
    <cellStyle name="Normal 2 11 5 2 4" xfId="20061"/>
    <cellStyle name="Normal 2 11 5 2 4 2" xfId="20062"/>
    <cellStyle name="Normal 2 11 5 2 4 3" xfId="20063"/>
    <cellStyle name="Normal 2 11 5 2 4 4" xfId="20064"/>
    <cellStyle name="Normal 2 11 5 2 5" xfId="20065"/>
    <cellStyle name="Normal 2 11 5 2 5 2" xfId="20066"/>
    <cellStyle name="Normal 2 11 5 2 6" xfId="20067"/>
    <cellStyle name="Normal 2 11 5 2 7" xfId="20068"/>
    <cellStyle name="Normal 2 11 5 2 8" xfId="20069"/>
    <cellStyle name="Normal 2 11 5 2 9" xfId="20070"/>
    <cellStyle name="Normal 2 11 5 3" xfId="20071"/>
    <cellStyle name="Normal 2 11 5 3 2" xfId="20072"/>
    <cellStyle name="Normal 2 11 5 3 2 2" xfId="20073"/>
    <cellStyle name="Normal 2 11 5 3 2 2 2" xfId="20074"/>
    <cellStyle name="Normal 2 11 5 3 2 2 3" xfId="20075"/>
    <cellStyle name="Normal 2 11 5 3 2 3" xfId="20076"/>
    <cellStyle name="Normal 2 11 5 3 2 4" xfId="20077"/>
    <cellStyle name="Normal 2 11 5 3 2 5" xfId="20078"/>
    <cellStyle name="Normal 2 11 5 3 2 6" xfId="20079"/>
    <cellStyle name="Normal 2 11 5 3 3" xfId="20080"/>
    <cellStyle name="Normal 2 11 5 3 3 2" xfId="20081"/>
    <cellStyle name="Normal 2 11 5 3 3 2 2" xfId="20082"/>
    <cellStyle name="Normal 2 11 5 3 3 3" xfId="20083"/>
    <cellStyle name="Normal 2 11 5 3 3 4" xfId="20084"/>
    <cellStyle name="Normal 2 11 5 3 3 5" xfId="20085"/>
    <cellStyle name="Normal 2 11 5 3 4" xfId="20086"/>
    <cellStyle name="Normal 2 11 5 3 4 2" xfId="20087"/>
    <cellStyle name="Normal 2 11 5 3 4 3" xfId="20088"/>
    <cellStyle name="Normal 2 11 5 3 4 4" xfId="20089"/>
    <cellStyle name="Normal 2 11 5 3 5" xfId="20090"/>
    <cellStyle name="Normal 2 11 5 3 5 2" xfId="20091"/>
    <cellStyle name="Normal 2 11 5 3 6" xfId="20092"/>
    <cellStyle name="Normal 2 11 5 3 7" xfId="20093"/>
    <cellStyle name="Normal 2 11 5 3 8" xfId="20094"/>
    <cellStyle name="Normal 2 11 5 3 9" xfId="20095"/>
    <cellStyle name="Normal 2 11 5 4" xfId="20096"/>
    <cellStyle name="Normal 2 11 5 4 2" xfId="20097"/>
    <cellStyle name="Normal 2 11 5 4 2 2" xfId="20098"/>
    <cellStyle name="Normal 2 11 5 4 2 3" xfId="20099"/>
    <cellStyle name="Normal 2 11 5 4 3" xfId="20100"/>
    <cellStyle name="Normal 2 11 5 4 4" xfId="20101"/>
    <cellStyle name="Normal 2 11 5 4 5" xfId="20102"/>
    <cellStyle name="Normal 2 11 5 4 6" xfId="20103"/>
    <cellStyle name="Normal 2 11 5 5" xfId="20104"/>
    <cellStyle name="Normal 2 11 5 5 2" xfId="20105"/>
    <cellStyle name="Normal 2 11 5 5 2 2" xfId="20106"/>
    <cellStyle name="Normal 2 11 5 5 3" xfId="20107"/>
    <cellStyle name="Normal 2 11 5 5 4" xfId="20108"/>
    <cellStyle name="Normal 2 11 5 5 5" xfId="20109"/>
    <cellStyle name="Normal 2 11 5 6" xfId="20110"/>
    <cellStyle name="Normal 2 11 5 6 2" xfId="20111"/>
    <cellStyle name="Normal 2 11 5 6 3" xfId="20112"/>
    <cellStyle name="Normal 2 11 5 6 4" xfId="20113"/>
    <cellStyle name="Normal 2 11 5 7" xfId="20114"/>
    <cellStyle name="Normal 2 11 5 7 2" xfId="20115"/>
    <cellStyle name="Normal 2 11 5 8" xfId="20116"/>
    <cellStyle name="Normal 2 11 5 9" xfId="20117"/>
    <cellStyle name="Normal 2 11 6" xfId="20118"/>
    <cellStyle name="Normal 2 11 6 10" xfId="20119"/>
    <cellStyle name="Normal 2 11 6 11" xfId="20120"/>
    <cellStyle name="Normal 2 11 6 2" xfId="20121"/>
    <cellStyle name="Normal 2 11 6 2 2" xfId="20122"/>
    <cellStyle name="Normal 2 11 6 2 2 2" xfId="20123"/>
    <cellStyle name="Normal 2 11 6 2 2 2 2" xfId="20124"/>
    <cellStyle name="Normal 2 11 6 2 2 2 3" xfId="20125"/>
    <cellStyle name="Normal 2 11 6 2 2 3" xfId="20126"/>
    <cellStyle name="Normal 2 11 6 2 2 4" xfId="20127"/>
    <cellStyle name="Normal 2 11 6 2 2 5" xfId="20128"/>
    <cellStyle name="Normal 2 11 6 2 2 6" xfId="20129"/>
    <cellStyle name="Normal 2 11 6 2 3" xfId="20130"/>
    <cellStyle name="Normal 2 11 6 2 3 2" xfId="20131"/>
    <cellStyle name="Normal 2 11 6 2 3 2 2" xfId="20132"/>
    <cellStyle name="Normal 2 11 6 2 3 3" xfId="20133"/>
    <cellStyle name="Normal 2 11 6 2 3 4" xfId="20134"/>
    <cellStyle name="Normal 2 11 6 2 3 5" xfId="20135"/>
    <cellStyle name="Normal 2 11 6 2 4" xfId="20136"/>
    <cellStyle name="Normal 2 11 6 2 4 2" xfId="20137"/>
    <cellStyle name="Normal 2 11 6 2 4 3" xfId="20138"/>
    <cellStyle name="Normal 2 11 6 2 4 4" xfId="20139"/>
    <cellStyle name="Normal 2 11 6 2 5" xfId="20140"/>
    <cellStyle name="Normal 2 11 6 2 5 2" xfId="20141"/>
    <cellStyle name="Normal 2 11 6 2 6" xfId="20142"/>
    <cellStyle name="Normal 2 11 6 2 7" xfId="20143"/>
    <cellStyle name="Normal 2 11 6 2 8" xfId="20144"/>
    <cellStyle name="Normal 2 11 6 2 9" xfId="20145"/>
    <cellStyle name="Normal 2 11 6 3" xfId="20146"/>
    <cellStyle name="Normal 2 11 6 3 2" xfId="20147"/>
    <cellStyle name="Normal 2 11 6 3 2 2" xfId="20148"/>
    <cellStyle name="Normal 2 11 6 3 2 2 2" xfId="20149"/>
    <cellStyle name="Normal 2 11 6 3 2 2 3" xfId="20150"/>
    <cellStyle name="Normal 2 11 6 3 2 3" xfId="20151"/>
    <cellStyle name="Normal 2 11 6 3 2 4" xfId="20152"/>
    <cellStyle name="Normal 2 11 6 3 2 5" xfId="20153"/>
    <cellStyle name="Normal 2 11 6 3 2 6" xfId="20154"/>
    <cellStyle name="Normal 2 11 6 3 3" xfId="20155"/>
    <cellStyle name="Normal 2 11 6 3 3 2" xfId="20156"/>
    <cellStyle name="Normal 2 11 6 3 3 2 2" xfId="20157"/>
    <cellStyle name="Normal 2 11 6 3 3 3" xfId="20158"/>
    <cellStyle name="Normal 2 11 6 3 3 4" xfId="20159"/>
    <cellStyle name="Normal 2 11 6 3 3 5" xfId="20160"/>
    <cellStyle name="Normal 2 11 6 3 4" xfId="20161"/>
    <cellStyle name="Normal 2 11 6 3 4 2" xfId="20162"/>
    <cellStyle name="Normal 2 11 6 3 4 3" xfId="20163"/>
    <cellStyle name="Normal 2 11 6 3 4 4" xfId="20164"/>
    <cellStyle name="Normal 2 11 6 3 5" xfId="20165"/>
    <cellStyle name="Normal 2 11 6 3 5 2" xfId="20166"/>
    <cellStyle name="Normal 2 11 6 3 6" xfId="20167"/>
    <cellStyle name="Normal 2 11 6 3 7" xfId="20168"/>
    <cellStyle name="Normal 2 11 6 3 8" xfId="20169"/>
    <cellStyle name="Normal 2 11 6 3 9" xfId="20170"/>
    <cellStyle name="Normal 2 11 6 4" xfId="20171"/>
    <cellStyle name="Normal 2 11 6 4 2" xfId="20172"/>
    <cellStyle name="Normal 2 11 6 4 2 2" xfId="20173"/>
    <cellStyle name="Normal 2 11 6 4 2 3" xfId="20174"/>
    <cellStyle name="Normal 2 11 6 4 3" xfId="20175"/>
    <cellStyle name="Normal 2 11 6 4 4" xfId="20176"/>
    <cellStyle name="Normal 2 11 6 4 5" xfId="20177"/>
    <cellStyle name="Normal 2 11 6 4 6" xfId="20178"/>
    <cellStyle name="Normal 2 11 6 5" xfId="20179"/>
    <cellStyle name="Normal 2 11 6 5 2" xfId="20180"/>
    <cellStyle name="Normal 2 11 6 5 2 2" xfId="20181"/>
    <cellStyle name="Normal 2 11 6 5 3" xfId="20182"/>
    <cellStyle name="Normal 2 11 6 5 4" xfId="20183"/>
    <cellStyle name="Normal 2 11 6 5 5" xfId="20184"/>
    <cellStyle name="Normal 2 11 6 6" xfId="20185"/>
    <cellStyle name="Normal 2 11 6 6 2" xfId="20186"/>
    <cellStyle name="Normal 2 11 6 6 3" xfId="20187"/>
    <cellStyle name="Normal 2 11 6 6 4" xfId="20188"/>
    <cellStyle name="Normal 2 11 6 7" xfId="20189"/>
    <cellStyle name="Normal 2 11 6 7 2" xfId="20190"/>
    <cellStyle name="Normal 2 11 6 8" xfId="20191"/>
    <cellStyle name="Normal 2 11 6 9" xfId="20192"/>
    <cellStyle name="Normal 2 11 7" xfId="20193"/>
    <cellStyle name="Normal 2 11 7 10" xfId="20194"/>
    <cellStyle name="Normal 2 11 7 11" xfId="20195"/>
    <cellStyle name="Normal 2 11 7 2" xfId="20196"/>
    <cellStyle name="Normal 2 11 7 2 2" xfId="20197"/>
    <cellStyle name="Normal 2 11 7 2 2 2" xfId="20198"/>
    <cellStyle name="Normal 2 11 7 2 2 2 2" xfId="20199"/>
    <cellStyle name="Normal 2 11 7 2 2 2 3" xfId="20200"/>
    <cellStyle name="Normal 2 11 7 2 2 3" xfId="20201"/>
    <cellStyle name="Normal 2 11 7 2 2 4" xfId="20202"/>
    <cellStyle name="Normal 2 11 7 2 2 5" xfId="20203"/>
    <cellStyle name="Normal 2 11 7 2 2 6" xfId="20204"/>
    <cellStyle name="Normal 2 11 7 2 3" xfId="20205"/>
    <cellStyle name="Normal 2 11 7 2 3 2" xfId="20206"/>
    <cellStyle name="Normal 2 11 7 2 3 2 2" xfId="20207"/>
    <cellStyle name="Normal 2 11 7 2 3 3" xfId="20208"/>
    <cellStyle name="Normal 2 11 7 2 3 4" xfId="20209"/>
    <cellStyle name="Normal 2 11 7 2 3 5" xfId="20210"/>
    <cellStyle name="Normal 2 11 7 2 4" xfId="20211"/>
    <cellStyle name="Normal 2 11 7 2 4 2" xfId="20212"/>
    <cellStyle name="Normal 2 11 7 2 4 3" xfId="20213"/>
    <cellStyle name="Normal 2 11 7 2 4 4" xfId="20214"/>
    <cellStyle name="Normal 2 11 7 2 5" xfId="20215"/>
    <cellStyle name="Normal 2 11 7 2 5 2" xfId="20216"/>
    <cellStyle name="Normal 2 11 7 2 6" xfId="20217"/>
    <cellStyle name="Normal 2 11 7 2 7" xfId="20218"/>
    <cellStyle name="Normal 2 11 7 2 8" xfId="20219"/>
    <cellStyle name="Normal 2 11 7 2 9" xfId="20220"/>
    <cellStyle name="Normal 2 11 7 3" xfId="20221"/>
    <cellStyle name="Normal 2 11 7 3 2" xfId="20222"/>
    <cellStyle name="Normal 2 11 7 3 2 2" xfId="20223"/>
    <cellStyle name="Normal 2 11 7 3 2 2 2" xfId="20224"/>
    <cellStyle name="Normal 2 11 7 3 2 2 3" xfId="20225"/>
    <cellStyle name="Normal 2 11 7 3 2 3" xfId="20226"/>
    <cellStyle name="Normal 2 11 7 3 2 4" xfId="20227"/>
    <cellStyle name="Normal 2 11 7 3 2 5" xfId="20228"/>
    <cellStyle name="Normal 2 11 7 3 2 6" xfId="20229"/>
    <cellStyle name="Normal 2 11 7 3 3" xfId="20230"/>
    <cellStyle name="Normal 2 11 7 3 3 2" xfId="20231"/>
    <cellStyle name="Normal 2 11 7 3 3 2 2" xfId="20232"/>
    <cellStyle name="Normal 2 11 7 3 3 3" xfId="20233"/>
    <cellStyle name="Normal 2 11 7 3 3 4" xfId="20234"/>
    <cellStyle name="Normal 2 11 7 3 3 5" xfId="20235"/>
    <cellStyle name="Normal 2 11 7 3 4" xfId="20236"/>
    <cellStyle name="Normal 2 11 7 3 4 2" xfId="20237"/>
    <cellStyle name="Normal 2 11 7 3 4 3" xfId="20238"/>
    <cellStyle name="Normal 2 11 7 3 4 4" xfId="20239"/>
    <cellStyle name="Normal 2 11 7 3 5" xfId="20240"/>
    <cellStyle name="Normal 2 11 7 3 5 2" xfId="20241"/>
    <cellStyle name="Normal 2 11 7 3 6" xfId="20242"/>
    <cellStyle name="Normal 2 11 7 3 7" xfId="20243"/>
    <cellStyle name="Normal 2 11 7 3 8" xfId="20244"/>
    <cellStyle name="Normal 2 11 7 3 9" xfId="20245"/>
    <cellStyle name="Normal 2 11 7 4" xfId="20246"/>
    <cellStyle name="Normal 2 11 7 4 2" xfId="20247"/>
    <cellStyle name="Normal 2 11 7 4 2 2" xfId="20248"/>
    <cellStyle name="Normal 2 11 7 4 2 3" xfId="20249"/>
    <cellStyle name="Normal 2 11 7 4 3" xfId="20250"/>
    <cellStyle name="Normal 2 11 7 4 4" xfId="20251"/>
    <cellStyle name="Normal 2 11 7 4 5" xfId="20252"/>
    <cellStyle name="Normal 2 11 7 4 6" xfId="20253"/>
    <cellStyle name="Normal 2 11 7 5" xfId="20254"/>
    <cellStyle name="Normal 2 11 7 5 2" xfId="20255"/>
    <cellStyle name="Normal 2 11 7 5 2 2" xfId="20256"/>
    <cellStyle name="Normal 2 11 7 5 3" xfId="20257"/>
    <cellStyle name="Normal 2 11 7 5 4" xfId="20258"/>
    <cellStyle name="Normal 2 11 7 5 5" xfId="20259"/>
    <cellStyle name="Normal 2 11 7 6" xfId="20260"/>
    <cellStyle name="Normal 2 11 7 6 2" xfId="20261"/>
    <cellStyle name="Normal 2 11 7 6 3" xfId="20262"/>
    <cellStyle name="Normal 2 11 7 6 4" xfId="20263"/>
    <cellStyle name="Normal 2 11 7 7" xfId="20264"/>
    <cellStyle name="Normal 2 11 7 7 2" xfId="20265"/>
    <cellStyle name="Normal 2 11 7 8" xfId="20266"/>
    <cellStyle name="Normal 2 11 7 9" xfId="20267"/>
    <cellStyle name="Normal 2 11 8" xfId="20268"/>
    <cellStyle name="Normal 2 11 8 10" xfId="20269"/>
    <cellStyle name="Normal 2 11 8 2" xfId="20270"/>
    <cellStyle name="Normal 2 11 8 2 2" xfId="20271"/>
    <cellStyle name="Normal 2 11 8 2 2 2" xfId="20272"/>
    <cellStyle name="Normal 2 11 8 2 2 3" xfId="20273"/>
    <cellStyle name="Normal 2 11 8 2 3" xfId="20274"/>
    <cellStyle name="Normal 2 11 8 2 4" xfId="20275"/>
    <cellStyle name="Normal 2 11 8 2 5" xfId="20276"/>
    <cellStyle name="Normal 2 11 8 2 6" xfId="20277"/>
    <cellStyle name="Normal 2 11 8 3" xfId="20278"/>
    <cellStyle name="Normal 2 11 8 3 2" xfId="20279"/>
    <cellStyle name="Normal 2 11 8 3 2 2" xfId="20280"/>
    <cellStyle name="Normal 2 11 8 3 2 3" xfId="20281"/>
    <cellStyle name="Normal 2 11 8 3 3" xfId="20282"/>
    <cellStyle name="Normal 2 11 8 3 4" xfId="20283"/>
    <cellStyle name="Normal 2 11 8 3 5" xfId="20284"/>
    <cellStyle name="Normal 2 11 8 3 6" xfId="20285"/>
    <cellStyle name="Normal 2 11 8 4" xfId="20286"/>
    <cellStyle name="Normal 2 11 8 4 2" xfId="20287"/>
    <cellStyle name="Normal 2 11 8 4 2 2" xfId="20288"/>
    <cellStyle name="Normal 2 11 8 4 3" xfId="20289"/>
    <cellStyle name="Normal 2 11 8 4 4" xfId="20290"/>
    <cellStyle name="Normal 2 11 8 4 5" xfId="20291"/>
    <cellStyle name="Normal 2 11 8 5" xfId="20292"/>
    <cellStyle name="Normal 2 11 8 5 2" xfId="20293"/>
    <cellStyle name="Normal 2 11 8 5 3" xfId="20294"/>
    <cellStyle name="Normal 2 11 8 5 4" xfId="20295"/>
    <cellStyle name="Normal 2 11 8 6" xfId="20296"/>
    <cellStyle name="Normal 2 11 8 6 2" xfId="20297"/>
    <cellStyle name="Normal 2 11 8 7" xfId="20298"/>
    <cellStyle name="Normal 2 11 8 8" xfId="20299"/>
    <cellStyle name="Normal 2 11 8 9" xfId="20300"/>
    <cellStyle name="Normal 2 11 9" xfId="20301"/>
    <cellStyle name="Normal 2 11 9 10" xfId="20302"/>
    <cellStyle name="Normal 2 11 9 2" xfId="20303"/>
    <cellStyle name="Normal 2 11 9 2 2" xfId="20304"/>
    <cellStyle name="Normal 2 11 9 2 2 2" xfId="20305"/>
    <cellStyle name="Normal 2 11 9 2 2 3" xfId="20306"/>
    <cellStyle name="Normal 2 11 9 2 3" xfId="20307"/>
    <cellStyle name="Normal 2 11 9 2 4" xfId="20308"/>
    <cellStyle name="Normal 2 11 9 2 5" xfId="20309"/>
    <cellStyle name="Normal 2 11 9 2 6" xfId="20310"/>
    <cellStyle name="Normal 2 11 9 3" xfId="20311"/>
    <cellStyle name="Normal 2 11 9 3 2" xfId="20312"/>
    <cellStyle name="Normal 2 11 9 3 2 2" xfId="20313"/>
    <cellStyle name="Normal 2 11 9 3 2 3" xfId="20314"/>
    <cellStyle name="Normal 2 11 9 3 3" xfId="20315"/>
    <cellStyle name="Normal 2 11 9 3 4" xfId="20316"/>
    <cellStyle name="Normal 2 11 9 3 5" xfId="20317"/>
    <cellStyle name="Normal 2 11 9 3 6" xfId="20318"/>
    <cellStyle name="Normal 2 11 9 4" xfId="20319"/>
    <cellStyle name="Normal 2 11 9 4 2" xfId="20320"/>
    <cellStyle name="Normal 2 11 9 4 2 2" xfId="20321"/>
    <cellStyle name="Normal 2 11 9 4 3" xfId="20322"/>
    <cellStyle name="Normal 2 11 9 4 4" xfId="20323"/>
    <cellStyle name="Normal 2 11 9 4 5" xfId="20324"/>
    <cellStyle name="Normal 2 11 9 5" xfId="20325"/>
    <cellStyle name="Normal 2 11 9 5 2" xfId="20326"/>
    <cellStyle name="Normal 2 11 9 5 3" xfId="20327"/>
    <cellStyle name="Normal 2 11 9 5 4" xfId="20328"/>
    <cellStyle name="Normal 2 11 9 6" xfId="20329"/>
    <cellStyle name="Normal 2 11 9 6 2" xfId="20330"/>
    <cellStyle name="Normal 2 11 9 7" xfId="20331"/>
    <cellStyle name="Normal 2 11 9 8" xfId="20332"/>
    <cellStyle name="Normal 2 11 9 9" xfId="20333"/>
    <cellStyle name="Normal 2 12" xfId="20334"/>
    <cellStyle name="Normal 2 12 10" xfId="20335"/>
    <cellStyle name="Normal 2 12 10 10" xfId="20336"/>
    <cellStyle name="Normal 2 12 10 2" xfId="20337"/>
    <cellStyle name="Normal 2 12 10 2 2" xfId="20338"/>
    <cellStyle name="Normal 2 12 10 2 2 2" xfId="20339"/>
    <cellStyle name="Normal 2 12 10 2 2 3" xfId="20340"/>
    <cellStyle name="Normal 2 12 10 2 3" xfId="20341"/>
    <cellStyle name="Normal 2 12 10 2 4" xfId="20342"/>
    <cellStyle name="Normal 2 12 10 2 5" xfId="20343"/>
    <cellStyle name="Normal 2 12 10 2 6" xfId="20344"/>
    <cellStyle name="Normal 2 12 10 3" xfId="20345"/>
    <cellStyle name="Normal 2 12 10 3 2" xfId="20346"/>
    <cellStyle name="Normal 2 12 10 3 2 2" xfId="20347"/>
    <cellStyle name="Normal 2 12 10 3 2 3" xfId="20348"/>
    <cellStyle name="Normal 2 12 10 3 3" xfId="20349"/>
    <cellStyle name="Normal 2 12 10 3 4" xfId="20350"/>
    <cellStyle name="Normal 2 12 10 3 5" xfId="20351"/>
    <cellStyle name="Normal 2 12 10 3 6" xfId="20352"/>
    <cellStyle name="Normal 2 12 10 4" xfId="20353"/>
    <cellStyle name="Normal 2 12 10 4 2" xfId="20354"/>
    <cellStyle name="Normal 2 12 10 4 2 2" xfId="20355"/>
    <cellStyle name="Normal 2 12 10 4 3" xfId="20356"/>
    <cellStyle name="Normal 2 12 10 4 4" xfId="20357"/>
    <cellStyle name="Normal 2 12 10 4 5" xfId="20358"/>
    <cellStyle name="Normal 2 12 10 5" xfId="20359"/>
    <cellStyle name="Normal 2 12 10 5 2" xfId="20360"/>
    <cellStyle name="Normal 2 12 10 5 3" xfId="20361"/>
    <cellStyle name="Normal 2 12 10 5 4" xfId="20362"/>
    <cellStyle name="Normal 2 12 10 6" xfId="20363"/>
    <cellStyle name="Normal 2 12 10 6 2" xfId="20364"/>
    <cellStyle name="Normal 2 12 10 7" xfId="20365"/>
    <cellStyle name="Normal 2 12 10 8" xfId="20366"/>
    <cellStyle name="Normal 2 12 10 9" xfId="20367"/>
    <cellStyle name="Normal 2 12 11" xfId="20368"/>
    <cellStyle name="Normal 2 12 11 10" xfId="20369"/>
    <cellStyle name="Normal 2 12 11 2" xfId="20370"/>
    <cellStyle name="Normal 2 12 11 2 2" xfId="20371"/>
    <cellStyle name="Normal 2 12 11 2 2 2" xfId="20372"/>
    <cellStyle name="Normal 2 12 11 2 2 3" xfId="20373"/>
    <cellStyle name="Normal 2 12 11 2 3" xfId="20374"/>
    <cellStyle name="Normal 2 12 11 2 4" xfId="20375"/>
    <cellStyle name="Normal 2 12 11 2 5" xfId="20376"/>
    <cellStyle name="Normal 2 12 11 2 6" xfId="20377"/>
    <cellStyle name="Normal 2 12 11 3" xfId="20378"/>
    <cellStyle name="Normal 2 12 11 3 2" xfId="20379"/>
    <cellStyle name="Normal 2 12 11 3 2 2" xfId="20380"/>
    <cellStyle name="Normal 2 12 11 3 2 3" xfId="20381"/>
    <cellStyle name="Normal 2 12 11 3 3" xfId="20382"/>
    <cellStyle name="Normal 2 12 11 3 4" xfId="20383"/>
    <cellStyle name="Normal 2 12 11 3 5" xfId="20384"/>
    <cellStyle name="Normal 2 12 11 3 6" xfId="20385"/>
    <cellStyle name="Normal 2 12 11 4" xfId="20386"/>
    <cellStyle name="Normal 2 12 11 4 2" xfId="20387"/>
    <cellStyle name="Normal 2 12 11 4 2 2" xfId="20388"/>
    <cellStyle name="Normal 2 12 11 4 3" xfId="20389"/>
    <cellStyle name="Normal 2 12 11 4 4" xfId="20390"/>
    <cellStyle name="Normal 2 12 11 4 5" xfId="20391"/>
    <cellStyle name="Normal 2 12 11 5" xfId="20392"/>
    <cellStyle name="Normal 2 12 11 5 2" xfId="20393"/>
    <cellStyle name="Normal 2 12 11 5 3" xfId="20394"/>
    <cellStyle name="Normal 2 12 11 5 4" xfId="20395"/>
    <cellStyle name="Normal 2 12 11 6" xfId="20396"/>
    <cellStyle name="Normal 2 12 11 6 2" xfId="20397"/>
    <cellStyle name="Normal 2 12 11 7" xfId="20398"/>
    <cellStyle name="Normal 2 12 11 8" xfId="20399"/>
    <cellStyle name="Normal 2 12 11 9" xfId="20400"/>
    <cellStyle name="Normal 2 12 12" xfId="20401"/>
    <cellStyle name="Normal 2 12 12 10" xfId="20402"/>
    <cellStyle name="Normal 2 12 12 2" xfId="20403"/>
    <cellStyle name="Normal 2 12 12 2 2" xfId="20404"/>
    <cellStyle name="Normal 2 12 12 2 2 2" xfId="20405"/>
    <cellStyle name="Normal 2 12 12 2 2 3" xfId="20406"/>
    <cellStyle name="Normal 2 12 12 2 3" xfId="20407"/>
    <cellStyle name="Normal 2 12 12 2 4" xfId="20408"/>
    <cellStyle name="Normal 2 12 12 2 5" xfId="20409"/>
    <cellStyle name="Normal 2 12 12 2 6" xfId="20410"/>
    <cellStyle name="Normal 2 12 12 3" xfId="20411"/>
    <cellStyle name="Normal 2 12 12 3 2" xfId="20412"/>
    <cellStyle name="Normal 2 12 12 3 2 2" xfId="20413"/>
    <cellStyle name="Normal 2 12 12 3 2 3" xfId="20414"/>
    <cellStyle name="Normal 2 12 12 3 3" xfId="20415"/>
    <cellStyle name="Normal 2 12 12 3 4" xfId="20416"/>
    <cellStyle name="Normal 2 12 12 3 5" xfId="20417"/>
    <cellStyle name="Normal 2 12 12 3 6" xfId="20418"/>
    <cellStyle name="Normal 2 12 12 4" xfId="20419"/>
    <cellStyle name="Normal 2 12 12 4 2" xfId="20420"/>
    <cellStyle name="Normal 2 12 12 4 2 2" xfId="20421"/>
    <cellStyle name="Normal 2 12 12 4 3" xfId="20422"/>
    <cellStyle name="Normal 2 12 12 4 4" xfId="20423"/>
    <cellStyle name="Normal 2 12 12 4 5" xfId="20424"/>
    <cellStyle name="Normal 2 12 12 5" xfId="20425"/>
    <cellStyle name="Normal 2 12 12 5 2" xfId="20426"/>
    <cellStyle name="Normal 2 12 12 5 3" xfId="20427"/>
    <cellStyle name="Normal 2 12 12 5 4" xfId="20428"/>
    <cellStyle name="Normal 2 12 12 6" xfId="20429"/>
    <cellStyle name="Normal 2 12 12 6 2" xfId="20430"/>
    <cellStyle name="Normal 2 12 12 7" xfId="20431"/>
    <cellStyle name="Normal 2 12 12 8" xfId="20432"/>
    <cellStyle name="Normal 2 12 12 9" xfId="20433"/>
    <cellStyle name="Normal 2 12 13" xfId="20434"/>
    <cellStyle name="Normal 2 12 13 2" xfId="20435"/>
    <cellStyle name="Normal 2 12 13 2 2" xfId="20436"/>
    <cellStyle name="Normal 2 12 13 2 2 2" xfId="20437"/>
    <cellStyle name="Normal 2 12 13 2 2 3" xfId="20438"/>
    <cellStyle name="Normal 2 12 13 2 3" xfId="20439"/>
    <cellStyle name="Normal 2 12 13 2 4" xfId="20440"/>
    <cellStyle name="Normal 2 12 13 2 5" xfId="20441"/>
    <cellStyle name="Normal 2 12 13 2 6" xfId="20442"/>
    <cellStyle name="Normal 2 12 13 3" xfId="20443"/>
    <cellStyle name="Normal 2 12 13 3 2" xfId="20444"/>
    <cellStyle name="Normal 2 12 13 3 2 2" xfId="20445"/>
    <cellStyle name="Normal 2 12 13 3 3" xfId="20446"/>
    <cellStyle name="Normal 2 12 13 3 4" xfId="20447"/>
    <cellStyle name="Normal 2 12 13 3 5" xfId="20448"/>
    <cellStyle name="Normal 2 12 13 4" xfId="20449"/>
    <cellStyle name="Normal 2 12 13 4 2" xfId="20450"/>
    <cellStyle name="Normal 2 12 13 4 3" xfId="20451"/>
    <cellStyle name="Normal 2 12 13 4 4" xfId="20452"/>
    <cellStyle name="Normal 2 12 13 5" xfId="20453"/>
    <cellStyle name="Normal 2 12 13 5 2" xfId="20454"/>
    <cellStyle name="Normal 2 12 13 6" xfId="20455"/>
    <cellStyle name="Normal 2 12 13 7" xfId="20456"/>
    <cellStyle name="Normal 2 12 13 8" xfId="20457"/>
    <cellStyle name="Normal 2 12 13 9" xfId="20458"/>
    <cellStyle name="Normal 2 12 14" xfId="20459"/>
    <cellStyle name="Normal 2 12 14 2" xfId="20460"/>
    <cellStyle name="Normal 2 12 14 2 2" xfId="20461"/>
    <cellStyle name="Normal 2 12 14 2 2 2" xfId="20462"/>
    <cellStyle name="Normal 2 12 14 2 2 3" xfId="20463"/>
    <cellStyle name="Normal 2 12 14 2 3" xfId="20464"/>
    <cellStyle name="Normal 2 12 14 2 4" xfId="20465"/>
    <cellStyle name="Normal 2 12 14 2 5" xfId="20466"/>
    <cellStyle name="Normal 2 12 14 2 6" xfId="20467"/>
    <cellStyle name="Normal 2 12 14 3" xfId="20468"/>
    <cellStyle name="Normal 2 12 14 3 2" xfId="20469"/>
    <cellStyle name="Normal 2 12 14 3 2 2" xfId="20470"/>
    <cellStyle name="Normal 2 12 14 3 3" xfId="20471"/>
    <cellStyle name="Normal 2 12 14 3 4" xfId="20472"/>
    <cellStyle name="Normal 2 12 14 3 5" xfId="20473"/>
    <cellStyle name="Normal 2 12 14 4" xfId="20474"/>
    <cellStyle name="Normal 2 12 14 4 2" xfId="20475"/>
    <cellStyle name="Normal 2 12 14 4 3" xfId="20476"/>
    <cellStyle name="Normal 2 12 14 4 4" xfId="20477"/>
    <cellStyle name="Normal 2 12 14 5" xfId="20478"/>
    <cellStyle name="Normal 2 12 14 5 2" xfId="20479"/>
    <cellStyle name="Normal 2 12 14 6" xfId="20480"/>
    <cellStyle name="Normal 2 12 14 7" xfId="20481"/>
    <cellStyle name="Normal 2 12 14 8" xfId="20482"/>
    <cellStyle name="Normal 2 12 14 9" xfId="20483"/>
    <cellStyle name="Normal 2 12 15" xfId="20484"/>
    <cellStyle name="Normal 2 12 15 2" xfId="20485"/>
    <cellStyle name="Normal 2 12 15 2 2" xfId="20486"/>
    <cellStyle name="Normal 2 12 15 2 3" xfId="20487"/>
    <cellStyle name="Normal 2 12 15 3" xfId="20488"/>
    <cellStyle name="Normal 2 12 15 4" xfId="20489"/>
    <cellStyle name="Normal 2 12 15 5" xfId="20490"/>
    <cellStyle name="Normal 2 12 15 6" xfId="20491"/>
    <cellStyle name="Normal 2 12 16" xfId="20492"/>
    <cellStyle name="Normal 2 12 16 2" xfId="20493"/>
    <cellStyle name="Normal 2 12 16 2 2" xfId="20494"/>
    <cellStyle name="Normal 2 12 16 3" xfId="20495"/>
    <cellStyle name="Normal 2 12 16 4" xfId="20496"/>
    <cellStyle name="Normal 2 12 16 5" xfId="20497"/>
    <cellStyle name="Normal 2 12 17" xfId="20498"/>
    <cellStyle name="Normal 2 12 17 2" xfId="20499"/>
    <cellStyle name="Normal 2 12 17 2 2" xfId="20500"/>
    <cellStyle name="Normal 2 12 17 3" xfId="20501"/>
    <cellStyle name="Normal 2 12 17 4" xfId="20502"/>
    <cellStyle name="Normal 2 12 17 5" xfId="20503"/>
    <cellStyle name="Normal 2 12 18" xfId="20504"/>
    <cellStyle name="Normal 2 12 18 2" xfId="20505"/>
    <cellStyle name="Normal 2 12 19" xfId="20506"/>
    <cellStyle name="Normal 2 12 2" xfId="20507"/>
    <cellStyle name="Normal 2 12 2 10" xfId="20508"/>
    <cellStyle name="Normal 2 12 2 11" xfId="20509"/>
    <cellStyle name="Normal 2 12 2 2" xfId="20510"/>
    <cellStyle name="Normal 2 12 2 2 2" xfId="20511"/>
    <cellStyle name="Normal 2 12 2 2 2 2" xfId="20512"/>
    <cellStyle name="Normal 2 12 2 2 2 2 2" xfId="20513"/>
    <cellStyle name="Normal 2 12 2 2 2 2 3" xfId="20514"/>
    <cellStyle name="Normal 2 12 2 2 2 3" xfId="20515"/>
    <cellStyle name="Normal 2 12 2 2 2 4" xfId="20516"/>
    <cellStyle name="Normal 2 12 2 2 2 5" xfId="20517"/>
    <cellStyle name="Normal 2 12 2 2 2 6" xfId="20518"/>
    <cellStyle name="Normal 2 12 2 2 3" xfId="20519"/>
    <cellStyle name="Normal 2 12 2 2 3 2" xfId="20520"/>
    <cellStyle name="Normal 2 12 2 2 3 2 2" xfId="20521"/>
    <cellStyle name="Normal 2 12 2 2 3 3" xfId="20522"/>
    <cellStyle name="Normal 2 12 2 2 3 4" xfId="20523"/>
    <cellStyle name="Normal 2 12 2 2 3 5" xfId="20524"/>
    <cellStyle name="Normal 2 12 2 2 4" xfId="20525"/>
    <cellStyle name="Normal 2 12 2 2 4 2" xfId="20526"/>
    <cellStyle name="Normal 2 12 2 2 4 3" xfId="20527"/>
    <cellStyle name="Normal 2 12 2 2 4 4" xfId="20528"/>
    <cellStyle name="Normal 2 12 2 2 5" xfId="20529"/>
    <cellStyle name="Normal 2 12 2 2 5 2" xfId="20530"/>
    <cellStyle name="Normal 2 12 2 2 6" xfId="20531"/>
    <cellStyle name="Normal 2 12 2 2 7" xfId="20532"/>
    <cellStyle name="Normal 2 12 2 2 8" xfId="20533"/>
    <cellStyle name="Normal 2 12 2 2 9" xfId="20534"/>
    <cellStyle name="Normal 2 12 2 3" xfId="20535"/>
    <cellStyle name="Normal 2 12 2 3 2" xfId="20536"/>
    <cellStyle name="Normal 2 12 2 3 2 2" xfId="20537"/>
    <cellStyle name="Normal 2 12 2 3 2 2 2" xfId="20538"/>
    <cellStyle name="Normal 2 12 2 3 2 2 3" xfId="20539"/>
    <cellStyle name="Normal 2 12 2 3 2 3" xfId="20540"/>
    <cellStyle name="Normal 2 12 2 3 2 4" xfId="20541"/>
    <cellStyle name="Normal 2 12 2 3 2 5" xfId="20542"/>
    <cellStyle name="Normal 2 12 2 3 2 6" xfId="20543"/>
    <cellStyle name="Normal 2 12 2 3 3" xfId="20544"/>
    <cellStyle name="Normal 2 12 2 3 3 2" xfId="20545"/>
    <cellStyle name="Normal 2 12 2 3 3 2 2" xfId="20546"/>
    <cellStyle name="Normal 2 12 2 3 3 3" xfId="20547"/>
    <cellStyle name="Normal 2 12 2 3 3 4" xfId="20548"/>
    <cellStyle name="Normal 2 12 2 3 3 5" xfId="20549"/>
    <cellStyle name="Normal 2 12 2 3 4" xfId="20550"/>
    <cellStyle name="Normal 2 12 2 3 4 2" xfId="20551"/>
    <cellStyle name="Normal 2 12 2 3 4 3" xfId="20552"/>
    <cellStyle name="Normal 2 12 2 3 4 4" xfId="20553"/>
    <cellStyle name="Normal 2 12 2 3 5" xfId="20554"/>
    <cellStyle name="Normal 2 12 2 3 5 2" xfId="20555"/>
    <cellStyle name="Normal 2 12 2 3 6" xfId="20556"/>
    <cellStyle name="Normal 2 12 2 3 7" xfId="20557"/>
    <cellStyle name="Normal 2 12 2 3 8" xfId="20558"/>
    <cellStyle name="Normal 2 12 2 3 9" xfId="20559"/>
    <cellStyle name="Normal 2 12 2 4" xfId="20560"/>
    <cellStyle name="Normal 2 12 2 4 2" xfId="20561"/>
    <cellStyle name="Normal 2 12 2 4 2 2" xfId="20562"/>
    <cellStyle name="Normal 2 12 2 4 2 3" xfId="20563"/>
    <cellStyle name="Normal 2 12 2 4 3" xfId="20564"/>
    <cellStyle name="Normal 2 12 2 4 4" xfId="20565"/>
    <cellStyle name="Normal 2 12 2 4 5" xfId="20566"/>
    <cellStyle name="Normal 2 12 2 4 6" xfId="20567"/>
    <cellStyle name="Normal 2 12 2 5" xfId="20568"/>
    <cellStyle name="Normal 2 12 2 5 2" xfId="20569"/>
    <cellStyle name="Normal 2 12 2 5 2 2" xfId="20570"/>
    <cellStyle name="Normal 2 12 2 5 3" xfId="20571"/>
    <cellStyle name="Normal 2 12 2 5 4" xfId="20572"/>
    <cellStyle name="Normal 2 12 2 5 5" xfId="20573"/>
    <cellStyle name="Normal 2 12 2 6" xfId="20574"/>
    <cellStyle name="Normal 2 12 2 6 2" xfId="20575"/>
    <cellStyle name="Normal 2 12 2 6 3" xfId="20576"/>
    <cellStyle name="Normal 2 12 2 6 4" xfId="20577"/>
    <cellStyle name="Normal 2 12 2 7" xfId="20578"/>
    <cellStyle name="Normal 2 12 2 7 2" xfId="20579"/>
    <cellStyle name="Normal 2 12 2 8" xfId="20580"/>
    <cellStyle name="Normal 2 12 2 9" xfId="20581"/>
    <cellStyle name="Normal 2 12 20" xfId="20582"/>
    <cellStyle name="Normal 2 12 21" xfId="20583"/>
    <cellStyle name="Normal 2 12 22" xfId="20584"/>
    <cellStyle name="Normal 2 12 3" xfId="20585"/>
    <cellStyle name="Normal 2 12 3 10" xfId="20586"/>
    <cellStyle name="Normal 2 12 3 11" xfId="20587"/>
    <cellStyle name="Normal 2 12 3 2" xfId="20588"/>
    <cellStyle name="Normal 2 12 3 2 2" xfId="20589"/>
    <cellStyle name="Normal 2 12 3 2 2 2" xfId="20590"/>
    <cellStyle name="Normal 2 12 3 2 2 2 2" xfId="20591"/>
    <cellStyle name="Normal 2 12 3 2 2 2 3" xfId="20592"/>
    <cellStyle name="Normal 2 12 3 2 2 3" xfId="20593"/>
    <cellStyle name="Normal 2 12 3 2 2 4" xfId="20594"/>
    <cellStyle name="Normal 2 12 3 2 2 5" xfId="20595"/>
    <cellStyle name="Normal 2 12 3 2 2 6" xfId="20596"/>
    <cellStyle name="Normal 2 12 3 2 3" xfId="20597"/>
    <cellStyle name="Normal 2 12 3 2 3 2" xfId="20598"/>
    <cellStyle name="Normal 2 12 3 2 3 2 2" xfId="20599"/>
    <cellStyle name="Normal 2 12 3 2 3 3" xfId="20600"/>
    <cellStyle name="Normal 2 12 3 2 3 4" xfId="20601"/>
    <cellStyle name="Normal 2 12 3 2 3 5" xfId="20602"/>
    <cellStyle name="Normal 2 12 3 2 4" xfId="20603"/>
    <cellStyle name="Normal 2 12 3 2 4 2" xfId="20604"/>
    <cellStyle name="Normal 2 12 3 2 4 3" xfId="20605"/>
    <cellStyle name="Normal 2 12 3 2 4 4" xfId="20606"/>
    <cellStyle name="Normal 2 12 3 2 5" xfId="20607"/>
    <cellStyle name="Normal 2 12 3 2 5 2" xfId="20608"/>
    <cellStyle name="Normal 2 12 3 2 6" xfId="20609"/>
    <cellStyle name="Normal 2 12 3 2 7" xfId="20610"/>
    <cellStyle name="Normal 2 12 3 2 8" xfId="20611"/>
    <cellStyle name="Normal 2 12 3 2 9" xfId="20612"/>
    <cellStyle name="Normal 2 12 3 3" xfId="20613"/>
    <cellStyle name="Normal 2 12 3 3 2" xfId="20614"/>
    <cellStyle name="Normal 2 12 3 3 2 2" xfId="20615"/>
    <cellStyle name="Normal 2 12 3 3 2 2 2" xfId="20616"/>
    <cellStyle name="Normal 2 12 3 3 2 2 3" xfId="20617"/>
    <cellStyle name="Normal 2 12 3 3 2 3" xfId="20618"/>
    <cellStyle name="Normal 2 12 3 3 2 4" xfId="20619"/>
    <cellStyle name="Normal 2 12 3 3 2 5" xfId="20620"/>
    <cellStyle name="Normal 2 12 3 3 2 6" xfId="20621"/>
    <cellStyle name="Normal 2 12 3 3 3" xfId="20622"/>
    <cellStyle name="Normal 2 12 3 3 3 2" xfId="20623"/>
    <cellStyle name="Normal 2 12 3 3 3 2 2" xfId="20624"/>
    <cellStyle name="Normal 2 12 3 3 3 3" xfId="20625"/>
    <cellStyle name="Normal 2 12 3 3 3 4" xfId="20626"/>
    <cellStyle name="Normal 2 12 3 3 3 5" xfId="20627"/>
    <cellStyle name="Normal 2 12 3 3 4" xfId="20628"/>
    <cellStyle name="Normal 2 12 3 3 4 2" xfId="20629"/>
    <cellStyle name="Normal 2 12 3 3 4 3" xfId="20630"/>
    <cellStyle name="Normal 2 12 3 3 4 4" xfId="20631"/>
    <cellStyle name="Normal 2 12 3 3 5" xfId="20632"/>
    <cellStyle name="Normal 2 12 3 3 5 2" xfId="20633"/>
    <cellStyle name="Normal 2 12 3 3 6" xfId="20634"/>
    <cellStyle name="Normal 2 12 3 3 7" xfId="20635"/>
    <cellStyle name="Normal 2 12 3 3 8" xfId="20636"/>
    <cellStyle name="Normal 2 12 3 3 9" xfId="20637"/>
    <cellStyle name="Normal 2 12 3 4" xfId="20638"/>
    <cellStyle name="Normal 2 12 3 4 2" xfId="20639"/>
    <cellStyle name="Normal 2 12 3 4 2 2" xfId="20640"/>
    <cellStyle name="Normal 2 12 3 4 2 3" xfId="20641"/>
    <cellStyle name="Normal 2 12 3 4 3" xfId="20642"/>
    <cellStyle name="Normal 2 12 3 4 4" xfId="20643"/>
    <cellStyle name="Normal 2 12 3 4 5" xfId="20644"/>
    <cellStyle name="Normal 2 12 3 4 6" xfId="20645"/>
    <cellStyle name="Normal 2 12 3 5" xfId="20646"/>
    <cellStyle name="Normal 2 12 3 5 2" xfId="20647"/>
    <cellStyle name="Normal 2 12 3 5 2 2" xfId="20648"/>
    <cellStyle name="Normal 2 12 3 5 3" xfId="20649"/>
    <cellStyle name="Normal 2 12 3 5 4" xfId="20650"/>
    <cellStyle name="Normal 2 12 3 5 5" xfId="20651"/>
    <cellStyle name="Normal 2 12 3 6" xfId="20652"/>
    <cellStyle name="Normal 2 12 3 6 2" xfId="20653"/>
    <cellStyle name="Normal 2 12 3 6 3" xfId="20654"/>
    <cellStyle name="Normal 2 12 3 6 4" xfId="20655"/>
    <cellStyle name="Normal 2 12 3 7" xfId="20656"/>
    <cellStyle name="Normal 2 12 3 7 2" xfId="20657"/>
    <cellStyle name="Normal 2 12 3 8" xfId="20658"/>
    <cellStyle name="Normal 2 12 3 9" xfId="20659"/>
    <cellStyle name="Normal 2 12 4" xfId="20660"/>
    <cellStyle name="Normal 2 12 4 10" xfId="20661"/>
    <cellStyle name="Normal 2 12 4 11" xfId="20662"/>
    <cellStyle name="Normal 2 12 4 2" xfId="20663"/>
    <cellStyle name="Normal 2 12 4 2 2" xfId="20664"/>
    <cellStyle name="Normal 2 12 4 2 2 2" xfId="20665"/>
    <cellStyle name="Normal 2 12 4 2 2 2 2" xfId="20666"/>
    <cellStyle name="Normal 2 12 4 2 2 2 3" xfId="20667"/>
    <cellStyle name="Normal 2 12 4 2 2 3" xfId="20668"/>
    <cellStyle name="Normal 2 12 4 2 2 4" xfId="20669"/>
    <cellStyle name="Normal 2 12 4 2 2 5" xfId="20670"/>
    <cellStyle name="Normal 2 12 4 2 2 6" xfId="20671"/>
    <cellStyle name="Normal 2 12 4 2 3" xfId="20672"/>
    <cellStyle name="Normal 2 12 4 2 3 2" xfId="20673"/>
    <cellStyle name="Normal 2 12 4 2 3 2 2" xfId="20674"/>
    <cellStyle name="Normal 2 12 4 2 3 3" xfId="20675"/>
    <cellStyle name="Normal 2 12 4 2 3 4" xfId="20676"/>
    <cellStyle name="Normal 2 12 4 2 3 5" xfId="20677"/>
    <cellStyle name="Normal 2 12 4 2 4" xfId="20678"/>
    <cellStyle name="Normal 2 12 4 2 4 2" xfId="20679"/>
    <cellStyle name="Normal 2 12 4 2 4 3" xfId="20680"/>
    <cellStyle name="Normal 2 12 4 2 4 4" xfId="20681"/>
    <cellStyle name="Normal 2 12 4 2 5" xfId="20682"/>
    <cellStyle name="Normal 2 12 4 2 5 2" xfId="20683"/>
    <cellStyle name="Normal 2 12 4 2 6" xfId="20684"/>
    <cellStyle name="Normal 2 12 4 2 7" xfId="20685"/>
    <cellStyle name="Normal 2 12 4 2 8" xfId="20686"/>
    <cellStyle name="Normal 2 12 4 2 9" xfId="20687"/>
    <cellStyle name="Normal 2 12 4 3" xfId="20688"/>
    <cellStyle name="Normal 2 12 4 3 2" xfId="20689"/>
    <cellStyle name="Normal 2 12 4 3 2 2" xfId="20690"/>
    <cellStyle name="Normal 2 12 4 3 2 2 2" xfId="20691"/>
    <cellStyle name="Normal 2 12 4 3 2 2 3" xfId="20692"/>
    <cellStyle name="Normal 2 12 4 3 2 3" xfId="20693"/>
    <cellStyle name="Normal 2 12 4 3 2 4" xfId="20694"/>
    <cellStyle name="Normal 2 12 4 3 2 5" xfId="20695"/>
    <cellStyle name="Normal 2 12 4 3 2 6" xfId="20696"/>
    <cellStyle name="Normal 2 12 4 3 3" xfId="20697"/>
    <cellStyle name="Normal 2 12 4 3 3 2" xfId="20698"/>
    <cellStyle name="Normal 2 12 4 3 3 2 2" xfId="20699"/>
    <cellStyle name="Normal 2 12 4 3 3 3" xfId="20700"/>
    <cellStyle name="Normal 2 12 4 3 3 4" xfId="20701"/>
    <cellStyle name="Normal 2 12 4 3 3 5" xfId="20702"/>
    <cellStyle name="Normal 2 12 4 3 4" xfId="20703"/>
    <cellStyle name="Normal 2 12 4 3 4 2" xfId="20704"/>
    <cellStyle name="Normal 2 12 4 3 4 3" xfId="20705"/>
    <cellStyle name="Normal 2 12 4 3 4 4" xfId="20706"/>
    <cellStyle name="Normal 2 12 4 3 5" xfId="20707"/>
    <cellStyle name="Normal 2 12 4 3 5 2" xfId="20708"/>
    <cellStyle name="Normal 2 12 4 3 6" xfId="20709"/>
    <cellStyle name="Normal 2 12 4 3 7" xfId="20710"/>
    <cellStyle name="Normal 2 12 4 3 8" xfId="20711"/>
    <cellStyle name="Normal 2 12 4 3 9" xfId="20712"/>
    <cellStyle name="Normal 2 12 4 4" xfId="20713"/>
    <cellStyle name="Normal 2 12 4 4 2" xfId="20714"/>
    <cellStyle name="Normal 2 12 4 4 2 2" xfId="20715"/>
    <cellStyle name="Normal 2 12 4 4 2 3" xfId="20716"/>
    <cellStyle name="Normal 2 12 4 4 3" xfId="20717"/>
    <cellStyle name="Normal 2 12 4 4 4" xfId="20718"/>
    <cellStyle name="Normal 2 12 4 4 5" xfId="20719"/>
    <cellStyle name="Normal 2 12 4 4 6" xfId="20720"/>
    <cellStyle name="Normal 2 12 4 5" xfId="20721"/>
    <cellStyle name="Normal 2 12 4 5 2" xfId="20722"/>
    <cellStyle name="Normal 2 12 4 5 2 2" xfId="20723"/>
    <cellStyle name="Normal 2 12 4 5 3" xfId="20724"/>
    <cellStyle name="Normal 2 12 4 5 4" xfId="20725"/>
    <cellStyle name="Normal 2 12 4 5 5" xfId="20726"/>
    <cellStyle name="Normal 2 12 4 6" xfId="20727"/>
    <cellStyle name="Normal 2 12 4 6 2" xfId="20728"/>
    <cellStyle name="Normal 2 12 4 6 3" xfId="20729"/>
    <cellStyle name="Normal 2 12 4 6 4" xfId="20730"/>
    <cellStyle name="Normal 2 12 4 7" xfId="20731"/>
    <cellStyle name="Normal 2 12 4 7 2" xfId="20732"/>
    <cellStyle name="Normal 2 12 4 8" xfId="20733"/>
    <cellStyle name="Normal 2 12 4 9" xfId="20734"/>
    <cellStyle name="Normal 2 12 5" xfId="20735"/>
    <cellStyle name="Normal 2 12 5 10" xfId="20736"/>
    <cellStyle name="Normal 2 12 5 11" xfId="20737"/>
    <cellStyle name="Normal 2 12 5 2" xfId="20738"/>
    <cellStyle name="Normal 2 12 5 2 2" xfId="20739"/>
    <cellStyle name="Normal 2 12 5 2 2 2" xfId="20740"/>
    <cellStyle name="Normal 2 12 5 2 2 2 2" xfId="20741"/>
    <cellStyle name="Normal 2 12 5 2 2 2 3" xfId="20742"/>
    <cellStyle name="Normal 2 12 5 2 2 3" xfId="20743"/>
    <cellStyle name="Normal 2 12 5 2 2 4" xfId="20744"/>
    <cellStyle name="Normal 2 12 5 2 2 5" xfId="20745"/>
    <cellStyle name="Normal 2 12 5 2 2 6" xfId="20746"/>
    <cellStyle name="Normal 2 12 5 2 3" xfId="20747"/>
    <cellStyle name="Normal 2 12 5 2 3 2" xfId="20748"/>
    <cellStyle name="Normal 2 12 5 2 3 2 2" xfId="20749"/>
    <cellStyle name="Normal 2 12 5 2 3 3" xfId="20750"/>
    <cellStyle name="Normal 2 12 5 2 3 4" xfId="20751"/>
    <cellStyle name="Normal 2 12 5 2 3 5" xfId="20752"/>
    <cellStyle name="Normal 2 12 5 2 4" xfId="20753"/>
    <cellStyle name="Normal 2 12 5 2 4 2" xfId="20754"/>
    <cellStyle name="Normal 2 12 5 2 4 3" xfId="20755"/>
    <cellStyle name="Normal 2 12 5 2 4 4" xfId="20756"/>
    <cellStyle name="Normal 2 12 5 2 5" xfId="20757"/>
    <cellStyle name="Normal 2 12 5 2 5 2" xfId="20758"/>
    <cellStyle name="Normal 2 12 5 2 6" xfId="20759"/>
    <cellStyle name="Normal 2 12 5 2 7" xfId="20760"/>
    <cellStyle name="Normal 2 12 5 2 8" xfId="20761"/>
    <cellStyle name="Normal 2 12 5 2 9" xfId="20762"/>
    <cellStyle name="Normal 2 12 5 3" xfId="20763"/>
    <cellStyle name="Normal 2 12 5 3 2" xfId="20764"/>
    <cellStyle name="Normal 2 12 5 3 2 2" xfId="20765"/>
    <cellStyle name="Normal 2 12 5 3 2 2 2" xfId="20766"/>
    <cellStyle name="Normal 2 12 5 3 2 2 3" xfId="20767"/>
    <cellStyle name="Normal 2 12 5 3 2 3" xfId="20768"/>
    <cellStyle name="Normal 2 12 5 3 2 4" xfId="20769"/>
    <cellStyle name="Normal 2 12 5 3 2 5" xfId="20770"/>
    <cellStyle name="Normal 2 12 5 3 2 6" xfId="20771"/>
    <cellStyle name="Normal 2 12 5 3 3" xfId="20772"/>
    <cellStyle name="Normal 2 12 5 3 3 2" xfId="20773"/>
    <cellStyle name="Normal 2 12 5 3 3 2 2" xfId="20774"/>
    <cellStyle name="Normal 2 12 5 3 3 3" xfId="20775"/>
    <cellStyle name="Normal 2 12 5 3 3 4" xfId="20776"/>
    <cellStyle name="Normal 2 12 5 3 3 5" xfId="20777"/>
    <cellStyle name="Normal 2 12 5 3 4" xfId="20778"/>
    <cellStyle name="Normal 2 12 5 3 4 2" xfId="20779"/>
    <cellStyle name="Normal 2 12 5 3 4 3" xfId="20780"/>
    <cellStyle name="Normal 2 12 5 3 4 4" xfId="20781"/>
    <cellStyle name="Normal 2 12 5 3 5" xfId="20782"/>
    <cellStyle name="Normal 2 12 5 3 5 2" xfId="20783"/>
    <cellStyle name="Normal 2 12 5 3 6" xfId="20784"/>
    <cellStyle name="Normal 2 12 5 3 7" xfId="20785"/>
    <cellStyle name="Normal 2 12 5 3 8" xfId="20786"/>
    <cellStyle name="Normal 2 12 5 3 9" xfId="20787"/>
    <cellStyle name="Normal 2 12 5 4" xfId="20788"/>
    <cellStyle name="Normal 2 12 5 4 2" xfId="20789"/>
    <cellStyle name="Normal 2 12 5 4 2 2" xfId="20790"/>
    <cellStyle name="Normal 2 12 5 4 2 3" xfId="20791"/>
    <cellStyle name="Normal 2 12 5 4 3" xfId="20792"/>
    <cellStyle name="Normal 2 12 5 4 4" xfId="20793"/>
    <cellStyle name="Normal 2 12 5 4 5" xfId="20794"/>
    <cellStyle name="Normal 2 12 5 4 6" xfId="20795"/>
    <cellStyle name="Normal 2 12 5 5" xfId="20796"/>
    <cellStyle name="Normal 2 12 5 5 2" xfId="20797"/>
    <cellStyle name="Normal 2 12 5 5 2 2" xfId="20798"/>
    <cellStyle name="Normal 2 12 5 5 3" xfId="20799"/>
    <cellStyle name="Normal 2 12 5 5 4" xfId="20800"/>
    <cellStyle name="Normal 2 12 5 5 5" xfId="20801"/>
    <cellStyle name="Normal 2 12 5 6" xfId="20802"/>
    <cellStyle name="Normal 2 12 5 6 2" xfId="20803"/>
    <cellStyle name="Normal 2 12 5 6 3" xfId="20804"/>
    <cellStyle name="Normal 2 12 5 6 4" xfId="20805"/>
    <cellStyle name="Normal 2 12 5 7" xfId="20806"/>
    <cellStyle name="Normal 2 12 5 7 2" xfId="20807"/>
    <cellStyle name="Normal 2 12 5 8" xfId="20808"/>
    <cellStyle name="Normal 2 12 5 9" xfId="20809"/>
    <cellStyle name="Normal 2 12 6" xfId="20810"/>
    <cellStyle name="Normal 2 12 6 10" xfId="20811"/>
    <cellStyle name="Normal 2 12 6 11" xfId="20812"/>
    <cellStyle name="Normal 2 12 6 2" xfId="20813"/>
    <cellStyle name="Normal 2 12 6 2 2" xfId="20814"/>
    <cellStyle name="Normal 2 12 6 2 2 2" xfId="20815"/>
    <cellStyle name="Normal 2 12 6 2 2 2 2" xfId="20816"/>
    <cellStyle name="Normal 2 12 6 2 2 2 3" xfId="20817"/>
    <cellStyle name="Normal 2 12 6 2 2 3" xfId="20818"/>
    <cellStyle name="Normal 2 12 6 2 2 4" xfId="20819"/>
    <cellStyle name="Normal 2 12 6 2 2 5" xfId="20820"/>
    <cellStyle name="Normal 2 12 6 2 2 6" xfId="20821"/>
    <cellStyle name="Normal 2 12 6 2 3" xfId="20822"/>
    <cellStyle name="Normal 2 12 6 2 3 2" xfId="20823"/>
    <cellStyle name="Normal 2 12 6 2 3 2 2" xfId="20824"/>
    <cellStyle name="Normal 2 12 6 2 3 3" xfId="20825"/>
    <cellStyle name="Normal 2 12 6 2 3 4" xfId="20826"/>
    <cellStyle name="Normal 2 12 6 2 3 5" xfId="20827"/>
    <cellStyle name="Normal 2 12 6 2 4" xfId="20828"/>
    <cellStyle name="Normal 2 12 6 2 4 2" xfId="20829"/>
    <cellStyle name="Normal 2 12 6 2 4 3" xfId="20830"/>
    <cellStyle name="Normal 2 12 6 2 4 4" xfId="20831"/>
    <cellStyle name="Normal 2 12 6 2 5" xfId="20832"/>
    <cellStyle name="Normal 2 12 6 2 5 2" xfId="20833"/>
    <cellStyle name="Normal 2 12 6 2 6" xfId="20834"/>
    <cellStyle name="Normal 2 12 6 2 7" xfId="20835"/>
    <cellStyle name="Normal 2 12 6 2 8" xfId="20836"/>
    <cellStyle name="Normal 2 12 6 2 9" xfId="20837"/>
    <cellStyle name="Normal 2 12 6 3" xfId="20838"/>
    <cellStyle name="Normal 2 12 6 3 2" xfId="20839"/>
    <cellStyle name="Normal 2 12 6 3 2 2" xfId="20840"/>
    <cellStyle name="Normal 2 12 6 3 2 2 2" xfId="20841"/>
    <cellStyle name="Normal 2 12 6 3 2 2 3" xfId="20842"/>
    <cellStyle name="Normal 2 12 6 3 2 3" xfId="20843"/>
    <cellStyle name="Normal 2 12 6 3 2 4" xfId="20844"/>
    <cellStyle name="Normal 2 12 6 3 2 5" xfId="20845"/>
    <cellStyle name="Normal 2 12 6 3 2 6" xfId="20846"/>
    <cellStyle name="Normal 2 12 6 3 3" xfId="20847"/>
    <cellStyle name="Normal 2 12 6 3 3 2" xfId="20848"/>
    <cellStyle name="Normal 2 12 6 3 3 2 2" xfId="20849"/>
    <cellStyle name="Normal 2 12 6 3 3 3" xfId="20850"/>
    <cellStyle name="Normal 2 12 6 3 3 4" xfId="20851"/>
    <cellStyle name="Normal 2 12 6 3 3 5" xfId="20852"/>
    <cellStyle name="Normal 2 12 6 3 4" xfId="20853"/>
    <cellStyle name="Normal 2 12 6 3 4 2" xfId="20854"/>
    <cellStyle name="Normal 2 12 6 3 4 3" xfId="20855"/>
    <cellStyle name="Normal 2 12 6 3 4 4" xfId="20856"/>
    <cellStyle name="Normal 2 12 6 3 5" xfId="20857"/>
    <cellStyle name="Normal 2 12 6 3 5 2" xfId="20858"/>
    <cellStyle name="Normal 2 12 6 3 6" xfId="20859"/>
    <cellStyle name="Normal 2 12 6 3 7" xfId="20860"/>
    <cellStyle name="Normal 2 12 6 3 8" xfId="20861"/>
    <cellStyle name="Normal 2 12 6 3 9" xfId="20862"/>
    <cellStyle name="Normal 2 12 6 4" xfId="20863"/>
    <cellStyle name="Normal 2 12 6 4 2" xfId="20864"/>
    <cellStyle name="Normal 2 12 6 4 2 2" xfId="20865"/>
    <cellStyle name="Normal 2 12 6 4 2 3" xfId="20866"/>
    <cellStyle name="Normal 2 12 6 4 3" xfId="20867"/>
    <cellStyle name="Normal 2 12 6 4 4" xfId="20868"/>
    <cellStyle name="Normal 2 12 6 4 5" xfId="20869"/>
    <cellStyle name="Normal 2 12 6 4 6" xfId="20870"/>
    <cellStyle name="Normal 2 12 6 5" xfId="20871"/>
    <cellStyle name="Normal 2 12 6 5 2" xfId="20872"/>
    <cellStyle name="Normal 2 12 6 5 2 2" xfId="20873"/>
    <cellStyle name="Normal 2 12 6 5 3" xfId="20874"/>
    <cellStyle name="Normal 2 12 6 5 4" xfId="20875"/>
    <cellStyle name="Normal 2 12 6 5 5" xfId="20876"/>
    <cellStyle name="Normal 2 12 6 6" xfId="20877"/>
    <cellStyle name="Normal 2 12 6 6 2" xfId="20878"/>
    <cellStyle name="Normal 2 12 6 6 3" xfId="20879"/>
    <cellStyle name="Normal 2 12 6 6 4" xfId="20880"/>
    <cellStyle name="Normal 2 12 6 7" xfId="20881"/>
    <cellStyle name="Normal 2 12 6 7 2" xfId="20882"/>
    <cellStyle name="Normal 2 12 6 8" xfId="20883"/>
    <cellStyle name="Normal 2 12 6 9" xfId="20884"/>
    <cellStyle name="Normal 2 12 7" xfId="20885"/>
    <cellStyle name="Normal 2 12 7 10" xfId="20886"/>
    <cellStyle name="Normal 2 12 7 11" xfId="20887"/>
    <cellStyle name="Normal 2 12 7 2" xfId="20888"/>
    <cellStyle name="Normal 2 12 7 2 2" xfId="20889"/>
    <cellStyle name="Normal 2 12 7 2 2 2" xfId="20890"/>
    <cellStyle name="Normal 2 12 7 2 2 2 2" xfId="20891"/>
    <cellStyle name="Normal 2 12 7 2 2 2 3" xfId="20892"/>
    <cellStyle name="Normal 2 12 7 2 2 3" xfId="20893"/>
    <cellStyle name="Normal 2 12 7 2 2 4" xfId="20894"/>
    <cellStyle name="Normal 2 12 7 2 2 5" xfId="20895"/>
    <cellStyle name="Normal 2 12 7 2 2 6" xfId="20896"/>
    <cellStyle name="Normal 2 12 7 2 3" xfId="20897"/>
    <cellStyle name="Normal 2 12 7 2 3 2" xfId="20898"/>
    <cellStyle name="Normal 2 12 7 2 3 2 2" xfId="20899"/>
    <cellStyle name="Normal 2 12 7 2 3 3" xfId="20900"/>
    <cellStyle name="Normal 2 12 7 2 3 4" xfId="20901"/>
    <cellStyle name="Normal 2 12 7 2 3 5" xfId="20902"/>
    <cellStyle name="Normal 2 12 7 2 4" xfId="20903"/>
    <cellStyle name="Normal 2 12 7 2 4 2" xfId="20904"/>
    <cellStyle name="Normal 2 12 7 2 4 3" xfId="20905"/>
    <cellStyle name="Normal 2 12 7 2 4 4" xfId="20906"/>
    <cellStyle name="Normal 2 12 7 2 5" xfId="20907"/>
    <cellStyle name="Normal 2 12 7 2 5 2" xfId="20908"/>
    <cellStyle name="Normal 2 12 7 2 6" xfId="20909"/>
    <cellStyle name="Normal 2 12 7 2 7" xfId="20910"/>
    <cellStyle name="Normal 2 12 7 2 8" xfId="20911"/>
    <cellStyle name="Normal 2 12 7 2 9" xfId="20912"/>
    <cellStyle name="Normal 2 12 7 3" xfId="20913"/>
    <cellStyle name="Normal 2 12 7 3 2" xfId="20914"/>
    <cellStyle name="Normal 2 12 7 3 2 2" xfId="20915"/>
    <cellStyle name="Normal 2 12 7 3 2 2 2" xfId="20916"/>
    <cellStyle name="Normal 2 12 7 3 2 2 3" xfId="20917"/>
    <cellStyle name="Normal 2 12 7 3 2 3" xfId="20918"/>
    <cellStyle name="Normal 2 12 7 3 2 4" xfId="20919"/>
    <cellStyle name="Normal 2 12 7 3 2 5" xfId="20920"/>
    <cellStyle name="Normal 2 12 7 3 2 6" xfId="20921"/>
    <cellStyle name="Normal 2 12 7 3 3" xfId="20922"/>
    <cellStyle name="Normal 2 12 7 3 3 2" xfId="20923"/>
    <cellStyle name="Normal 2 12 7 3 3 2 2" xfId="20924"/>
    <cellStyle name="Normal 2 12 7 3 3 3" xfId="20925"/>
    <cellStyle name="Normal 2 12 7 3 3 4" xfId="20926"/>
    <cellStyle name="Normal 2 12 7 3 3 5" xfId="20927"/>
    <cellStyle name="Normal 2 12 7 3 4" xfId="20928"/>
    <cellStyle name="Normal 2 12 7 3 4 2" xfId="20929"/>
    <cellStyle name="Normal 2 12 7 3 4 3" xfId="20930"/>
    <cellStyle name="Normal 2 12 7 3 4 4" xfId="20931"/>
    <cellStyle name="Normal 2 12 7 3 5" xfId="20932"/>
    <cellStyle name="Normal 2 12 7 3 5 2" xfId="20933"/>
    <cellStyle name="Normal 2 12 7 3 6" xfId="20934"/>
    <cellStyle name="Normal 2 12 7 3 7" xfId="20935"/>
    <cellStyle name="Normal 2 12 7 3 8" xfId="20936"/>
    <cellStyle name="Normal 2 12 7 3 9" xfId="20937"/>
    <cellStyle name="Normal 2 12 7 4" xfId="20938"/>
    <cellStyle name="Normal 2 12 7 4 2" xfId="20939"/>
    <cellStyle name="Normal 2 12 7 4 2 2" xfId="20940"/>
    <cellStyle name="Normal 2 12 7 4 2 3" xfId="20941"/>
    <cellStyle name="Normal 2 12 7 4 3" xfId="20942"/>
    <cellStyle name="Normal 2 12 7 4 4" xfId="20943"/>
    <cellStyle name="Normal 2 12 7 4 5" xfId="20944"/>
    <cellStyle name="Normal 2 12 7 4 6" xfId="20945"/>
    <cellStyle name="Normal 2 12 7 5" xfId="20946"/>
    <cellStyle name="Normal 2 12 7 5 2" xfId="20947"/>
    <cellStyle name="Normal 2 12 7 5 2 2" xfId="20948"/>
    <cellStyle name="Normal 2 12 7 5 3" xfId="20949"/>
    <cellStyle name="Normal 2 12 7 5 4" xfId="20950"/>
    <cellStyle name="Normal 2 12 7 5 5" xfId="20951"/>
    <cellStyle name="Normal 2 12 7 6" xfId="20952"/>
    <cellStyle name="Normal 2 12 7 6 2" xfId="20953"/>
    <cellStyle name="Normal 2 12 7 6 3" xfId="20954"/>
    <cellStyle name="Normal 2 12 7 6 4" xfId="20955"/>
    <cellStyle name="Normal 2 12 7 7" xfId="20956"/>
    <cellStyle name="Normal 2 12 7 7 2" xfId="20957"/>
    <cellStyle name="Normal 2 12 7 8" xfId="20958"/>
    <cellStyle name="Normal 2 12 7 9" xfId="20959"/>
    <cellStyle name="Normal 2 12 8" xfId="20960"/>
    <cellStyle name="Normal 2 12 8 10" xfId="20961"/>
    <cellStyle name="Normal 2 12 8 2" xfId="20962"/>
    <cellStyle name="Normal 2 12 8 2 2" xfId="20963"/>
    <cellStyle name="Normal 2 12 8 2 2 2" xfId="20964"/>
    <cellStyle name="Normal 2 12 8 2 2 3" xfId="20965"/>
    <cellStyle name="Normal 2 12 8 2 3" xfId="20966"/>
    <cellStyle name="Normal 2 12 8 2 4" xfId="20967"/>
    <cellStyle name="Normal 2 12 8 2 5" xfId="20968"/>
    <cellStyle name="Normal 2 12 8 2 6" xfId="20969"/>
    <cellStyle name="Normal 2 12 8 3" xfId="20970"/>
    <cellStyle name="Normal 2 12 8 3 2" xfId="20971"/>
    <cellStyle name="Normal 2 12 8 3 2 2" xfId="20972"/>
    <cellStyle name="Normal 2 12 8 3 2 3" xfId="20973"/>
    <cellStyle name="Normal 2 12 8 3 3" xfId="20974"/>
    <cellStyle name="Normal 2 12 8 3 4" xfId="20975"/>
    <cellStyle name="Normal 2 12 8 3 5" xfId="20976"/>
    <cellStyle name="Normal 2 12 8 3 6" xfId="20977"/>
    <cellStyle name="Normal 2 12 8 4" xfId="20978"/>
    <cellStyle name="Normal 2 12 8 4 2" xfId="20979"/>
    <cellStyle name="Normal 2 12 8 4 2 2" xfId="20980"/>
    <cellStyle name="Normal 2 12 8 4 3" xfId="20981"/>
    <cellStyle name="Normal 2 12 8 4 4" xfId="20982"/>
    <cellStyle name="Normal 2 12 8 4 5" xfId="20983"/>
    <cellStyle name="Normal 2 12 8 5" xfId="20984"/>
    <cellStyle name="Normal 2 12 8 5 2" xfId="20985"/>
    <cellStyle name="Normal 2 12 8 5 3" xfId="20986"/>
    <cellStyle name="Normal 2 12 8 5 4" xfId="20987"/>
    <cellStyle name="Normal 2 12 8 6" xfId="20988"/>
    <cellStyle name="Normal 2 12 8 6 2" xfId="20989"/>
    <cellStyle name="Normal 2 12 8 7" xfId="20990"/>
    <cellStyle name="Normal 2 12 8 8" xfId="20991"/>
    <cellStyle name="Normal 2 12 8 9" xfId="20992"/>
    <cellStyle name="Normal 2 12 9" xfId="20993"/>
    <cellStyle name="Normal 2 12 9 10" xfId="20994"/>
    <cellStyle name="Normal 2 12 9 2" xfId="20995"/>
    <cellStyle name="Normal 2 12 9 2 2" xfId="20996"/>
    <cellStyle name="Normal 2 12 9 2 2 2" xfId="20997"/>
    <cellStyle name="Normal 2 12 9 2 2 3" xfId="20998"/>
    <cellStyle name="Normal 2 12 9 2 3" xfId="20999"/>
    <cellStyle name="Normal 2 12 9 2 4" xfId="21000"/>
    <cellStyle name="Normal 2 12 9 2 5" xfId="21001"/>
    <cellStyle name="Normal 2 12 9 2 6" xfId="21002"/>
    <cellStyle name="Normal 2 12 9 3" xfId="21003"/>
    <cellStyle name="Normal 2 12 9 3 2" xfId="21004"/>
    <cellStyle name="Normal 2 12 9 3 2 2" xfId="21005"/>
    <cellStyle name="Normal 2 12 9 3 2 3" xfId="21006"/>
    <cellStyle name="Normal 2 12 9 3 3" xfId="21007"/>
    <cellStyle name="Normal 2 12 9 3 4" xfId="21008"/>
    <cellStyle name="Normal 2 12 9 3 5" xfId="21009"/>
    <cellStyle name="Normal 2 12 9 3 6" xfId="21010"/>
    <cellStyle name="Normal 2 12 9 4" xfId="21011"/>
    <cellStyle name="Normal 2 12 9 4 2" xfId="21012"/>
    <cellStyle name="Normal 2 12 9 4 2 2" xfId="21013"/>
    <cellStyle name="Normal 2 12 9 4 3" xfId="21014"/>
    <cellStyle name="Normal 2 12 9 4 4" xfId="21015"/>
    <cellStyle name="Normal 2 12 9 4 5" xfId="21016"/>
    <cellStyle name="Normal 2 12 9 5" xfId="21017"/>
    <cellStyle name="Normal 2 12 9 5 2" xfId="21018"/>
    <cellStyle name="Normal 2 12 9 5 3" xfId="21019"/>
    <cellStyle name="Normal 2 12 9 5 4" xfId="21020"/>
    <cellStyle name="Normal 2 12 9 6" xfId="21021"/>
    <cellStyle name="Normal 2 12 9 6 2" xfId="21022"/>
    <cellStyle name="Normal 2 12 9 7" xfId="21023"/>
    <cellStyle name="Normal 2 12 9 8" xfId="21024"/>
    <cellStyle name="Normal 2 12 9 9" xfId="21025"/>
    <cellStyle name="Normal 2 13" xfId="21026"/>
    <cellStyle name="Normal 2 13 2" xfId="21027"/>
    <cellStyle name="Normal 2 13 2 2" xfId="21028"/>
    <cellStyle name="Normal 2 13 3" xfId="21029"/>
    <cellStyle name="Normal 2 13 3 2" xfId="21030"/>
    <cellStyle name="Normal 2 13 4" xfId="21031"/>
    <cellStyle name="Normal 2 13 5" xfId="21032"/>
    <cellStyle name="Normal 2 13 6" xfId="21033"/>
    <cellStyle name="Normal 2 13 7" xfId="21034"/>
    <cellStyle name="Normal 2 13 8" xfId="21035"/>
    <cellStyle name="Normal 2 14" xfId="21036"/>
    <cellStyle name="Normal 2 14 10" xfId="21037"/>
    <cellStyle name="Normal 2 14 10 10" xfId="21038"/>
    <cellStyle name="Normal 2 14 10 2" xfId="21039"/>
    <cellStyle name="Normal 2 14 10 2 2" xfId="21040"/>
    <cellStyle name="Normal 2 14 10 2 2 2" xfId="21041"/>
    <cellStyle name="Normal 2 14 10 2 2 3" xfId="21042"/>
    <cellStyle name="Normal 2 14 10 2 3" xfId="21043"/>
    <cellStyle name="Normal 2 14 10 2 4" xfId="21044"/>
    <cellStyle name="Normal 2 14 10 2 5" xfId="21045"/>
    <cellStyle name="Normal 2 14 10 2 6" xfId="21046"/>
    <cellStyle name="Normal 2 14 10 3" xfId="21047"/>
    <cellStyle name="Normal 2 14 10 3 2" xfId="21048"/>
    <cellStyle name="Normal 2 14 10 3 2 2" xfId="21049"/>
    <cellStyle name="Normal 2 14 10 3 2 3" xfId="21050"/>
    <cellStyle name="Normal 2 14 10 3 3" xfId="21051"/>
    <cellStyle name="Normal 2 14 10 3 4" xfId="21052"/>
    <cellStyle name="Normal 2 14 10 3 5" xfId="21053"/>
    <cellStyle name="Normal 2 14 10 3 6" xfId="21054"/>
    <cellStyle name="Normal 2 14 10 4" xfId="21055"/>
    <cellStyle name="Normal 2 14 10 4 2" xfId="21056"/>
    <cellStyle name="Normal 2 14 10 4 2 2" xfId="21057"/>
    <cellStyle name="Normal 2 14 10 4 3" xfId="21058"/>
    <cellStyle name="Normal 2 14 10 4 4" xfId="21059"/>
    <cellStyle name="Normal 2 14 10 4 5" xfId="21060"/>
    <cellStyle name="Normal 2 14 10 5" xfId="21061"/>
    <cellStyle name="Normal 2 14 10 5 2" xfId="21062"/>
    <cellStyle name="Normal 2 14 10 5 3" xfId="21063"/>
    <cellStyle name="Normal 2 14 10 5 4" xfId="21064"/>
    <cellStyle name="Normal 2 14 10 6" xfId="21065"/>
    <cellStyle name="Normal 2 14 10 6 2" xfId="21066"/>
    <cellStyle name="Normal 2 14 10 7" xfId="21067"/>
    <cellStyle name="Normal 2 14 10 8" xfId="21068"/>
    <cellStyle name="Normal 2 14 10 9" xfId="21069"/>
    <cellStyle name="Normal 2 14 11" xfId="21070"/>
    <cellStyle name="Normal 2 14 11 10" xfId="21071"/>
    <cellStyle name="Normal 2 14 11 2" xfId="21072"/>
    <cellStyle name="Normal 2 14 11 2 2" xfId="21073"/>
    <cellStyle name="Normal 2 14 11 2 2 2" xfId="21074"/>
    <cellStyle name="Normal 2 14 11 2 2 3" xfId="21075"/>
    <cellStyle name="Normal 2 14 11 2 3" xfId="21076"/>
    <cellStyle name="Normal 2 14 11 2 4" xfId="21077"/>
    <cellStyle name="Normal 2 14 11 2 5" xfId="21078"/>
    <cellStyle name="Normal 2 14 11 2 6" xfId="21079"/>
    <cellStyle name="Normal 2 14 11 3" xfId="21080"/>
    <cellStyle name="Normal 2 14 11 3 2" xfId="21081"/>
    <cellStyle name="Normal 2 14 11 3 2 2" xfId="21082"/>
    <cellStyle name="Normal 2 14 11 3 2 3" xfId="21083"/>
    <cellStyle name="Normal 2 14 11 3 3" xfId="21084"/>
    <cellStyle name="Normal 2 14 11 3 4" xfId="21085"/>
    <cellStyle name="Normal 2 14 11 3 5" xfId="21086"/>
    <cellStyle name="Normal 2 14 11 3 6" xfId="21087"/>
    <cellStyle name="Normal 2 14 11 4" xfId="21088"/>
    <cellStyle name="Normal 2 14 11 4 2" xfId="21089"/>
    <cellStyle name="Normal 2 14 11 4 2 2" xfId="21090"/>
    <cellStyle name="Normal 2 14 11 4 3" xfId="21091"/>
    <cellStyle name="Normal 2 14 11 4 4" xfId="21092"/>
    <cellStyle name="Normal 2 14 11 4 5" xfId="21093"/>
    <cellStyle name="Normal 2 14 11 5" xfId="21094"/>
    <cellStyle name="Normal 2 14 11 5 2" xfId="21095"/>
    <cellStyle name="Normal 2 14 11 5 3" xfId="21096"/>
    <cellStyle name="Normal 2 14 11 5 4" xfId="21097"/>
    <cellStyle name="Normal 2 14 11 6" xfId="21098"/>
    <cellStyle name="Normal 2 14 11 6 2" xfId="21099"/>
    <cellStyle name="Normal 2 14 11 7" xfId="21100"/>
    <cellStyle name="Normal 2 14 11 8" xfId="21101"/>
    <cellStyle name="Normal 2 14 11 9" xfId="21102"/>
    <cellStyle name="Normal 2 14 12" xfId="21103"/>
    <cellStyle name="Normal 2 14 12 10" xfId="21104"/>
    <cellStyle name="Normal 2 14 12 2" xfId="21105"/>
    <cellStyle name="Normal 2 14 12 2 2" xfId="21106"/>
    <cellStyle name="Normal 2 14 12 2 2 2" xfId="21107"/>
    <cellStyle name="Normal 2 14 12 2 2 3" xfId="21108"/>
    <cellStyle name="Normal 2 14 12 2 3" xfId="21109"/>
    <cellStyle name="Normal 2 14 12 2 4" xfId="21110"/>
    <cellStyle name="Normal 2 14 12 2 5" xfId="21111"/>
    <cellStyle name="Normal 2 14 12 2 6" xfId="21112"/>
    <cellStyle name="Normal 2 14 12 3" xfId="21113"/>
    <cellStyle name="Normal 2 14 12 3 2" xfId="21114"/>
    <cellStyle name="Normal 2 14 12 3 2 2" xfId="21115"/>
    <cellStyle name="Normal 2 14 12 3 2 3" xfId="21116"/>
    <cellStyle name="Normal 2 14 12 3 3" xfId="21117"/>
    <cellStyle name="Normal 2 14 12 3 4" xfId="21118"/>
    <cellStyle name="Normal 2 14 12 3 5" xfId="21119"/>
    <cellStyle name="Normal 2 14 12 3 6" xfId="21120"/>
    <cellStyle name="Normal 2 14 12 4" xfId="21121"/>
    <cellStyle name="Normal 2 14 12 4 2" xfId="21122"/>
    <cellStyle name="Normal 2 14 12 4 2 2" xfId="21123"/>
    <cellStyle name="Normal 2 14 12 4 3" xfId="21124"/>
    <cellStyle name="Normal 2 14 12 4 4" xfId="21125"/>
    <cellStyle name="Normal 2 14 12 4 5" xfId="21126"/>
    <cellStyle name="Normal 2 14 12 5" xfId="21127"/>
    <cellStyle name="Normal 2 14 12 5 2" xfId="21128"/>
    <cellStyle name="Normal 2 14 12 5 3" xfId="21129"/>
    <cellStyle name="Normal 2 14 12 5 4" xfId="21130"/>
    <cellStyle name="Normal 2 14 12 6" xfId="21131"/>
    <cellStyle name="Normal 2 14 12 6 2" xfId="21132"/>
    <cellStyle name="Normal 2 14 12 7" xfId="21133"/>
    <cellStyle name="Normal 2 14 12 8" xfId="21134"/>
    <cellStyle name="Normal 2 14 12 9" xfId="21135"/>
    <cellStyle name="Normal 2 14 13" xfId="21136"/>
    <cellStyle name="Normal 2 14 13 2" xfId="21137"/>
    <cellStyle name="Normal 2 14 13 2 2" xfId="21138"/>
    <cellStyle name="Normal 2 14 13 2 2 2" xfId="21139"/>
    <cellStyle name="Normal 2 14 13 2 2 3" xfId="21140"/>
    <cellStyle name="Normal 2 14 13 2 3" xfId="21141"/>
    <cellStyle name="Normal 2 14 13 2 4" xfId="21142"/>
    <cellStyle name="Normal 2 14 13 2 5" xfId="21143"/>
    <cellStyle name="Normal 2 14 13 2 6" xfId="21144"/>
    <cellStyle name="Normal 2 14 13 3" xfId="21145"/>
    <cellStyle name="Normal 2 14 13 3 2" xfId="21146"/>
    <cellStyle name="Normal 2 14 13 3 2 2" xfId="21147"/>
    <cellStyle name="Normal 2 14 13 3 3" xfId="21148"/>
    <cellStyle name="Normal 2 14 13 3 4" xfId="21149"/>
    <cellStyle name="Normal 2 14 13 3 5" xfId="21150"/>
    <cellStyle name="Normal 2 14 13 4" xfId="21151"/>
    <cellStyle name="Normal 2 14 13 4 2" xfId="21152"/>
    <cellStyle name="Normal 2 14 13 4 3" xfId="21153"/>
    <cellStyle name="Normal 2 14 13 4 4" xfId="21154"/>
    <cellStyle name="Normal 2 14 13 5" xfId="21155"/>
    <cellStyle name="Normal 2 14 13 5 2" xfId="21156"/>
    <cellStyle name="Normal 2 14 13 6" xfId="21157"/>
    <cellStyle name="Normal 2 14 13 7" xfId="21158"/>
    <cellStyle name="Normal 2 14 13 8" xfId="21159"/>
    <cellStyle name="Normal 2 14 13 9" xfId="21160"/>
    <cellStyle name="Normal 2 14 14" xfId="21161"/>
    <cellStyle name="Normal 2 14 14 2" xfId="21162"/>
    <cellStyle name="Normal 2 14 14 2 2" xfId="21163"/>
    <cellStyle name="Normal 2 14 14 2 2 2" xfId="21164"/>
    <cellStyle name="Normal 2 14 14 2 2 3" xfId="21165"/>
    <cellStyle name="Normal 2 14 14 2 3" xfId="21166"/>
    <cellStyle name="Normal 2 14 14 2 4" xfId="21167"/>
    <cellStyle name="Normal 2 14 14 2 5" xfId="21168"/>
    <cellStyle name="Normal 2 14 14 2 6" xfId="21169"/>
    <cellStyle name="Normal 2 14 14 3" xfId="21170"/>
    <cellStyle name="Normal 2 14 14 3 2" xfId="21171"/>
    <cellStyle name="Normal 2 14 14 3 2 2" xfId="21172"/>
    <cellStyle name="Normal 2 14 14 3 3" xfId="21173"/>
    <cellStyle name="Normal 2 14 14 3 4" xfId="21174"/>
    <cellStyle name="Normal 2 14 14 3 5" xfId="21175"/>
    <cellStyle name="Normal 2 14 14 4" xfId="21176"/>
    <cellStyle name="Normal 2 14 14 4 2" xfId="21177"/>
    <cellStyle name="Normal 2 14 14 4 3" xfId="21178"/>
    <cellStyle name="Normal 2 14 14 4 4" xfId="21179"/>
    <cellStyle name="Normal 2 14 14 5" xfId="21180"/>
    <cellStyle name="Normal 2 14 14 5 2" xfId="21181"/>
    <cellStyle name="Normal 2 14 14 6" xfId="21182"/>
    <cellStyle name="Normal 2 14 14 7" xfId="21183"/>
    <cellStyle name="Normal 2 14 14 8" xfId="21184"/>
    <cellStyle name="Normal 2 14 14 9" xfId="21185"/>
    <cellStyle name="Normal 2 14 15" xfId="21186"/>
    <cellStyle name="Normal 2 14 15 2" xfId="21187"/>
    <cellStyle name="Normal 2 14 15 2 2" xfId="21188"/>
    <cellStyle name="Normal 2 14 15 2 3" xfId="21189"/>
    <cellStyle name="Normal 2 14 15 3" xfId="21190"/>
    <cellStyle name="Normal 2 14 15 4" xfId="21191"/>
    <cellStyle name="Normal 2 14 15 5" xfId="21192"/>
    <cellStyle name="Normal 2 14 15 6" xfId="21193"/>
    <cellStyle name="Normal 2 14 16" xfId="21194"/>
    <cellStyle name="Normal 2 14 16 2" xfId="21195"/>
    <cellStyle name="Normal 2 14 16 2 2" xfId="21196"/>
    <cellStyle name="Normal 2 14 16 3" xfId="21197"/>
    <cellStyle name="Normal 2 14 16 4" xfId="21198"/>
    <cellStyle name="Normal 2 14 16 5" xfId="21199"/>
    <cellStyle name="Normal 2 14 16 6" xfId="21200"/>
    <cellStyle name="Normal 2 14 17" xfId="21201"/>
    <cellStyle name="Normal 2 14 17 2" xfId="21202"/>
    <cellStyle name="Normal 2 14 17 2 2" xfId="21203"/>
    <cellStyle name="Normal 2 14 17 3" xfId="21204"/>
    <cellStyle name="Normal 2 14 17 4" xfId="21205"/>
    <cellStyle name="Normal 2 14 17 5" xfId="21206"/>
    <cellStyle name="Normal 2 14 17 6" xfId="21207"/>
    <cellStyle name="Normal 2 14 18" xfId="21208"/>
    <cellStyle name="Normal 2 14 18 2" xfId="21209"/>
    <cellStyle name="Normal 2 14 18 3" xfId="21210"/>
    <cellStyle name="Normal 2 14 19" xfId="21211"/>
    <cellStyle name="Normal 2 14 19 2" xfId="21212"/>
    <cellStyle name="Normal 2 14 19 3" xfId="21213"/>
    <cellStyle name="Normal 2 14 2" xfId="21214"/>
    <cellStyle name="Normal 2 14 2 10" xfId="21215"/>
    <cellStyle name="Normal 2 14 2 11" xfId="21216"/>
    <cellStyle name="Normal 2 14 2 2" xfId="21217"/>
    <cellStyle name="Normal 2 14 2 2 2" xfId="21218"/>
    <cellStyle name="Normal 2 14 2 2 2 2" xfId="21219"/>
    <cellStyle name="Normal 2 14 2 2 2 2 2" xfId="21220"/>
    <cellStyle name="Normal 2 14 2 2 2 2 3" xfId="21221"/>
    <cellStyle name="Normal 2 14 2 2 2 3" xfId="21222"/>
    <cellStyle name="Normal 2 14 2 2 2 4" xfId="21223"/>
    <cellStyle name="Normal 2 14 2 2 2 5" xfId="21224"/>
    <cellStyle name="Normal 2 14 2 2 2 6" xfId="21225"/>
    <cellStyle name="Normal 2 14 2 2 3" xfId="21226"/>
    <cellStyle name="Normal 2 14 2 2 3 2" xfId="21227"/>
    <cellStyle name="Normal 2 14 2 2 3 2 2" xfId="21228"/>
    <cellStyle name="Normal 2 14 2 2 3 3" xfId="21229"/>
    <cellStyle name="Normal 2 14 2 2 3 4" xfId="21230"/>
    <cellStyle name="Normal 2 14 2 2 3 5" xfId="21231"/>
    <cellStyle name="Normal 2 14 2 2 4" xfId="21232"/>
    <cellStyle name="Normal 2 14 2 2 4 2" xfId="21233"/>
    <cellStyle name="Normal 2 14 2 2 4 3" xfId="21234"/>
    <cellStyle name="Normal 2 14 2 2 4 4" xfId="21235"/>
    <cellStyle name="Normal 2 14 2 2 5" xfId="21236"/>
    <cellStyle name="Normal 2 14 2 2 5 2" xfId="21237"/>
    <cellStyle name="Normal 2 14 2 2 6" xfId="21238"/>
    <cellStyle name="Normal 2 14 2 2 7" xfId="21239"/>
    <cellStyle name="Normal 2 14 2 2 8" xfId="21240"/>
    <cellStyle name="Normal 2 14 2 2 9" xfId="21241"/>
    <cellStyle name="Normal 2 14 2 3" xfId="21242"/>
    <cellStyle name="Normal 2 14 2 3 2" xfId="21243"/>
    <cellStyle name="Normal 2 14 2 3 2 2" xfId="21244"/>
    <cellStyle name="Normal 2 14 2 3 2 2 2" xfId="21245"/>
    <cellStyle name="Normal 2 14 2 3 2 2 3" xfId="21246"/>
    <cellStyle name="Normal 2 14 2 3 2 3" xfId="21247"/>
    <cellStyle name="Normal 2 14 2 3 2 4" xfId="21248"/>
    <cellStyle name="Normal 2 14 2 3 2 5" xfId="21249"/>
    <cellStyle name="Normal 2 14 2 3 2 6" xfId="21250"/>
    <cellStyle name="Normal 2 14 2 3 3" xfId="21251"/>
    <cellStyle name="Normal 2 14 2 3 3 2" xfId="21252"/>
    <cellStyle name="Normal 2 14 2 3 3 2 2" xfId="21253"/>
    <cellStyle name="Normal 2 14 2 3 3 3" xfId="21254"/>
    <cellStyle name="Normal 2 14 2 3 3 4" xfId="21255"/>
    <cellStyle name="Normal 2 14 2 3 3 5" xfId="21256"/>
    <cellStyle name="Normal 2 14 2 3 4" xfId="21257"/>
    <cellStyle name="Normal 2 14 2 3 4 2" xfId="21258"/>
    <cellStyle name="Normal 2 14 2 3 4 3" xfId="21259"/>
    <cellStyle name="Normal 2 14 2 3 4 4" xfId="21260"/>
    <cellStyle name="Normal 2 14 2 3 5" xfId="21261"/>
    <cellStyle name="Normal 2 14 2 3 5 2" xfId="21262"/>
    <cellStyle name="Normal 2 14 2 3 6" xfId="21263"/>
    <cellStyle name="Normal 2 14 2 3 7" xfId="21264"/>
    <cellStyle name="Normal 2 14 2 3 8" xfId="21265"/>
    <cellStyle name="Normal 2 14 2 3 9" xfId="21266"/>
    <cellStyle name="Normal 2 14 2 4" xfId="21267"/>
    <cellStyle name="Normal 2 14 2 4 2" xfId="21268"/>
    <cellStyle name="Normal 2 14 2 4 2 2" xfId="21269"/>
    <cellStyle name="Normal 2 14 2 4 2 3" xfId="21270"/>
    <cellStyle name="Normal 2 14 2 4 3" xfId="21271"/>
    <cellStyle name="Normal 2 14 2 4 4" xfId="21272"/>
    <cellStyle name="Normal 2 14 2 4 5" xfId="21273"/>
    <cellStyle name="Normal 2 14 2 4 6" xfId="21274"/>
    <cellStyle name="Normal 2 14 2 5" xfId="21275"/>
    <cellStyle name="Normal 2 14 2 5 2" xfId="21276"/>
    <cellStyle name="Normal 2 14 2 5 2 2" xfId="21277"/>
    <cellStyle name="Normal 2 14 2 5 3" xfId="21278"/>
    <cellStyle name="Normal 2 14 2 5 4" xfId="21279"/>
    <cellStyle name="Normal 2 14 2 5 5" xfId="21280"/>
    <cellStyle name="Normal 2 14 2 6" xfId="21281"/>
    <cellStyle name="Normal 2 14 2 6 2" xfId="21282"/>
    <cellStyle name="Normal 2 14 2 6 3" xfId="21283"/>
    <cellStyle name="Normal 2 14 2 6 4" xfId="21284"/>
    <cellStyle name="Normal 2 14 2 7" xfId="21285"/>
    <cellStyle name="Normal 2 14 2 7 2" xfId="21286"/>
    <cellStyle name="Normal 2 14 2 8" xfId="21287"/>
    <cellStyle name="Normal 2 14 2 9" xfId="21288"/>
    <cellStyle name="Normal 2 14 20" xfId="21289"/>
    <cellStyle name="Normal 2 14 21" xfId="21290"/>
    <cellStyle name="Normal 2 14 22" xfId="21291"/>
    <cellStyle name="Normal 2 14 23" xfId="21292"/>
    <cellStyle name="Normal 2 14 24" xfId="21293"/>
    <cellStyle name="Normal 2 14 25" xfId="21294"/>
    <cellStyle name="Normal 2 14 26" xfId="21295"/>
    <cellStyle name="Normal 2 14 27" xfId="21296"/>
    <cellStyle name="Normal 2 14 28" xfId="21297"/>
    <cellStyle name="Normal 2 14 29" xfId="21298"/>
    <cellStyle name="Normal 2 14 3" xfId="21299"/>
    <cellStyle name="Normal 2 14 3 10" xfId="21300"/>
    <cellStyle name="Normal 2 14 3 11" xfId="21301"/>
    <cellStyle name="Normal 2 14 3 2" xfId="21302"/>
    <cellStyle name="Normal 2 14 3 2 2" xfId="21303"/>
    <cellStyle name="Normal 2 14 3 2 2 2" xfId="21304"/>
    <cellStyle name="Normal 2 14 3 2 2 2 2" xfId="21305"/>
    <cellStyle name="Normal 2 14 3 2 2 2 3" xfId="21306"/>
    <cellStyle name="Normal 2 14 3 2 2 3" xfId="21307"/>
    <cellStyle name="Normal 2 14 3 2 2 4" xfId="21308"/>
    <cellStyle name="Normal 2 14 3 2 2 5" xfId="21309"/>
    <cellStyle name="Normal 2 14 3 2 2 6" xfId="21310"/>
    <cellStyle name="Normal 2 14 3 2 3" xfId="21311"/>
    <cellStyle name="Normal 2 14 3 2 3 2" xfId="21312"/>
    <cellStyle name="Normal 2 14 3 2 3 2 2" xfId="21313"/>
    <cellStyle name="Normal 2 14 3 2 3 3" xfId="21314"/>
    <cellStyle name="Normal 2 14 3 2 3 4" xfId="21315"/>
    <cellStyle name="Normal 2 14 3 2 3 5" xfId="21316"/>
    <cellStyle name="Normal 2 14 3 2 4" xfId="21317"/>
    <cellStyle name="Normal 2 14 3 2 4 2" xfId="21318"/>
    <cellStyle name="Normal 2 14 3 2 4 3" xfId="21319"/>
    <cellStyle name="Normal 2 14 3 2 4 4" xfId="21320"/>
    <cellStyle name="Normal 2 14 3 2 5" xfId="21321"/>
    <cellStyle name="Normal 2 14 3 2 5 2" xfId="21322"/>
    <cellStyle name="Normal 2 14 3 2 6" xfId="21323"/>
    <cellStyle name="Normal 2 14 3 2 7" xfId="21324"/>
    <cellStyle name="Normal 2 14 3 2 8" xfId="21325"/>
    <cellStyle name="Normal 2 14 3 2 9" xfId="21326"/>
    <cellStyle name="Normal 2 14 3 3" xfId="21327"/>
    <cellStyle name="Normal 2 14 3 3 2" xfId="21328"/>
    <cellStyle name="Normal 2 14 3 3 2 2" xfId="21329"/>
    <cellStyle name="Normal 2 14 3 3 2 2 2" xfId="21330"/>
    <cellStyle name="Normal 2 14 3 3 2 2 3" xfId="21331"/>
    <cellStyle name="Normal 2 14 3 3 2 3" xfId="21332"/>
    <cellStyle name="Normal 2 14 3 3 2 4" xfId="21333"/>
    <cellStyle name="Normal 2 14 3 3 2 5" xfId="21334"/>
    <cellStyle name="Normal 2 14 3 3 2 6" xfId="21335"/>
    <cellStyle name="Normal 2 14 3 3 3" xfId="21336"/>
    <cellStyle name="Normal 2 14 3 3 3 2" xfId="21337"/>
    <cellStyle name="Normal 2 14 3 3 3 2 2" xfId="21338"/>
    <cellStyle name="Normal 2 14 3 3 3 3" xfId="21339"/>
    <cellStyle name="Normal 2 14 3 3 3 4" xfId="21340"/>
    <cellStyle name="Normal 2 14 3 3 3 5" xfId="21341"/>
    <cellStyle name="Normal 2 14 3 3 4" xfId="21342"/>
    <cellStyle name="Normal 2 14 3 3 4 2" xfId="21343"/>
    <cellStyle name="Normal 2 14 3 3 4 3" xfId="21344"/>
    <cellStyle name="Normal 2 14 3 3 4 4" xfId="21345"/>
    <cellStyle name="Normal 2 14 3 3 5" xfId="21346"/>
    <cellStyle name="Normal 2 14 3 3 5 2" xfId="21347"/>
    <cellStyle name="Normal 2 14 3 3 6" xfId="21348"/>
    <cellStyle name="Normal 2 14 3 3 7" xfId="21349"/>
    <cellStyle name="Normal 2 14 3 3 8" xfId="21350"/>
    <cellStyle name="Normal 2 14 3 3 9" xfId="21351"/>
    <cellStyle name="Normal 2 14 3 4" xfId="21352"/>
    <cellStyle name="Normal 2 14 3 4 2" xfId="21353"/>
    <cellStyle name="Normal 2 14 3 4 2 2" xfId="21354"/>
    <cellStyle name="Normal 2 14 3 4 2 3" xfId="21355"/>
    <cellStyle name="Normal 2 14 3 4 3" xfId="21356"/>
    <cellStyle name="Normal 2 14 3 4 4" xfId="21357"/>
    <cellStyle name="Normal 2 14 3 4 5" xfId="21358"/>
    <cellStyle name="Normal 2 14 3 4 6" xfId="21359"/>
    <cellStyle name="Normal 2 14 3 5" xfId="21360"/>
    <cellStyle name="Normal 2 14 3 5 2" xfId="21361"/>
    <cellStyle name="Normal 2 14 3 5 2 2" xfId="21362"/>
    <cellStyle name="Normal 2 14 3 5 3" xfId="21363"/>
    <cellStyle name="Normal 2 14 3 5 4" xfId="21364"/>
    <cellStyle name="Normal 2 14 3 5 5" xfId="21365"/>
    <cellStyle name="Normal 2 14 3 6" xfId="21366"/>
    <cellStyle name="Normal 2 14 3 6 2" xfId="21367"/>
    <cellStyle name="Normal 2 14 3 6 3" xfId="21368"/>
    <cellStyle name="Normal 2 14 3 6 4" xfId="21369"/>
    <cellStyle name="Normal 2 14 3 7" xfId="21370"/>
    <cellStyle name="Normal 2 14 3 7 2" xfId="21371"/>
    <cellStyle name="Normal 2 14 3 8" xfId="21372"/>
    <cellStyle name="Normal 2 14 3 9" xfId="21373"/>
    <cellStyle name="Normal 2 14 30" xfId="21374"/>
    <cellStyle name="Normal 2 14 31" xfId="21375"/>
    <cellStyle name="Normal 2 14 32" xfId="21376"/>
    <cellStyle name="Normal 2 14 33" xfId="21377"/>
    <cellStyle name="Normal 2 14 34" xfId="21378"/>
    <cellStyle name="Normal 2 14 35" xfId="21379"/>
    <cellStyle name="Normal 2 14 36" xfId="21380"/>
    <cellStyle name="Normal 2 14 37" xfId="21381"/>
    <cellStyle name="Normal 2 14 37 2" xfId="21382"/>
    <cellStyle name="Normal 2 14 38" xfId="21383"/>
    <cellStyle name="Normal 2 14 39" xfId="21384"/>
    <cellStyle name="Normal 2 14 4" xfId="21385"/>
    <cellStyle name="Normal 2 14 4 10" xfId="21386"/>
    <cellStyle name="Normal 2 14 4 11" xfId="21387"/>
    <cellStyle name="Normal 2 14 4 2" xfId="21388"/>
    <cellStyle name="Normal 2 14 4 2 2" xfId="21389"/>
    <cellStyle name="Normal 2 14 4 2 2 2" xfId="21390"/>
    <cellStyle name="Normal 2 14 4 2 2 2 2" xfId="21391"/>
    <cellStyle name="Normal 2 14 4 2 2 2 3" xfId="21392"/>
    <cellStyle name="Normal 2 14 4 2 2 3" xfId="21393"/>
    <cellStyle name="Normal 2 14 4 2 2 4" xfId="21394"/>
    <cellStyle name="Normal 2 14 4 2 2 5" xfId="21395"/>
    <cellStyle name="Normal 2 14 4 2 2 6" xfId="21396"/>
    <cellStyle name="Normal 2 14 4 2 3" xfId="21397"/>
    <cellStyle name="Normal 2 14 4 2 3 2" xfId="21398"/>
    <cellStyle name="Normal 2 14 4 2 3 2 2" xfId="21399"/>
    <cellStyle name="Normal 2 14 4 2 3 3" xfId="21400"/>
    <cellStyle name="Normal 2 14 4 2 3 4" xfId="21401"/>
    <cellStyle name="Normal 2 14 4 2 3 5" xfId="21402"/>
    <cellStyle name="Normal 2 14 4 2 4" xfId="21403"/>
    <cellStyle name="Normal 2 14 4 2 4 2" xfId="21404"/>
    <cellStyle name="Normal 2 14 4 2 4 3" xfId="21405"/>
    <cellStyle name="Normal 2 14 4 2 4 4" xfId="21406"/>
    <cellStyle name="Normal 2 14 4 2 5" xfId="21407"/>
    <cellStyle name="Normal 2 14 4 2 5 2" xfId="21408"/>
    <cellStyle name="Normal 2 14 4 2 6" xfId="21409"/>
    <cellStyle name="Normal 2 14 4 2 7" xfId="21410"/>
    <cellStyle name="Normal 2 14 4 2 8" xfId="21411"/>
    <cellStyle name="Normal 2 14 4 2 9" xfId="21412"/>
    <cellStyle name="Normal 2 14 4 3" xfId="21413"/>
    <cellStyle name="Normal 2 14 4 3 2" xfId="21414"/>
    <cellStyle name="Normal 2 14 4 3 2 2" xfId="21415"/>
    <cellStyle name="Normal 2 14 4 3 2 2 2" xfId="21416"/>
    <cellStyle name="Normal 2 14 4 3 2 2 3" xfId="21417"/>
    <cellStyle name="Normal 2 14 4 3 2 3" xfId="21418"/>
    <cellStyle name="Normal 2 14 4 3 2 4" xfId="21419"/>
    <cellStyle name="Normal 2 14 4 3 2 5" xfId="21420"/>
    <cellStyle name="Normal 2 14 4 3 2 6" xfId="21421"/>
    <cellStyle name="Normal 2 14 4 3 3" xfId="21422"/>
    <cellStyle name="Normal 2 14 4 3 3 2" xfId="21423"/>
    <cellStyle name="Normal 2 14 4 3 3 2 2" xfId="21424"/>
    <cellStyle name="Normal 2 14 4 3 3 3" xfId="21425"/>
    <cellStyle name="Normal 2 14 4 3 3 4" xfId="21426"/>
    <cellStyle name="Normal 2 14 4 3 3 5" xfId="21427"/>
    <cellStyle name="Normal 2 14 4 3 4" xfId="21428"/>
    <cellStyle name="Normal 2 14 4 3 4 2" xfId="21429"/>
    <cellStyle name="Normal 2 14 4 3 4 3" xfId="21430"/>
    <cellStyle name="Normal 2 14 4 3 4 4" xfId="21431"/>
    <cellStyle name="Normal 2 14 4 3 5" xfId="21432"/>
    <cellStyle name="Normal 2 14 4 3 5 2" xfId="21433"/>
    <cellStyle name="Normal 2 14 4 3 6" xfId="21434"/>
    <cellStyle name="Normal 2 14 4 3 7" xfId="21435"/>
    <cellStyle name="Normal 2 14 4 3 8" xfId="21436"/>
    <cellStyle name="Normal 2 14 4 3 9" xfId="21437"/>
    <cellStyle name="Normal 2 14 4 4" xfId="21438"/>
    <cellStyle name="Normal 2 14 4 4 2" xfId="21439"/>
    <cellStyle name="Normal 2 14 4 4 2 2" xfId="21440"/>
    <cellStyle name="Normal 2 14 4 4 2 3" xfId="21441"/>
    <cellStyle name="Normal 2 14 4 4 3" xfId="21442"/>
    <cellStyle name="Normal 2 14 4 4 4" xfId="21443"/>
    <cellStyle name="Normal 2 14 4 4 5" xfId="21444"/>
    <cellStyle name="Normal 2 14 4 4 6" xfId="21445"/>
    <cellStyle name="Normal 2 14 4 5" xfId="21446"/>
    <cellStyle name="Normal 2 14 4 5 2" xfId="21447"/>
    <cellStyle name="Normal 2 14 4 5 2 2" xfId="21448"/>
    <cellStyle name="Normal 2 14 4 5 3" xfId="21449"/>
    <cellStyle name="Normal 2 14 4 5 4" xfId="21450"/>
    <cellStyle name="Normal 2 14 4 5 5" xfId="21451"/>
    <cellStyle name="Normal 2 14 4 6" xfId="21452"/>
    <cellStyle name="Normal 2 14 4 6 2" xfId="21453"/>
    <cellStyle name="Normal 2 14 4 6 3" xfId="21454"/>
    <cellStyle name="Normal 2 14 4 6 4" xfId="21455"/>
    <cellStyle name="Normal 2 14 4 7" xfId="21456"/>
    <cellStyle name="Normal 2 14 4 7 2" xfId="21457"/>
    <cellStyle name="Normal 2 14 4 8" xfId="21458"/>
    <cellStyle name="Normal 2 14 4 9" xfId="21459"/>
    <cellStyle name="Normal 2 14 40" xfId="21460"/>
    <cellStyle name="Normal 2 14 5" xfId="21461"/>
    <cellStyle name="Normal 2 14 5 10" xfId="21462"/>
    <cellStyle name="Normal 2 14 5 11" xfId="21463"/>
    <cellStyle name="Normal 2 14 5 2" xfId="21464"/>
    <cellStyle name="Normal 2 14 5 2 2" xfId="21465"/>
    <cellStyle name="Normal 2 14 5 2 2 2" xfId="21466"/>
    <cellStyle name="Normal 2 14 5 2 2 2 2" xfId="21467"/>
    <cellStyle name="Normal 2 14 5 2 2 2 3" xfId="21468"/>
    <cellStyle name="Normal 2 14 5 2 2 3" xfId="21469"/>
    <cellStyle name="Normal 2 14 5 2 2 4" xfId="21470"/>
    <cellStyle name="Normal 2 14 5 2 2 5" xfId="21471"/>
    <cellStyle name="Normal 2 14 5 2 2 6" xfId="21472"/>
    <cellStyle name="Normal 2 14 5 2 3" xfId="21473"/>
    <cellStyle name="Normal 2 14 5 2 3 2" xfId="21474"/>
    <cellStyle name="Normal 2 14 5 2 3 2 2" xfId="21475"/>
    <cellStyle name="Normal 2 14 5 2 3 3" xfId="21476"/>
    <cellStyle name="Normal 2 14 5 2 3 4" xfId="21477"/>
    <cellStyle name="Normal 2 14 5 2 3 5" xfId="21478"/>
    <cellStyle name="Normal 2 14 5 2 4" xfId="21479"/>
    <cellStyle name="Normal 2 14 5 2 4 2" xfId="21480"/>
    <cellStyle name="Normal 2 14 5 2 4 3" xfId="21481"/>
    <cellStyle name="Normal 2 14 5 2 4 4" xfId="21482"/>
    <cellStyle name="Normal 2 14 5 2 5" xfId="21483"/>
    <cellStyle name="Normal 2 14 5 2 5 2" xfId="21484"/>
    <cellStyle name="Normal 2 14 5 2 6" xfId="21485"/>
    <cellStyle name="Normal 2 14 5 2 7" xfId="21486"/>
    <cellStyle name="Normal 2 14 5 2 8" xfId="21487"/>
    <cellStyle name="Normal 2 14 5 2 9" xfId="21488"/>
    <cellStyle name="Normal 2 14 5 3" xfId="21489"/>
    <cellStyle name="Normal 2 14 5 3 2" xfId="21490"/>
    <cellStyle name="Normal 2 14 5 3 2 2" xfId="21491"/>
    <cellStyle name="Normal 2 14 5 3 2 2 2" xfId="21492"/>
    <cellStyle name="Normal 2 14 5 3 2 2 3" xfId="21493"/>
    <cellStyle name="Normal 2 14 5 3 2 3" xfId="21494"/>
    <cellStyle name="Normal 2 14 5 3 2 4" xfId="21495"/>
    <cellStyle name="Normal 2 14 5 3 2 5" xfId="21496"/>
    <cellStyle name="Normal 2 14 5 3 2 6" xfId="21497"/>
    <cellStyle name="Normal 2 14 5 3 3" xfId="21498"/>
    <cellStyle name="Normal 2 14 5 3 3 2" xfId="21499"/>
    <cellStyle name="Normal 2 14 5 3 3 2 2" xfId="21500"/>
    <cellStyle name="Normal 2 14 5 3 3 3" xfId="21501"/>
    <cellStyle name="Normal 2 14 5 3 3 4" xfId="21502"/>
    <cellStyle name="Normal 2 14 5 3 3 5" xfId="21503"/>
    <cellStyle name="Normal 2 14 5 3 4" xfId="21504"/>
    <cellStyle name="Normal 2 14 5 3 4 2" xfId="21505"/>
    <cellStyle name="Normal 2 14 5 3 4 3" xfId="21506"/>
    <cellStyle name="Normal 2 14 5 3 4 4" xfId="21507"/>
    <cellStyle name="Normal 2 14 5 3 5" xfId="21508"/>
    <cellStyle name="Normal 2 14 5 3 5 2" xfId="21509"/>
    <cellStyle name="Normal 2 14 5 3 6" xfId="21510"/>
    <cellStyle name="Normal 2 14 5 3 7" xfId="21511"/>
    <cellStyle name="Normal 2 14 5 3 8" xfId="21512"/>
    <cellStyle name="Normal 2 14 5 3 9" xfId="21513"/>
    <cellStyle name="Normal 2 14 5 4" xfId="21514"/>
    <cellStyle name="Normal 2 14 5 4 2" xfId="21515"/>
    <cellStyle name="Normal 2 14 5 4 2 2" xfId="21516"/>
    <cellStyle name="Normal 2 14 5 4 2 3" xfId="21517"/>
    <cellStyle name="Normal 2 14 5 4 3" xfId="21518"/>
    <cellStyle name="Normal 2 14 5 4 4" xfId="21519"/>
    <cellStyle name="Normal 2 14 5 4 5" xfId="21520"/>
    <cellStyle name="Normal 2 14 5 4 6" xfId="21521"/>
    <cellStyle name="Normal 2 14 5 5" xfId="21522"/>
    <cellStyle name="Normal 2 14 5 5 2" xfId="21523"/>
    <cellStyle name="Normal 2 14 5 5 2 2" xfId="21524"/>
    <cellStyle name="Normal 2 14 5 5 3" xfId="21525"/>
    <cellStyle name="Normal 2 14 5 5 4" xfId="21526"/>
    <cellStyle name="Normal 2 14 5 5 5" xfId="21527"/>
    <cellStyle name="Normal 2 14 5 6" xfId="21528"/>
    <cellStyle name="Normal 2 14 5 6 2" xfId="21529"/>
    <cellStyle name="Normal 2 14 5 6 3" xfId="21530"/>
    <cellStyle name="Normal 2 14 5 6 4" xfId="21531"/>
    <cellStyle name="Normal 2 14 5 7" xfId="21532"/>
    <cellStyle name="Normal 2 14 5 7 2" xfId="21533"/>
    <cellStyle name="Normal 2 14 5 8" xfId="21534"/>
    <cellStyle name="Normal 2 14 5 9" xfId="21535"/>
    <cellStyle name="Normal 2 14 6" xfId="21536"/>
    <cellStyle name="Normal 2 14 6 10" xfId="21537"/>
    <cellStyle name="Normal 2 14 6 11" xfId="21538"/>
    <cellStyle name="Normal 2 14 6 2" xfId="21539"/>
    <cellStyle name="Normal 2 14 6 2 2" xfId="21540"/>
    <cellStyle name="Normal 2 14 6 2 2 2" xfId="21541"/>
    <cellStyle name="Normal 2 14 6 2 2 2 2" xfId="21542"/>
    <cellStyle name="Normal 2 14 6 2 2 2 3" xfId="21543"/>
    <cellStyle name="Normal 2 14 6 2 2 3" xfId="21544"/>
    <cellStyle name="Normal 2 14 6 2 2 4" xfId="21545"/>
    <cellStyle name="Normal 2 14 6 2 2 5" xfId="21546"/>
    <cellStyle name="Normal 2 14 6 2 2 6" xfId="21547"/>
    <cellStyle name="Normal 2 14 6 2 3" xfId="21548"/>
    <cellStyle name="Normal 2 14 6 2 3 2" xfId="21549"/>
    <cellStyle name="Normal 2 14 6 2 3 2 2" xfId="21550"/>
    <cellStyle name="Normal 2 14 6 2 3 3" xfId="21551"/>
    <cellStyle name="Normal 2 14 6 2 3 4" xfId="21552"/>
    <cellStyle name="Normal 2 14 6 2 3 5" xfId="21553"/>
    <cellStyle name="Normal 2 14 6 2 4" xfId="21554"/>
    <cellStyle name="Normal 2 14 6 2 4 2" xfId="21555"/>
    <cellStyle name="Normal 2 14 6 2 4 3" xfId="21556"/>
    <cellStyle name="Normal 2 14 6 2 4 4" xfId="21557"/>
    <cellStyle name="Normal 2 14 6 2 5" xfId="21558"/>
    <cellStyle name="Normal 2 14 6 2 5 2" xfId="21559"/>
    <cellStyle name="Normal 2 14 6 2 6" xfId="21560"/>
    <cellStyle name="Normal 2 14 6 2 7" xfId="21561"/>
    <cellStyle name="Normal 2 14 6 2 8" xfId="21562"/>
    <cellStyle name="Normal 2 14 6 2 9" xfId="21563"/>
    <cellStyle name="Normal 2 14 6 3" xfId="21564"/>
    <cellStyle name="Normal 2 14 6 3 2" xfId="21565"/>
    <cellStyle name="Normal 2 14 6 3 2 2" xfId="21566"/>
    <cellStyle name="Normal 2 14 6 3 2 2 2" xfId="21567"/>
    <cellStyle name="Normal 2 14 6 3 2 2 3" xfId="21568"/>
    <cellStyle name="Normal 2 14 6 3 2 3" xfId="21569"/>
    <cellStyle name="Normal 2 14 6 3 2 4" xfId="21570"/>
    <cellStyle name="Normal 2 14 6 3 2 5" xfId="21571"/>
    <cellStyle name="Normal 2 14 6 3 2 6" xfId="21572"/>
    <cellStyle name="Normal 2 14 6 3 3" xfId="21573"/>
    <cellStyle name="Normal 2 14 6 3 3 2" xfId="21574"/>
    <cellStyle name="Normal 2 14 6 3 3 2 2" xfId="21575"/>
    <cellStyle name="Normal 2 14 6 3 3 3" xfId="21576"/>
    <cellStyle name="Normal 2 14 6 3 3 4" xfId="21577"/>
    <cellStyle name="Normal 2 14 6 3 3 5" xfId="21578"/>
    <cellStyle name="Normal 2 14 6 3 4" xfId="21579"/>
    <cellStyle name="Normal 2 14 6 3 4 2" xfId="21580"/>
    <cellStyle name="Normal 2 14 6 3 4 3" xfId="21581"/>
    <cellStyle name="Normal 2 14 6 3 4 4" xfId="21582"/>
    <cellStyle name="Normal 2 14 6 3 5" xfId="21583"/>
    <cellStyle name="Normal 2 14 6 3 5 2" xfId="21584"/>
    <cellStyle name="Normal 2 14 6 3 6" xfId="21585"/>
    <cellStyle name="Normal 2 14 6 3 7" xfId="21586"/>
    <cellStyle name="Normal 2 14 6 3 8" xfId="21587"/>
    <cellStyle name="Normal 2 14 6 3 9" xfId="21588"/>
    <cellStyle name="Normal 2 14 6 4" xfId="21589"/>
    <cellStyle name="Normal 2 14 6 4 2" xfId="21590"/>
    <cellStyle name="Normal 2 14 6 4 2 2" xfId="21591"/>
    <cellStyle name="Normal 2 14 6 4 2 3" xfId="21592"/>
    <cellStyle name="Normal 2 14 6 4 3" xfId="21593"/>
    <cellStyle name="Normal 2 14 6 4 4" xfId="21594"/>
    <cellStyle name="Normal 2 14 6 4 5" xfId="21595"/>
    <cellStyle name="Normal 2 14 6 4 6" xfId="21596"/>
    <cellStyle name="Normal 2 14 6 5" xfId="21597"/>
    <cellStyle name="Normal 2 14 6 5 2" xfId="21598"/>
    <cellStyle name="Normal 2 14 6 5 2 2" xfId="21599"/>
    <cellStyle name="Normal 2 14 6 5 3" xfId="21600"/>
    <cellStyle name="Normal 2 14 6 5 4" xfId="21601"/>
    <cellStyle name="Normal 2 14 6 5 5" xfId="21602"/>
    <cellStyle name="Normal 2 14 6 6" xfId="21603"/>
    <cellStyle name="Normal 2 14 6 6 2" xfId="21604"/>
    <cellStyle name="Normal 2 14 6 6 3" xfId="21605"/>
    <cellStyle name="Normal 2 14 6 6 4" xfId="21606"/>
    <cellStyle name="Normal 2 14 6 7" xfId="21607"/>
    <cellStyle name="Normal 2 14 6 7 2" xfId="21608"/>
    <cellStyle name="Normal 2 14 6 8" xfId="21609"/>
    <cellStyle name="Normal 2 14 6 9" xfId="21610"/>
    <cellStyle name="Normal 2 14 7" xfId="21611"/>
    <cellStyle name="Normal 2 14 7 10" xfId="21612"/>
    <cellStyle name="Normal 2 14 7 11" xfId="21613"/>
    <cellStyle name="Normal 2 14 7 2" xfId="21614"/>
    <cellStyle name="Normal 2 14 7 2 2" xfId="21615"/>
    <cellStyle name="Normal 2 14 7 2 2 2" xfId="21616"/>
    <cellStyle name="Normal 2 14 7 2 2 2 2" xfId="21617"/>
    <cellStyle name="Normal 2 14 7 2 2 2 3" xfId="21618"/>
    <cellStyle name="Normal 2 14 7 2 2 3" xfId="21619"/>
    <cellStyle name="Normal 2 14 7 2 2 4" xfId="21620"/>
    <cellStyle name="Normal 2 14 7 2 2 5" xfId="21621"/>
    <cellStyle name="Normal 2 14 7 2 2 6" xfId="21622"/>
    <cellStyle name="Normal 2 14 7 2 3" xfId="21623"/>
    <cellStyle name="Normal 2 14 7 2 3 2" xfId="21624"/>
    <cellStyle name="Normal 2 14 7 2 3 2 2" xfId="21625"/>
    <cellStyle name="Normal 2 14 7 2 3 3" xfId="21626"/>
    <cellStyle name="Normal 2 14 7 2 3 4" xfId="21627"/>
    <cellStyle name="Normal 2 14 7 2 3 5" xfId="21628"/>
    <cellStyle name="Normal 2 14 7 2 4" xfId="21629"/>
    <cellStyle name="Normal 2 14 7 2 4 2" xfId="21630"/>
    <cellStyle name="Normal 2 14 7 2 4 3" xfId="21631"/>
    <cellStyle name="Normal 2 14 7 2 4 4" xfId="21632"/>
    <cellStyle name="Normal 2 14 7 2 5" xfId="21633"/>
    <cellStyle name="Normal 2 14 7 2 5 2" xfId="21634"/>
    <cellStyle name="Normal 2 14 7 2 6" xfId="21635"/>
    <cellStyle name="Normal 2 14 7 2 7" xfId="21636"/>
    <cellStyle name="Normal 2 14 7 2 8" xfId="21637"/>
    <cellStyle name="Normal 2 14 7 2 9" xfId="21638"/>
    <cellStyle name="Normal 2 14 7 3" xfId="21639"/>
    <cellStyle name="Normal 2 14 7 3 2" xfId="21640"/>
    <cellStyle name="Normal 2 14 7 3 2 2" xfId="21641"/>
    <cellStyle name="Normal 2 14 7 3 2 2 2" xfId="21642"/>
    <cellStyle name="Normal 2 14 7 3 2 2 3" xfId="21643"/>
    <cellStyle name="Normal 2 14 7 3 2 3" xfId="21644"/>
    <cellStyle name="Normal 2 14 7 3 2 4" xfId="21645"/>
    <cellStyle name="Normal 2 14 7 3 2 5" xfId="21646"/>
    <cellStyle name="Normal 2 14 7 3 2 6" xfId="21647"/>
    <cellStyle name="Normal 2 14 7 3 3" xfId="21648"/>
    <cellStyle name="Normal 2 14 7 3 3 2" xfId="21649"/>
    <cellStyle name="Normal 2 14 7 3 3 2 2" xfId="21650"/>
    <cellStyle name="Normal 2 14 7 3 3 3" xfId="21651"/>
    <cellStyle name="Normal 2 14 7 3 3 4" xfId="21652"/>
    <cellStyle name="Normal 2 14 7 3 3 5" xfId="21653"/>
    <cellStyle name="Normal 2 14 7 3 4" xfId="21654"/>
    <cellStyle name="Normal 2 14 7 3 4 2" xfId="21655"/>
    <cellStyle name="Normal 2 14 7 3 4 3" xfId="21656"/>
    <cellStyle name="Normal 2 14 7 3 4 4" xfId="21657"/>
    <cellStyle name="Normal 2 14 7 3 5" xfId="21658"/>
    <cellStyle name="Normal 2 14 7 3 5 2" xfId="21659"/>
    <cellStyle name="Normal 2 14 7 3 6" xfId="21660"/>
    <cellStyle name="Normal 2 14 7 3 7" xfId="21661"/>
    <cellStyle name="Normal 2 14 7 3 8" xfId="21662"/>
    <cellStyle name="Normal 2 14 7 3 9" xfId="21663"/>
    <cellStyle name="Normal 2 14 7 4" xfId="21664"/>
    <cellStyle name="Normal 2 14 7 4 2" xfId="21665"/>
    <cellStyle name="Normal 2 14 7 4 2 2" xfId="21666"/>
    <cellStyle name="Normal 2 14 7 4 2 3" xfId="21667"/>
    <cellStyle name="Normal 2 14 7 4 3" xfId="21668"/>
    <cellStyle name="Normal 2 14 7 4 4" xfId="21669"/>
    <cellStyle name="Normal 2 14 7 4 5" xfId="21670"/>
    <cellStyle name="Normal 2 14 7 4 6" xfId="21671"/>
    <cellStyle name="Normal 2 14 7 5" xfId="21672"/>
    <cellStyle name="Normal 2 14 7 5 2" xfId="21673"/>
    <cellStyle name="Normal 2 14 7 5 2 2" xfId="21674"/>
    <cellStyle name="Normal 2 14 7 5 3" xfId="21675"/>
    <cellStyle name="Normal 2 14 7 5 4" xfId="21676"/>
    <cellStyle name="Normal 2 14 7 5 5" xfId="21677"/>
    <cellStyle name="Normal 2 14 7 6" xfId="21678"/>
    <cellStyle name="Normal 2 14 7 6 2" xfId="21679"/>
    <cellStyle name="Normal 2 14 7 6 3" xfId="21680"/>
    <cellStyle name="Normal 2 14 7 6 4" xfId="21681"/>
    <cellStyle name="Normal 2 14 7 7" xfId="21682"/>
    <cellStyle name="Normal 2 14 7 7 2" xfId="21683"/>
    <cellStyle name="Normal 2 14 7 8" xfId="21684"/>
    <cellStyle name="Normal 2 14 7 9" xfId="21685"/>
    <cellStyle name="Normal 2 14 8" xfId="21686"/>
    <cellStyle name="Normal 2 14 8 10" xfId="21687"/>
    <cellStyle name="Normal 2 14 8 2" xfId="21688"/>
    <cellStyle name="Normal 2 14 8 2 2" xfId="21689"/>
    <cellStyle name="Normal 2 14 8 2 2 2" xfId="21690"/>
    <cellStyle name="Normal 2 14 8 2 2 3" xfId="21691"/>
    <cellStyle name="Normal 2 14 8 2 3" xfId="21692"/>
    <cellStyle name="Normal 2 14 8 2 4" xfId="21693"/>
    <cellStyle name="Normal 2 14 8 2 5" xfId="21694"/>
    <cellStyle name="Normal 2 14 8 2 6" xfId="21695"/>
    <cellStyle name="Normal 2 14 8 3" xfId="21696"/>
    <cellStyle name="Normal 2 14 8 3 2" xfId="21697"/>
    <cellStyle name="Normal 2 14 8 3 2 2" xfId="21698"/>
    <cellStyle name="Normal 2 14 8 3 2 3" xfId="21699"/>
    <cellStyle name="Normal 2 14 8 3 3" xfId="21700"/>
    <cellStyle name="Normal 2 14 8 3 4" xfId="21701"/>
    <cellStyle name="Normal 2 14 8 3 5" xfId="21702"/>
    <cellStyle name="Normal 2 14 8 3 6" xfId="21703"/>
    <cellStyle name="Normal 2 14 8 4" xfId="21704"/>
    <cellStyle name="Normal 2 14 8 4 2" xfId="21705"/>
    <cellStyle name="Normal 2 14 8 4 2 2" xfId="21706"/>
    <cellStyle name="Normal 2 14 8 4 3" xfId="21707"/>
    <cellStyle name="Normal 2 14 8 4 4" xfId="21708"/>
    <cellStyle name="Normal 2 14 8 4 5" xfId="21709"/>
    <cellStyle name="Normal 2 14 8 5" xfId="21710"/>
    <cellStyle name="Normal 2 14 8 5 2" xfId="21711"/>
    <cellStyle name="Normal 2 14 8 5 3" xfId="21712"/>
    <cellStyle name="Normal 2 14 8 5 4" xfId="21713"/>
    <cellStyle name="Normal 2 14 8 6" xfId="21714"/>
    <cellStyle name="Normal 2 14 8 6 2" xfId="21715"/>
    <cellStyle name="Normal 2 14 8 7" xfId="21716"/>
    <cellStyle name="Normal 2 14 8 8" xfId="21717"/>
    <cellStyle name="Normal 2 14 8 9" xfId="21718"/>
    <cellStyle name="Normal 2 14 9" xfId="21719"/>
    <cellStyle name="Normal 2 14 9 10" xfId="21720"/>
    <cellStyle name="Normal 2 14 9 2" xfId="21721"/>
    <cellStyle name="Normal 2 14 9 2 2" xfId="21722"/>
    <cellStyle name="Normal 2 14 9 2 2 2" xfId="21723"/>
    <cellStyle name="Normal 2 14 9 2 2 3" xfId="21724"/>
    <cellStyle name="Normal 2 14 9 2 3" xfId="21725"/>
    <cellStyle name="Normal 2 14 9 2 4" xfId="21726"/>
    <cellStyle name="Normal 2 14 9 2 5" xfId="21727"/>
    <cellStyle name="Normal 2 14 9 2 6" xfId="21728"/>
    <cellStyle name="Normal 2 14 9 3" xfId="21729"/>
    <cellStyle name="Normal 2 14 9 3 2" xfId="21730"/>
    <cellStyle name="Normal 2 14 9 3 2 2" xfId="21731"/>
    <cellStyle name="Normal 2 14 9 3 2 3" xfId="21732"/>
    <cellStyle name="Normal 2 14 9 3 3" xfId="21733"/>
    <cellStyle name="Normal 2 14 9 3 4" xfId="21734"/>
    <cellStyle name="Normal 2 14 9 3 5" xfId="21735"/>
    <cellStyle name="Normal 2 14 9 3 6" xfId="21736"/>
    <cellStyle name="Normal 2 14 9 4" xfId="21737"/>
    <cellStyle name="Normal 2 14 9 4 2" xfId="21738"/>
    <cellStyle name="Normal 2 14 9 4 2 2" xfId="21739"/>
    <cellStyle name="Normal 2 14 9 4 3" xfId="21740"/>
    <cellStyle name="Normal 2 14 9 4 4" xfId="21741"/>
    <cellStyle name="Normal 2 14 9 4 5" xfId="21742"/>
    <cellStyle name="Normal 2 14 9 5" xfId="21743"/>
    <cellStyle name="Normal 2 14 9 5 2" xfId="21744"/>
    <cellStyle name="Normal 2 14 9 5 3" xfId="21745"/>
    <cellStyle name="Normal 2 14 9 5 4" xfId="21746"/>
    <cellStyle name="Normal 2 14 9 6" xfId="21747"/>
    <cellStyle name="Normal 2 14 9 6 2" xfId="21748"/>
    <cellStyle name="Normal 2 14 9 7" xfId="21749"/>
    <cellStyle name="Normal 2 14 9 8" xfId="21750"/>
    <cellStyle name="Normal 2 14 9 9" xfId="21751"/>
    <cellStyle name="Normal 2 15" xfId="21752"/>
    <cellStyle name="Normal 2 15 10" xfId="21753"/>
    <cellStyle name="Normal 2 15 10 10" xfId="21754"/>
    <cellStyle name="Normal 2 15 10 2" xfId="21755"/>
    <cellStyle name="Normal 2 15 10 2 2" xfId="21756"/>
    <cellStyle name="Normal 2 15 10 2 2 2" xfId="21757"/>
    <cellStyle name="Normal 2 15 10 2 2 3" xfId="21758"/>
    <cellStyle name="Normal 2 15 10 2 3" xfId="21759"/>
    <cellStyle name="Normal 2 15 10 2 4" xfId="21760"/>
    <cellStyle name="Normal 2 15 10 2 5" xfId="21761"/>
    <cellStyle name="Normal 2 15 10 2 6" xfId="21762"/>
    <cellStyle name="Normal 2 15 10 3" xfId="21763"/>
    <cellStyle name="Normal 2 15 10 3 2" xfId="21764"/>
    <cellStyle name="Normal 2 15 10 3 2 2" xfId="21765"/>
    <cellStyle name="Normal 2 15 10 3 2 3" xfId="21766"/>
    <cellStyle name="Normal 2 15 10 3 3" xfId="21767"/>
    <cellStyle name="Normal 2 15 10 3 4" xfId="21768"/>
    <cellStyle name="Normal 2 15 10 3 5" xfId="21769"/>
    <cellStyle name="Normal 2 15 10 3 6" xfId="21770"/>
    <cellStyle name="Normal 2 15 10 4" xfId="21771"/>
    <cellStyle name="Normal 2 15 10 4 2" xfId="21772"/>
    <cellStyle name="Normal 2 15 10 4 2 2" xfId="21773"/>
    <cellStyle name="Normal 2 15 10 4 3" xfId="21774"/>
    <cellStyle name="Normal 2 15 10 4 4" xfId="21775"/>
    <cellStyle name="Normal 2 15 10 4 5" xfId="21776"/>
    <cellStyle name="Normal 2 15 10 5" xfId="21777"/>
    <cellStyle name="Normal 2 15 10 5 2" xfId="21778"/>
    <cellStyle name="Normal 2 15 10 5 3" xfId="21779"/>
    <cellStyle name="Normal 2 15 10 5 4" xfId="21780"/>
    <cellStyle name="Normal 2 15 10 6" xfId="21781"/>
    <cellStyle name="Normal 2 15 10 6 2" xfId="21782"/>
    <cellStyle name="Normal 2 15 10 7" xfId="21783"/>
    <cellStyle name="Normal 2 15 10 8" xfId="21784"/>
    <cellStyle name="Normal 2 15 10 9" xfId="21785"/>
    <cellStyle name="Normal 2 15 11" xfId="21786"/>
    <cellStyle name="Normal 2 15 11 10" xfId="21787"/>
    <cellStyle name="Normal 2 15 11 2" xfId="21788"/>
    <cellStyle name="Normal 2 15 11 2 2" xfId="21789"/>
    <cellStyle name="Normal 2 15 11 2 2 2" xfId="21790"/>
    <cellStyle name="Normal 2 15 11 2 2 3" xfId="21791"/>
    <cellStyle name="Normal 2 15 11 2 3" xfId="21792"/>
    <cellStyle name="Normal 2 15 11 2 4" xfId="21793"/>
    <cellStyle name="Normal 2 15 11 2 5" xfId="21794"/>
    <cellStyle name="Normal 2 15 11 2 6" xfId="21795"/>
    <cellStyle name="Normal 2 15 11 3" xfId="21796"/>
    <cellStyle name="Normal 2 15 11 3 2" xfId="21797"/>
    <cellStyle name="Normal 2 15 11 3 2 2" xfId="21798"/>
    <cellStyle name="Normal 2 15 11 3 2 3" xfId="21799"/>
    <cellStyle name="Normal 2 15 11 3 3" xfId="21800"/>
    <cellStyle name="Normal 2 15 11 3 4" xfId="21801"/>
    <cellStyle name="Normal 2 15 11 3 5" xfId="21802"/>
    <cellStyle name="Normal 2 15 11 3 6" xfId="21803"/>
    <cellStyle name="Normal 2 15 11 4" xfId="21804"/>
    <cellStyle name="Normal 2 15 11 4 2" xfId="21805"/>
    <cellStyle name="Normal 2 15 11 4 2 2" xfId="21806"/>
    <cellStyle name="Normal 2 15 11 4 3" xfId="21807"/>
    <cellStyle name="Normal 2 15 11 4 4" xfId="21808"/>
    <cellStyle name="Normal 2 15 11 4 5" xfId="21809"/>
    <cellStyle name="Normal 2 15 11 5" xfId="21810"/>
    <cellStyle name="Normal 2 15 11 5 2" xfId="21811"/>
    <cellStyle name="Normal 2 15 11 5 3" xfId="21812"/>
    <cellStyle name="Normal 2 15 11 5 4" xfId="21813"/>
    <cellStyle name="Normal 2 15 11 6" xfId="21814"/>
    <cellStyle name="Normal 2 15 11 6 2" xfId="21815"/>
    <cellStyle name="Normal 2 15 11 7" xfId="21816"/>
    <cellStyle name="Normal 2 15 11 8" xfId="21817"/>
    <cellStyle name="Normal 2 15 11 9" xfId="21818"/>
    <cellStyle name="Normal 2 15 12" xfId="21819"/>
    <cellStyle name="Normal 2 15 12 10" xfId="21820"/>
    <cellStyle name="Normal 2 15 12 2" xfId="21821"/>
    <cellStyle name="Normal 2 15 12 2 2" xfId="21822"/>
    <cellStyle name="Normal 2 15 12 2 2 2" xfId="21823"/>
    <cellStyle name="Normal 2 15 12 2 2 3" xfId="21824"/>
    <cellStyle name="Normal 2 15 12 2 3" xfId="21825"/>
    <cellStyle name="Normal 2 15 12 2 4" xfId="21826"/>
    <cellStyle name="Normal 2 15 12 2 5" xfId="21827"/>
    <cellStyle name="Normal 2 15 12 2 6" xfId="21828"/>
    <cellStyle name="Normal 2 15 12 3" xfId="21829"/>
    <cellStyle name="Normal 2 15 12 3 2" xfId="21830"/>
    <cellStyle name="Normal 2 15 12 3 2 2" xfId="21831"/>
    <cellStyle name="Normal 2 15 12 3 2 3" xfId="21832"/>
    <cellStyle name="Normal 2 15 12 3 3" xfId="21833"/>
    <cellStyle name="Normal 2 15 12 3 4" xfId="21834"/>
    <cellStyle name="Normal 2 15 12 3 5" xfId="21835"/>
    <cellStyle name="Normal 2 15 12 3 6" xfId="21836"/>
    <cellStyle name="Normal 2 15 12 4" xfId="21837"/>
    <cellStyle name="Normal 2 15 12 4 2" xfId="21838"/>
    <cellStyle name="Normal 2 15 12 4 2 2" xfId="21839"/>
    <cellStyle name="Normal 2 15 12 4 3" xfId="21840"/>
    <cellStyle name="Normal 2 15 12 4 4" xfId="21841"/>
    <cellStyle name="Normal 2 15 12 4 5" xfId="21842"/>
    <cellStyle name="Normal 2 15 12 5" xfId="21843"/>
    <cellStyle name="Normal 2 15 12 5 2" xfId="21844"/>
    <cellStyle name="Normal 2 15 12 5 3" xfId="21845"/>
    <cellStyle name="Normal 2 15 12 5 4" xfId="21846"/>
    <cellStyle name="Normal 2 15 12 6" xfId="21847"/>
    <cellStyle name="Normal 2 15 12 6 2" xfId="21848"/>
    <cellStyle name="Normal 2 15 12 7" xfId="21849"/>
    <cellStyle name="Normal 2 15 12 8" xfId="21850"/>
    <cellStyle name="Normal 2 15 12 9" xfId="21851"/>
    <cellStyle name="Normal 2 15 13" xfId="21852"/>
    <cellStyle name="Normal 2 15 13 2" xfId="21853"/>
    <cellStyle name="Normal 2 15 13 2 2" xfId="21854"/>
    <cellStyle name="Normal 2 15 13 2 2 2" xfId="21855"/>
    <cellStyle name="Normal 2 15 13 2 2 3" xfId="21856"/>
    <cellStyle name="Normal 2 15 13 2 3" xfId="21857"/>
    <cellStyle name="Normal 2 15 13 2 4" xfId="21858"/>
    <cellStyle name="Normal 2 15 13 2 5" xfId="21859"/>
    <cellStyle name="Normal 2 15 13 2 6" xfId="21860"/>
    <cellStyle name="Normal 2 15 13 3" xfId="21861"/>
    <cellStyle name="Normal 2 15 13 3 2" xfId="21862"/>
    <cellStyle name="Normal 2 15 13 3 2 2" xfId="21863"/>
    <cellStyle name="Normal 2 15 13 3 3" xfId="21864"/>
    <cellStyle name="Normal 2 15 13 3 4" xfId="21865"/>
    <cellStyle name="Normal 2 15 13 3 5" xfId="21866"/>
    <cellStyle name="Normal 2 15 13 4" xfId="21867"/>
    <cellStyle name="Normal 2 15 13 4 2" xfId="21868"/>
    <cellStyle name="Normal 2 15 13 4 3" xfId="21869"/>
    <cellStyle name="Normal 2 15 13 4 4" xfId="21870"/>
    <cellStyle name="Normal 2 15 13 5" xfId="21871"/>
    <cellStyle name="Normal 2 15 13 5 2" xfId="21872"/>
    <cellStyle name="Normal 2 15 13 6" xfId="21873"/>
    <cellStyle name="Normal 2 15 13 7" xfId="21874"/>
    <cellStyle name="Normal 2 15 13 8" xfId="21875"/>
    <cellStyle name="Normal 2 15 13 9" xfId="21876"/>
    <cellStyle name="Normal 2 15 14" xfId="21877"/>
    <cellStyle name="Normal 2 15 14 2" xfId="21878"/>
    <cellStyle name="Normal 2 15 14 2 2" xfId="21879"/>
    <cellStyle name="Normal 2 15 14 2 2 2" xfId="21880"/>
    <cellStyle name="Normal 2 15 14 2 2 3" xfId="21881"/>
    <cellStyle name="Normal 2 15 14 2 3" xfId="21882"/>
    <cellStyle name="Normal 2 15 14 2 4" xfId="21883"/>
    <cellStyle name="Normal 2 15 14 2 5" xfId="21884"/>
    <cellStyle name="Normal 2 15 14 2 6" xfId="21885"/>
    <cellStyle name="Normal 2 15 14 3" xfId="21886"/>
    <cellStyle name="Normal 2 15 14 3 2" xfId="21887"/>
    <cellStyle name="Normal 2 15 14 3 2 2" xfId="21888"/>
    <cellStyle name="Normal 2 15 14 3 3" xfId="21889"/>
    <cellStyle name="Normal 2 15 14 3 4" xfId="21890"/>
    <cellStyle name="Normal 2 15 14 3 5" xfId="21891"/>
    <cellStyle name="Normal 2 15 14 4" xfId="21892"/>
    <cellStyle name="Normal 2 15 14 4 2" xfId="21893"/>
    <cellStyle name="Normal 2 15 14 4 3" xfId="21894"/>
    <cellStyle name="Normal 2 15 14 4 4" xfId="21895"/>
    <cellStyle name="Normal 2 15 14 5" xfId="21896"/>
    <cellStyle name="Normal 2 15 14 5 2" xfId="21897"/>
    <cellStyle name="Normal 2 15 14 6" xfId="21898"/>
    <cellStyle name="Normal 2 15 14 7" xfId="21899"/>
    <cellStyle name="Normal 2 15 14 8" xfId="21900"/>
    <cellStyle name="Normal 2 15 14 9" xfId="21901"/>
    <cellStyle name="Normal 2 15 15" xfId="21902"/>
    <cellStyle name="Normal 2 15 15 2" xfId="21903"/>
    <cellStyle name="Normal 2 15 15 2 2" xfId="21904"/>
    <cellStyle name="Normal 2 15 15 2 3" xfId="21905"/>
    <cellStyle name="Normal 2 15 15 3" xfId="21906"/>
    <cellStyle name="Normal 2 15 15 4" xfId="21907"/>
    <cellStyle name="Normal 2 15 15 5" xfId="21908"/>
    <cellStyle name="Normal 2 15 15 6" xfId="21909"/>
    <cellStyle name="Normal 2 15 16" xfId="21910"/>
    <cellStyle name="Normal 2 15 16 2" xfId="21911"/>
    <cellStyle name="Normal 2 15 16 2 2" xfId="21912"/>
    <cellStyle name="Normal 2 15 16 3" xfId="21913"/>
    <cellStyle name="Normal 2 15 16 4" xfId="21914"/>
    <cellStyle name="Normal 2 15 16 5" xfId="21915"/>
    <cellStyle name="Normal 2 15 17" xfId="21916"/>
    <cellStyle name="Normal 2 15 17 2" xfId="21917"/>
    <cellStyle name="Normal 2 15 17 2 2" xfId="21918"/>
    <cellStyle name="Normal 2 15 17 3" xfId="21919"/>
    <cellStyle name="Normal 2 15 17 4" xfId="21920"/>
    <cellStyle name="Normal 2 15 17 5" xfId="21921"/>
    <cellStyle name="Normal 2 15 18" xfId="21922"/>
    <cellStyle name="Normal 2 15 18 2" xfId="21923"/>
    <cellStyle name="Normal 2 15 19" xfId="21924"/>
    <cellStyle name="Normal 2 15 2" xfId="21925"/>
    <cellStyle name="Normal 2 15 2 10" xfId="21926"/>
    <cellStyle name="Normal 2 15 2 11" xfId="21927"/>
    <cellStyle name="Normal 2 15 2 2" xfId="21928"/>
    <cellStyle name="Normal 2 15 2 2 2" xfId="21929"/>
    <cellStyle name="Normal 2 15 2 2 2 2" xfId="21930"/>
    <cellStyle name="Normal 2 15 2 2 2 2 2" xfId="21931"/>
    <cellStyle name="Normal 2 15 2 2 2 2 3" xfId="21932"/>
    <cellStyle name="Normal 2 15 2 2 2 3" xfId="21933"/>
    <cellStyle name="Normal 2 15 2 2 2 4" xfId="21934"/>
    <cellStyle name="Normal 2 15 2 2 2 5" xfId="21935"/>
    <cellStyle name="Normal 2 15 2 2 2 6" xfId="21936"/>
    <cellStyle name="Normal 2 15 2 2 3" xfId="21937"/>
    <cellStyle name="Normal 2 15 2 2 3 2" xfId="21938"/>
    <cellStyle name="Normal 2 15 2 2 3 2 2" xfId="21939"/>
    <cellStyle name="Normal 2 15 2 2 3 3" xfId="21940"/>
    <cellStyle name="Normal 2 15 2 2 3 4" xfId="21941"/>
    <cellStyle name="Normal 2 15 2 2 3 5" xfId="21942"/>
    <cellStyle name="Normal 2 15 2 2 4" xfId="21943"/>
    <cellStyle name="Normal 2 15 2 2 4 2" xfId="21944"/>
    <cellStyle name="Normal 2 15 2 2 4 3" xfId="21945"/>
    <cellStyle name="Normal 2 15 2 2 4 4" xfId="21946"/>
    <cellStyle name="Normal 2 15 2 2 5" xfId="21947"/>
    <cellStyle name="Normal 2 15 2 2 5 2" xfId="21948"/>
    <cellStyle name="Normal 2 15 2 2 6" xfId="21949"/>
    <cellStyle name="Normal 2 15 2 2 7" xfId="21950"/>
    <cellStyle name="Normal 2 15 2 2 8" xfId="21951"/>
    <cellStyle name="Normal 2 15 2 2 9" xfId="21952"/>
    <cellStyle name="Normal 2 15 2 3" xfId="21953"/>
    <cellStyle name="Normal 2 15 2 3 2" xfId="21954"/>
    <cellStyle name="Normal 2 15 2 3 2 2" xfId="21955"/>
    <cellStyle name="Normal 2 15 2 3 2 2 2" xfId="21956"/>
    <cellStyle name="Normal 2 15 2 3 2 2 3" xfId="21957"/>
    <cellStyle name="Normal 2 15 2 3 2 3" xfId="21958"/>
    <cellStyle name="Normal 2 15 2 3 2 4" xfId="21959"/>
    <cellStyle name="Normal 2 15 2 3 2 5" xfId="21960"/>
    <cellStyle name="Normal 2 15 2 3 2 6" xfId="21961"/>
    <cellStyle name="Normal 2 15 2 3 3" xfId="21962"/>
    <cellStyle name="Normal 2 15 2 3 3 2" xfId="21963"/>
    <cellStyle name="Normal 2 15 2 3 3 2 2" xfId="21964"/>
    <cellStyle name="Normal 2 15 2 3 3 3" xfId="21965"/>
    <cellStyle name="Normal 2 15 2 3 3 4" xfId="21966"/>
    <cellStyle name="Normal 2 15 2 3 3 5" xfId="21967"/>
    <cellStyle name="Normal 2 15 2 3 4" xfId="21968"/>
    <cellStyle name="Normal 2 15 2 3 4 2" xfId="21969"/>
    <cellStyle name="Normal 2 15 2 3 4 3" xfId="21970"/>
    <cellStyle name="Normal 2 15 2 3 4 4" xfId="21971"/>
    <cellStyle name="Normal 2 15 2 3 5" xfId="21972"/>
    <cellStyle name="Normal 2 15 2 3 5 2" xfId="21973"/>
    <cellStyle name="Normal 2 15 2 3 6" xfId="21974"/>
    <cellStyle name="Normal 2 15 2 3 7" xfId="21975"/>
    <cellStyle name="Normal 2 15 2 3 8" xfId="21976"/>
    <cellStyle name="Normal 2 15 2 3 9" xfId="21977"/>
    <cellStyle name="Normal 2 15 2 4" xfId="21978"/>
    <cellStyle name="Normal 2 15 2 4 2" xfId="21979"/>
    <cellStyle name="Normal 2 15 2 4 2 2" xfId="21980"/>
    <cellStyle name="Normal 2 15 2 4 2 3" xfId="21981"/>
    <cellStyle name="Normal 2 15 2 4 3" xfId="21982"/>
    <cellStyle name="Normal 2 15 2 4 4" xfId="21983"/>
    <cellStyle name="Normal 2 15 2 4 5" xfId="21984"/>
    <cellStyle name="Normal 2 15 2 4 6" xfId="21985"/>
    <cellStyle name="Normal 2 15 2 5" xfId="21986"/>
    <cellStyle name="Normal 2 15 2 5 2" xfId="21987"/>
    <cellStyle name="Normal 2 15 2 5 2 2" xfId="21988"/>
    <cellStyle name="Normal 2 15 2 5 3" xfId="21989"/>
    <cellStyle name="Normal 2 15 2 5 4" xfId="21990"/>
    <cellStyle name="Normal 2 15 2 5 5" xfId="21991"/>
    <cellStyle name="Normal 2 15 2 6" xfId="21992"/>
    <cellStyle name="Normal 2 15 2 6 2" xfId="21993"/>
    <cellStyle name="Normal 2 15 2 6 3" xfId="21994"/>
    <cellStyle name="Normal 2 15 2 6 4" xfId="21995"/>
    <cellStyle name="Normal 2 15 2 7" xfId="21996"/>
    <cellStyle name="Normal 2 15 2 7 2" xfId="21997"/>
    <cellStyle name="Normal 2 15 2 8" xfId="21998"/>
    <cellStyle name="Normal 2 15 2 9" xfId="21999"/>
    <cellStyle name="Normal 2 15 20" xfId="22000"/>
    <cellStyle name="Normal 2 15 21" xfId="22001"/>
    <cellStyle name="Normal 2 15 22" xfId="22002"/>
    <cellStyle name="Normal 2 15 3" xfId="22003"/>
    <cellStyle name="Normal 2 15 3 10" xfId="22004"/>
    <cellStyle name="Normal 2 15 3 11" xfId="22005"/>
    <cellStyle name="Normal 2 15 3 2" xfId="22006"/>
    <cellStyle name="Normal 2 15 3 2 2" xfId="22007"/>
    <cellStyle name="Normal 2 15 3 2 2 2" xfId="22008"/>
    <cellStyle name="Normal 2 15 3 2 2 2 2" xfId="22009"/>
    <cellStyle name="Normal 2 15 3 2 2 2 3" xfId="22010"/>
    <cellStyle name="Normal 2 15 3 2 2 3" xfId="22011"/>
    <cellStyle name="Normal 2 15 3 2 2 4" xfId="22012"/>
    <cellStyle name="Normal 2 15 3 2 2 5" xfId="22013"/>
    <cellStyle name="Normal 2 15 3 2 2 6" xfId="22014"/>
    <cellStyle name="Normal 2 15 3 2 3" xfId="22015"/>
    <cellStyle name="Normal 2 15 3 2 3 2" xfId="22016"/>
    <cellStyle name="Normal 2 15 3 2 3 2 2" xfId="22017"/>
    <cellStyle name="Normal 2 15 3 2 3 3" xfId="22018"/>
    <cellStyle name="Normal 2 15 3 2 3 4" xfId="22019"/>
    <cellStyle name="Normal 2 15 3 2 3 5" xfId="22020"/>
    <cellStyle name="Normal 2 15 3 2 4" xfId="22021"/>
    <cellStyle name="Normal 2 15 3 2 4 2" xfId="22022"/>
    <cellStyle name="Normal 2 15 3 2 4 3" xfId="22023"/>
    <cellStyle name="Normal 2 15 3 2 4 4" xfId="22024"/>
    <cellStyle name="Normal 2 15 3 2 5" xfId="22025"/>
    <cellStyle name="Normal 2 15 3 2 5 2" xfId="22026"/>
    <cellStyle name="Normal 2 15 3 2 6" xfId="22027"/>
    <cellStyle name="Normal 2 15 3 2 7" xfId="22028"/>
    <cellStyle name="Normal 2 15 3 2 8" xfId="22029"/>
    <cellStyle name="Normal 2 15 3 2 9" xfId="22030"/>
    <cellStyle name="Normal 2 15 3 3" xfId="22031"/>
    <cellStyle name="Normal 2 15 3 3 2" xfId="22032"/>
    <cellStyle name="Normal 2 15 3 3 2 2" xfId="22033"/>
    <cellStyle name="Normal 2 15 3 3 2 2 2" xfId="22034"/>
    <cellStyle name="Normal 2 15 3 3 2 2 3" xfId="22035"/>
    <cellStyle name="Normal 2 15 3 3 2 3" xfId="22036"/>
    <cellStyle name="Normal 2 15 3 3 2 4" xfId="22037"/>
    <cellStyle name="Normal 2 15 3 3 2 5" xfId="22038"/>
    <cellStyle name="Normal 2 15 3 3 2 6" xfId="22039"/>
    <cellStyle name="Normal 2 15 3 3 3" xfId="22040"/>
    <cellStyle name="Normal 2 15 3 3 3 2" xfId="22041"/>
    <cellStyle name="Normal 2 15 3 3 3 2 2" xfId="22042"/>
    <cellStyle name="Normal 2 15 3 3 3 3" xfId="22043"/>
    <cellStyle name="Normal 2 15 3 3 3 4" xfId="22044"/>
    <cellStyle name="Normal 2 15 3 3 3 5" xfId="22045"/>
    <cellStyle name="Normal 2 15 3 3 4" xfId="22046"/>
    <cellStyle name="Normal 2 15 3 3 4 2" xfId="22047"/>
    <cellStyle name="Normal 2 15 3 3 4 3" xfId="22048"/>
    <cellStyle name="Normal 2 15 3 3 4 4" xfId="22049"/>
    <cellStyle name="Normal 2 15 3 3 5" xfId="22050"/>
    <cellStyle name="Normal 2 15 3 3 5 2" xfId="22051"/>
    <cellStyle name="Normal 2 15 3 3 6" xfId="22052"/>
    <cellStyle name="Normal 2 15 3 3 7" xfId="22053"/>
    <cellStyle name="Normal 2 15 3 3 8" xfId="22054"/>
    <cellStyle name="Normal 2 15 3 3 9" xfId="22055"/>
    <cellStyle name="Normal 2 15 3 4" xfId="22056"/>
    <cellStyle name="Normal 2 15 3 4 2" xfId="22057"/>
    <cellStyle name="Normal 2 15 3 4 2 2" xfId="22058"/>
    <cellStyle name="Normal 2 15 3 4 2 3" xfId="22059"/>
    <cellStyle name="Normal 2 15 3 4 3" xfId="22060"/>
    <cellStyle name="Normal 2 15 3 4 4" xfId="22061"/>
    <cellStyle name="Normal 2 15 3 4 5" xfId="22062"/>
    <cellStyle name="Normal 2 15 3 4 6" xfId="22063"/>
    <cellStyle name="Normal 2 15 3 5" xfId="22064"/>
    <cellStyle name="Normal 2 15 3 5 2" xfId="22065"/>
    <cellStyle name="Normal 2 15 3 5 2 2" xfId="22066"/>
    <cellStyle name="Normal 2 15 3 5 3" xfId="22067"/>
    <cellStyle name="Normal 2 15 3 5 4" xfId="22068"/>
    <cellStyle name="Normal 2 15 3 5 5" xfId="22069"/>
    <cellStyle name="Normal 2 15 3 6" xfId="22070"/>
    <cellStyle name="Normal 2 15 3 6 2" xfId="22071"/>
    <cellStyle name="Normal 2 15 3 6 3" xfId="22072"/>
    <cellStyle name="Normal 2 15 3 6 4" xfId="22073"/>
    <cellStyle name="Normal 2 15 3 7" xfId="22074"/>
    <cellStyle name="Normal 2 15 3 7 2" xfId="22075"/>
    <cellStyle name="Normal 2 15 3 8" xfId="22076"/>
    <cellStyle name="Normal 2 15 3 9" xfId="22077"/>
    <cellStyle name="Normal 2 15 4" xfId="22078"/>
    <cellStyle name="Normal 2 15 4 10" xfId="22079"/>
    <cellStyle name="Normal 2 15 4 11" xfId="22080"/>
    <cellStyle name="Normal 2 15 4 2" xfId="22081"/>
    <cellStyle name="Normal 2 15 4 2 2" xfId="22082"/>
    <cellStyle name="Normal 2 15 4 2 2 2" xfId="22083"/>
    <cellStyle name="Normal 2 15 4 2 2 2 2" xfId="22084"/>
    <cellStyle name="Normal 2 15 4 2 2 2 3" xfId="22085"/>
    <cellStyle name="Normal 2 15 4 2 2 3" xfId="22086"/>
    <cellStyle name="Normal 2 15 4 2 2 4" xfId="22087"/>
    <cellStyle name="Normal 2 15 4 2 2 5" xfId="22088"/>
    <cellStyle name="Normal 2 15 4 2 2 6" xfId="22089"/>
    <cellStyle name="Normal 2 15 4 2 3" xfId="22090"/>
    <cellStyle name="Normal 2 15 4 2 3 2" xfId="22091"/>
    <cellStyle name="Normal 2 15 4 2 3 2 2" xfId="22092"/>
    <cellStyle name="Normal 2 15 4 2 3 3" xfId="22093"/>
    <cellStyle name="Normal 2 15 4 2 3 4" xfId="22094"/>
    <cellStyle name="Normal 2 15 4 2 3 5" xfId="22095"/>
    <cellStyle name="Normal 2 15 4 2 4" xfId="22096"/>
    <cellStyle name="Normal 2 15 4 2 4 2" xfId="22097"/>
    <cellStyle name="Normal 2 15 4 2 4 3" xfId="22098"/>
    <cellStyle name="Normal 2 15 4 2 4 4" xfId="22099"/>
    <cellStyle name="Normal 2 15 4 2 5" xfId="22100"/>
    <cellStyle name="Normal 2 15 4 2 5 2" xfId="22101"/>
    <cellStyle name="Normal 2 15 4 2 6" xfId="22102"/>
    <cellStyle name="Normal 2 15 4 2 7" xfId="22103"/>
    <cellStyle name="Normal 2 15 4 2 8" xfId="22104"/>
    <cellStyle name="Normal 2 15 4 2 9" xfId="22105"/>
    <cellStyle name="Normal 2 15 4 3" xfId="22106"/>
    <cellStyle name="Normal 2 15 4 3 2" xfId="22107"/>
    <cellStyle name="Normal 2 15 4 3 2 2" xfId="22108"/>
    <cellStyle name="Normal 2 15 4 3 2 2 2" xfId="22109"/>
    <cellStyle name="Normal 2 15 4 3 2 2 3" xfId="22110"/>
    <cellStyle name="Normal 2 15 4 3 2 3" xfId="22111"/>
    <cellStyle name="Normal 2 15 4 3 2 4" xfId="22112"/>
    <cellStyle name="Normal 2 15 4 3 2 5" xfId="22113"/>
    <cellStyle name="Normal 2 15 4 3 2 6" xfId="22114"/>
    <cellStyle name="Normal 2 15 4 3 3" xfId="22115"/>
    <cellStyle name="Normal 2 15 4 3 3 2" xfId="22116"/>
    <cellStyle name="Normal 2 15 4 3 3 2 2" xfId="22117"/>
    <cellStyle name="Normal 2 15 4 3 3 3" xfId="22118"/>
    <cellStyle name="Normal 2 15 4 3 3 4" xfId="22119"/>
    <cellStyle name="Normal 2 15 4 3 3 5" xfId="22120"/>
    <cellStyle name="Normal 2 15 4 3 4" xfId="22121"/>
    <cellStyle name="Normal 2 15 4 3 4 2" xfId="22122"/>
    <cellStyle name="Normal 2 15 4 3 4 3" xfId="22123"/>
    <cellStyle name="Normal 2 15 4 3 4 4" xfId="22124"/>
    <cellStyle name="Normal 2 15 4 3 5" xfId="22125"/>
    <cellStyle name="Normal 2 15 4 3 5 2" xfId="22126"/>
    <cellStyle name="Normal 2 15 4 3 6" xfId="22127"/>
    <cellStyle name="Normal 2 15 4 3 7" xfId="22128"/>
    <cellStyle name="Normal 2 15 4 3 8" xfId="22129"/>
    <cellStyle name="Normal 2 15 4 3 9" xfId="22130"/>
    <cellStyle name="Normal 2 15 4 4" xfId="22131"/>
    <cellStyle name="Normal 2 15 4 4 2" xfId="22132"/>
    <cellStyle name="Normal 2 15 4 4 2 2" xfId="22133"/>
    <cellStyle name="Normal 2 15 4 4 2 3" xfId="22134"/>
    <cellStyle name="Normal 2 15 4 4 3" xfId="22135"/>
    <cellStyle name="Normal 2 15 4 4 4" xfId="22136"/>
    <cellStyle name="Normal 2 15 4 4 5" xfId="22137"/>
    <cellStyle name="Normal 2 15 4 4 6" xfId="22138"/>
    <cellStyle name="Normal 2 15 4 5" xfId="22139"/>
    <cellStyle name="Normal 2 15 4 5 2" xfId="22140"/>
    <cellStyle name="Normal 2 15 4 5 2 2" xfId="22141"/>
    <cellStyle name="Normal 2 15 4 5 3" xfId="22142"/>
    <cellStyle name="Normal 2 15 4 5 4" xfId="22143"/>
    <cellStyle name="Normal 2 15 4 5 5" xfId="22144"/>
    <cellStyle name="Normal 2 15 4 6" xfId="22145"/>
    <cellStyle name="Normal 2 15 4 6 2" xfId="22146"/>
    <cellStyle name="Normal 2 15 4 6 3" xfId="22147"/>
    <cellStyle name="Normal 2 15 4 6 4" xfId="22148"/>
    <cellStyle name="Normal 2 15 4 7" xfId="22149"/>
    <cellStyle name="Normal 2 15 4 7 2" xfId="22150"/>
    <cellStyle name="Normal 2 15 4 8" xfId="22151"/>
    <cellStyle name="Normal 2 15 4 9" xfId="22152"/>
    <cellStyle name="Normal 2 15 5" xfId="22153"/>
    <cellStyle name="Normal 2 15 5 10" xfId="22154"/>
    <cellStyle name="Normal 2 15 5 11" xfId="22155"/>
    <cellStyle name="Normal 2 15 5 2" xfId="22156"/>
    <cellStyle name="Normal 2 15 5 2 2" xfId="22157"/>
    <cellStyle name="Normal 2 15 5 2 2 2" xfId="22158"/>
    <cellStyle name="Normal 2 15 5 2 2 2 2" xfId="22159"/>
    <cellStyle name="Normal 2 15 5 2 2 2 3" xfId="22160"/>
    <cellStyle name="Normal 2 15 5 2 2 3" xfId="22161"/>
    <cellStyle name="Normal 2 15 5 2 2 4" xfId="22162"/>
    <cellStyle name="Normal 2 15 5 2 2 5" xfId="22163"/>
    <cellStyle name="Normal 2 15 5 2 2 6" xfId="22164"/>
    <cellStyle name="Normal 2 15 5 2 3" xfId="22165"/>
    <cellStyle name="Normal 2 15 5 2 3 2" xfId="22166"/>
    <cellStyle name="Normal 2 15 5 2 3 2 2" xfId="22167"/>
    <cellStyle name="Normal 2 15 5 2 3 3" xfId="22168"/>
    <cellStyle name="Normal 2 15 5 2 3 4" xfId="22169"/>
    <cellStyle name="Normal 2 15 5 2 3 5" xfId="22170"/>
    <cellStyle name="Normal 2 15 5 2 4" xfId="22171"/>
    <cellStyle name="Normal 2 15 5 2 4 2" xfId="22172"/>
    <cellStyle name="Normal 2 15 5 2 4 3" xfId="22173"/>
    <cellStyle name="Normal 2 15 5 2 4 4" xfId="22174"/>
    <cellStyle name="Normal 2 15 5 2 5" xfId="22175"/>
    <cellStyle name="Normal 2 15 5 2 5 2" xfId="22176"/>
    <cellStyle name="Normal 2 15 5 2 6" xfId="22177"/>
    <cellStyle name="Normal 2 15 5 2 7" xfId="22178"/>
    <cellStyle name="Normal 2 15 5 2 8" xfId="22179"/>
    <cellStyle name="Normal 2 15 5 2 9" xfId="22180"/>
    <cellStyle name="Normal 2 15 5 3" xfId="22181"/>
    <cellStyle name="Normal 2 15 5 3 2" xfId="22182"/>
    <cellStyle name="Normal 2 15 5 3 2 2" xfId="22183"/>
    <cellStyle name="Normal 2 15 5 3 2 2 2" xfId="22184"/>
    <cellStyle name="Normal 2 15 5 3 2 2 3" xfId="22185"/>
    <cellStyle name="Normal 2 15 5 3 2 3" xfId="22186"/>
    <cellStyle name="Normal 2 15 5 3 2 4" xfId="22187"/>
    <cellStyle name="Normal 2 15 5 3 2 5" xfId="22188"/>
    <cellStyle name="Normal 2 15 5 3 2 6" xfId="22189"/>
    <cellStyle name="Normal 2 15 5 3 3" xfId="22190"/>
    <cellStyle name="Normal 2 15 5 3 3 2" xfId="22191"/>
    <cellStyle name="Normal 2 15 5 3 3 2 2" xfId="22192"/>
    <cellStyle name="Normal 2 15 5 3 3 3" xfId="22193"/>
    <cellStyle name="Normal 2 15 5 3 3 4" xfId="22194"/>
    <cellStyle name="Normal 2 15 5 3 3 5" xfId="22195"/>
    <cellStyle name="Normal 2 15 5 3 4" xfId="22196"/>
    <cellStyle name="Normal 2 15 5 3 4 2" xfId="22197"/>
    <cellStyle name="Normal 2 15 5 3 4 3" xfId="22198"/>
    <cellStyle name="Normal 2 15 5 3 4 4" xfId="22199"/>
    <cellStyle name="Normal 2 15 5 3 5" xfId="22200"/>
    <cellStyle name="Normal 2 15 5 3 5 2" xfId="22201"/>
    <cellStyle name="Normal 2 15 5 3 6" xfId="22202"/>
    <cellStyle name="Normal 2 15 5 3 7" xfId="22203"/>
    <cellStyle name="Normal 2 15 5 3 8" xfId="22204"/>
    <cellStyle name="Normal 2 15 5 3 9" xfId="22205"/>
    <cellStyle name="Normal 2 15 5 4" xfId="22206"/>
    <cellStyle name="Normal 2 15 5 4 2" xfId="22207"/>
    <cellStyle name="Normal 2 15 5 4 2 2" xfId="22208"/>
    <cellStyle name="Normal 2 15 5 4 2 3" xfId="22209"/>
    <cellStyle name="Normal 2 15 5 4 3" xfId="22210"/>
    <cellStyle name="Normal 2 15 5 4 4" xfId="22211"/>
    <cellStyle name="Normal 2 15 5 4 5" xfId="22212"/>
    <cellStyle name="Normal 2 15 5 4 6" xfId="22213"/>
    <cellStyle name="Normal 2 15 5 5" xfId="22214"/>
    <cellStyle name="Normal 2 15 5 5 2" xfId="22215"/>
    <cellStyle name="Normal 2 15 5 5 2 2" xfId="22216"/>
    <cellStyle name="Normal 2 15 5 5 3" xfId="22217"/>
    <cellStyle name="Normal 2 15 5 5 4" xfId="22218"/>
    <cellStyle name="Normal 2 15 5 5 5" xfId="22219"/>
    <cellStyle name="Normal 2 15 5 6" xfId="22220"/>
    <cellStyle name="Normal 2 15 5 6 2" xfId="22221"/>
    <cellStyle name="Normal 2 15 5 6 3" xfId="22222"/>
    <cellStyle name="Normal 2 15 5 6 4" xfId="22223"/>
    <cellStyle name="Normal 2 15 5 7" xfId="22224"/>
    <cellStyle name="Normal 2 15 5 7 2" xfId="22225"/>
    <cellStyle name="Normal 2 15 5 8" xfId="22226"/>
    <cellStyle name="Normal 2 15 5 9" xfId="22227"/>
    <cellStyle name="Normal 2 15 6" xfId="22228"/>
    <cellStyle name="Normal 2 15 6 10" xfId="22229"/>
    <cellStyle name="Normal 2 15 6 11" xfId="22230"/>
    <cellStyle name="Normal 2 15 6 2" xfId="22231"/>
    <cellStyle name="Normal 2 15 6 2 2" xfId="22232"/>
    <cellStyle name="Normal 2 15 6 2 2 2" xfId="22233"/>
    <cellStyle name="Normal 2 15 6 2 2 2 2" xfId="22234"/>
    <cellStyle name="Normal 2 15 6 2 2 2 3" xfId="22235"/>
    <cellStyle name="Normal 2 15 6 2 2 3" xfId="22236"/>
    <cellStyle name="Normal 2 15 6 2 2 4" xfId="22237"/>
    <cellStyle name="Normal 2 15 6 2 2 5" xfId="22238"/>
    <cellStyle name="Normal 2 15 6 2 2 6" xfId="22239"/>
    <cellStyle name="Normal 2 15 6 2 3" xfId="22240"/>
    <cellStyle name="Normal 2 15 6 2 3 2" xfId="22241"/>
    <cellStyle name="Normal 2 15 6 2 3 2 2" xfId="22242"/>
    <cellStyle name="Normal 2 15 6 2 3 3" xfId="22243"/>
    <cellStyle name="Normal 2 15 6 2 3 4" xfId="22244"/>
    <cellStyle name="Normal 2 15 6 2 3 5" xfId="22245"/>
    <cellStyle name="Normal 2 15 6 2 4" xfId="22246"/>
    <cellStyle name="Normal 2 15 6 2 4 2" xfId="22247"/>
    <cellStyle name="Normal 2 15 6 2 4 3" xfId="22248"/>
    <cellStyle name="Normal 2 15 6 2 4 4" xfId="22249"/>
    <cellStyle name="Normal 2 15 6 2 5" xfId="22250"/>
    <cellStyle name="Normal 2 15 6 2 5 2" xfId="22251"/>
    <cellStyle name="Normal 2 15 6 2 6" xfId="22252"/>
    <cellStyle name="Normal 2 15 6 2 7" xfId="22253"/>
    <cellStyle name="Normal 2 15 6 2 8" xfId="22254"/>
    <cellStyle name="Normal 2 15 6 2 9" xfId="22255"/>
    <cellStyle name="Normal 2 15 6 3" xfId="22256"/>
    <cellStyle name="Normal 2 15 6 3 2" xfId="22257"/>
    <cellStyle name="Normal 2 15 6 3 2 2" xfId="22258"/>
    <cellStyle name="Normal 2 15 6 3 2 2 2" xfId="22259"/>
    <cellStyle name="Normal 2 15 6 3 2 2 3" xfId="22260"/>
    <cellStyle name="Normal 2 15 6 3 2 3" xfId="22261"/>
    <cellStyle name="Normal 2 15 6 3 2 4" xfId="22262"/>
    <cellStyle name="Normal 2 15 6 3 2 5" xfId="22263"/>
    <cellStyle name="Normal 2 15 6 3 2 6" xfId="22264"/>
    <cellStyle name="Normal 2 15 6 3 3" xfId="22265"/>
    <cellStyle name="Normal 2 15 6 3 3 2" xfId="22266"/>
    <cellStyle name="Normal 2 15 6 3 3 2 2" xfId="22267"/>
    <cellStyle name="Normal 2 15 6 3 3 3" xfId="22268"/>
    <cellStyle name="Normal 2 15 6 3 3 4" xfId="22269"/>
    <cellStyle name="Normal 2 15 6 3 3 5" xfId="22270"/>
    <cellStyle name="Normal 2 15 6 3 4" xfId="22271"/>
    <cellStyle name="Normal 2 15 6 3 4 2" xfId="22272"/>
    <cellStyle name="Normal 2 15 6 3 4 3" xfId="22273"/>
    <cellStyle name="Normal 2 15 6 3 4 4" xfId="22274"/>
    <cellStyle name="Normal 2 15 6 3 5" xfId="22275"/>
    <cellStyle name="Normal 2 15 6 3 5 2" xfId="22276"/>
    <cellStyle name="Normal 2 15 6 3 6" xfId="22277"/>
    <cellStyle name="Normal 2 15 6 3 7" xfId="22278"/>
    <cellStyle name="Normal 2 15 6 3 8" xfId="22279"/>
    <cellStyle name="Normal 2 15 6 3 9" xfId="22280"/>
    <cellStyle name="Normal 2 15 6 4" xfId="22281"/>
    <cellStyle name="Normal 2 15 6 4 2" xfId="22282"/>
    <cellStyle name="Normal 2 15 6 4 2 2" xfId="22283"/>
    <cellStyle name="Normal 2 15 6 4 2 3" xfId="22284"/>
    <cellStyle name="Normal 2 15 6 4 3" xfId="22285"/>
    <cellStyle name="Normal 2 15 6 4 4" xfId="22286"/>
    <cellStyle name="Normal 2 15 6 4 5" xfId="22287"/>
    <cellStyle name="Normal 2 15 6 4 6" xfId="22288"/>
    <cellStyle name="Normal 2 15 6 5" xfId="22289"/>
    <cellStyle name="Normal 2 15 6 5 2" xfId="22290"/>
    <cellStyle name="Normal 2 15 6 5 2 2" xfId="22291"/>
    <cellStyle name="Normal 2 15 6 5 3" xfId="22292"/>
    <cellStyle name="Normal 2 15 6 5 4" xfId="22293"/>
    <cellStyle name="Normal 2 15 6 5 5" xfId="22294"/>
    <cellStyle name="Normal 2 15 6 6" xfId="22295"/>
    <cellStyle name="Normal 2 15 6 6 2" xfId="22296"/>
    <cellStyle name="Normal 2 15 6 6 3" xfId="22297"/>
    <cellStyle name="Normal 2 15 6 6 4" xfId="22298"/>
    <cellStyle name="Normal 2 15 6 7" xfId="22299"/>
    <cellStyle name="Normal 2 15 6 7 2" xfId="22300"/>
    <cellStyle name="Normal 2 15 6 8" xfId="22301"/>
    <cellStyle name="Normal 2 15 6 9" xfId="22302"/>
    <cellStyle name="Normal 2 15 7" xfId="22303"/>
    <cellStyle name="Normal 2 15 7 10" xfId="22304"/>
    <cellStyle name="Normal 2 15 7 11" xfId="22305"/>
    <cellStyle name="Normal 2 15 7 2" xfId="22306"/>
    <cellStyle name="Normal 2 15 7 2 2" xfId="22307"/>
    <cellStyle name="Normal 2 15 7 2 2 2" xfId="22308"/>
    <cellStyle name="Normal 2 15 7 2 2 2 2" xfId="22309"/>
    <cellStyle name="Normal 2 15 7 2 2 2 3" xfId="22310"/>
    <cellStyle name="Normal 2 15 7 2 2 3" xfId="22311"/>
    <cellStyle name="Normal 2 15 7 2 2 4" xfId="22312"/>
    <cellStyle name="Normal 2 15 7 2 2 5" xfId="22313"/>
    <cellStyle name="Normal 2 15 7 2 2 6" xfId="22314"/>
    <cellStyle name="Normal 2 15 7 2 3" xfId="22315"/>
    <cellStyle name="Normal 2 15 7 2 3 2" xfId="22316"/>
    <cellStyle name="Normal 2 15 7 2 3 2 2" xfId="22317"/>
    <cellStyle name="Normal 2 15 7 2 3 3" xfId="22318"/>
    <cellStyle name="Normal 2 15 7 2 3 4" xfId="22319"/>
    <cellStyle name="Normal 2 15 7 2 3 5" xfId="22320"/>
    <cellStyle name="Normal 2 15 7 2 4" xfId="22321"/>
    <cellStyle name="Normal 2 15 7 2 4 2" xfId="22322"/>
    <cellStyle name="Normal 2 15 7 2 4 3" xfId="22323"/>
    <cellStyle name="Normal 2 15 7 2 4 4" xfId="22324"/>
    <cellStyle name="Normal 2 15 7 2 5" xfId="22325"/>
    <cellStyle name="Normal 2 15 7 2 5 2" xfId="22326"/>
    <cellStyle name="Normal 2 15 7 2 6" xfId="22327"/>
    <cellStyle name="Normal 2 15 7 2 7" xfId="22328"/>
    <cellStyle name="Normal 2 15 7 2 8" xfId="22329"/>
    <cellStyle name="Normal 2 15 7 2 9" xfId="22330"/>
    <cellStyle name="Normal 2 15 7 3" xfId="22331"/>
    <cellStyle name="Normal 2 15 7 3 2" xfId="22332"/>
    <cellStyle name="Normal 2 15 7 3 2 2" xfId="22333"/>
    <cellStyle name="Normal 2 15 7 3 2 2 2" xfId="22334"/>
    <cellStyle name="Normal 2 15 7 3 2 2 3" xfId="22335"/>
    <cellStyle name="Normal 2 15 7 3 2 3" xfId="22336"/>
    <cellStyle name="Normal 2 15 7 3 2 4" xfId="22337"/>
    <cellStyle name="Normal 2 15 7 3 2 5" xfId="22338"/>
    <cellStyle name="Normal 2 15 7 3 2 6" xfId="22339"/>
    <cellStyle name="Normal 2 15 7 3 3" xfId="22340"/>
    <cellStyle name="Normal 2 15 7 3 3 2" xfId="22341"/>
    <cellStyle name="Normal 2 15 7 3 3 2 2" xfId="22342"/>
    <cellStyle name="Normal 2 15 7 3 3 3" xfId="22343"/>
    <cellStyle name="Normal 2 15 7 3 3 4" xfId="22344"/>
    <cellStyle name="Normal 2 15 7 3 3 5" xfId="22345"/>
    <cellStyle name="Normal 2 15 7 3 4" xfId="22346"/>
    <cellStyle name="Normal 2 15 7 3 4 2" xfId="22347"/>
    <cellStyle name="Normal 2 15 7 3 4 3" xfId="22348"/>
    <cellStyle name="Normal 2 15 7 3 4 4" xfId="22349"/>
    <cellStyle name="Normal 2 15 7 3 5" xfId="22350"/>
    <cellStyle name="Normal 2 15 7 3 5 2" xfId="22351"/>
    <cellStyle name="Normal 2 15 7 3 6" xfId="22352"/>
    <cellStyle name="Normal 2 15 7 3 7" xfId="22353"/>
    <cellStyle name="Normal 2 15 7 3 8" xfId="22354"/>
    <cellStyle name="Normal 2 15 7 3 9" xfId="22355"/>
    <cellStyle name="Normal 2 15 7 4" xfId="22356"/>
    <cellStyle name="Normal 2 15 7 4 2" xfId="22357"/>
    <cellStyle name="Normal 2 15 7 4 2 2" xfId="22358"/>
    <cellStyle name="Normal 2 15 7 4 2 3" xfId="22359"/>
    <cellStyle name="Normal 2 15 7 4 3" xfId="22360"/>
    <cellStyle name="Normal 2 15 7 4 4" xfId="22361"/>
    <cellStyle name="Normal 2 15 7 4 5" xfId="22362"/>
    <cellStyle name="Normal 2 15 7 4 6" xfId="22363"/>
    <cellStyle name="Normal 2 15 7 5" xfId="22364"/>
    <cellStyle name="Normal 2 15 7 5 2" xfId="22365"/>
    <cellStyle name="Normal 2 15 7 5 2 2" xfId="22366"/>
    <cellStyle name="Normal 2 15 7 5 3" xfId="22367"/>
    <cellStyle name="Normal 2 15 7 5 4" xfId="22368"/>
    <cellStyle name="Normal 2 15 7 5 5" xfId="22369"/>
    <cellStyle name="Normal 2 15 7 6" xfId="22370"/>
    <cellStyle name="Normal 2 15 7 6 2" xfId="22371"/>
    <cellStyle name="Normal 2 15 7 6 3" xfId="22372"/>
    <cellStyle name="Normal 2 15 7 6 4" xfId="22373"/>
    <cellStyle name="Normal 2 15 7 7" xfId="22374"/>
    <cellStyle name="Normal 2 15 7 7 2" xfId="22375"/>
    <cellStyle name="Normal 2 15 7 8" xfId="22376"/>
    <cellStyle name="Normal 2 15 7 9" xfId="22377"/>
    <cellStyle name="Normal 2 15 8" xfId="22378"/>
    <cellStyle name="Normal 2 15 8 10" xfId="22379"/>
    <cellStyle name="Normal 2 15 8 2" xfId="22380"/>
    <cellStyle name="Normal 2 15 8 2 2" xfId="22381"/>
    <cellStyle name="Normal 2 15 8 2 2 2" xfId="22382"/>
    <cellStyle name="Normal 2 15 8 2 2 3" xfId="22383"/>
    <cellStyle name="Normal 2 15 8 2 3" xfId="22384"/>
    <cellStyle name="Normal 2 15 8 2 4" xfId="22385"/>
    <cellStyle name="Normal 2 15 8 2 5" xfId="22386"/>
    <cellStyle name="Normal 2 15 8 2 6" xfId="22387"/>
    <cellStyle name="Normal 2 15 8 3" xfId="22388"/>
    <cellStyle name="Normal 2 15 8 3 2" xfId="22389"/>
    <cellStyle name="Normal 2 15 8 3 2 2" xfId="22390"/>
    <cellStyle name="Normal 2 15 8 3 2 3" xfId="22391"/>
    <cellStyle name="Normal 2 15 8 3 3" xfId="22392"/>
    <cellStyle name="Normal 2 15 8 3 4" xfId="22393"/>
    <cellStyle name="Normal 2 15 8 3 5" xfId="22394"/>
    <cellStyle name="Normal 2 15 8 3 6" xfId="22395"/>
    <cellStyle name="Normal 2 15 8 4" xfId="22396"/>
    <cellStyle name="Normal 2 15 8 4 2" xfId="22397"/>
    <cellStyle name="Normal 2 15 8 4 2 2" xfId="22398"/>
    <cellStyle name="Normal 2 15 8 4 3" xfId="22399"/>
    <cellStyle name="Normal 2 15 8 4 4" xfId="22400"/>
    <cellStyle name="Normal 2 15 8 4 5" xfId="22401"/>
    <cellStyle name="Normal 2 15 8 5" xfId="22402"/>
    <cellStyle name="Normal 2 15 8 5 2" xfId="22403"/>
    <cellStyle name="Normal 2 15 8 5 3" xfId="22404"/>
    <cellStyle name="Normal 2 15 8 5 4" xfId="22405"/>
    <cellStyle name="Normal 2 15 8 6" xfId="22406"/>
    <cellStyle name="Normal 2 15 8 6 2" xfId="22407"/>
    <cellStyle name="Normal 2 15 8 7" xfId="22408"/>
    <cellStyle name="Normal 2 15 8 8" xfId="22409"/>
    <cellStyle name="Normal 2 15 8 9" xfId="22410"/>
    <cellStyle name="Normal 2 15 9" xfId="22411"/>
    <cellStyle name="Normal 2 15 9 10" xfId="22412"/>
    <cellStyle name="Normal 2 15 9 2" xfId="22413"/>
    <cellStyle name="Normal 2 15 9 2 2" xfId="22414"/>
    <cellStyle name="Normal 2 15 9 2 2 2" xfId="22415"/>
    <cellStyle name="Normal 2 15 9 2 2 3" xfId="22416"/>
    <cellStyle name="Normal 2 15 9 2 3" xfId="22417"/>
    <cellStyle name="Normal 2 15 9 2 4" xfId="22418"/>
    <cellStyle name="Normal 2 15 9 2 5" xfId="22419"/>
    <cellStyle name="Normal 2 15 9 2 6" xfId="22420"/>
    <cellStyle name="Normal 2 15 9 3" xfId="22421"/>
    <cellStyle name="Normal 2 15 9 3 2" xfId="22422"/>
    <cellStyle name="Normal 2 15 9 3 2 2" xfId="22423"/>
    <cellStyle name="Normal 2 15 9 3 2 3" xfId="22424"/>
    <cellStyle name="Normal 2 15 9 3 3" xfId="22425"/>
    <cellStyle name="Normal 2 15 9 3 4" xfId="22426"/>
    <cellStyle name="Normal 2 15 9 3 5" xfId="22427"/>
    <cellStyle name="Normal 2 15 9 3 6" xfId="22428"/>
    <cellStyle name="Normal 2 15 9 4" xfId="22429"/>
    <cellStyle name="Normal 2 15 9 4 2" xfId="22430"/>
    <cellStyle name="Normal 2 15 9 4 2 2" xfId="22431"/>
    <cellStyle name="Normal 2 15 9 4 3" xfId="22432"/>
    <cellStyle name="Normal 2 15 9 4 4" xfId="22433"/>
    <cellStyle name="Normal 2 15 9 4 5" xfId="22434"/>
    <cellStyle name="Normal 2 15 9 5" xfId="22435"/>
    <cellStyle name="Normal 2 15 9 5 2" xfId="22436"/>
    <cellStyle name="Normal 2 15 9 5 3" xfId="22437"/>
    <cellStyle name="Normal 2 15 9 5 4" xfId="22438"/>
    <cellStyle name="Normal 2 15 9 6" xfId="22439"/>
    <cellStyle name="Normal 2 15 9 6 2" xfId="22440"/>
    <cellStyle name="Normal 2 15 9 7" xfId="22441"/>
    <cellStyle name="Normal 2 15 9 8" xfId="22442"/>
    <cellStyle name="Normal 2 15 9 9" xfId="22443"/>
    <cellStyle name="Normal 2 16" xfId="22444"/>
    <cellStyle name="Normal 2 16 10" xfId="22445"/>
    <cellStyle name="Normal 2 16 11" xfId="22446"/>
    <cellStyle name="Normal 2 16 2" xfId="22447"/>
    <cellStyle name="Normal 2 16 2 2" xfId="22448"/>
    <cellStyle name="Normal 2 16 3" xfId="22449"/>
    <cellStyle name="Normal 2 16 3 2" xfId="22450"/>
    <cellStyle name="Normal 2 16 3 2 2" xfId="22451"/>
    <cellStyle name="Normal 2 16 3 2 2 2" xfId="22452"/>
    <cellStyle name="Normal 2 16 3 2 2 3" xfId="22453"/>
    <cellStyle name="Normal 2 16 3 2 3" xfId="22454"/>
    <cellStyle name="Normal 2 16 3 2 4" xfId="22455"/>
    <cellStyle name="Normal 2 16 3 2 5" xfId="22456"/>
    <cellStyle name="Normal 2 16 3 2 6" xfId="22457"/>
    <cellStyle name="Normal 2 16 3 3" xfId="22458"/>
    <cellStyle name="Normal 2 16 3 3 2" xfId="22459"/>
    <cellStyle name="Normal 2 16 3 3 2 2" xfId="22460"/>
    <cellStyle name="Normal 2 16 3 3 3" xfId="22461"/>
    <cellStyle name="Normal 2 16 3 3 4" xfId="22462"/>
    <cellStyle name="Normal 2 16 3 3 5" xfId="22463"/>
    <cellStyle name="Normal 2 16 3 4" xfId="22464"/>
    <cellStyle name="Normal 2 16 3 4 2" xfId="22465"/>
    <cellStyle name="Normal 2 16 3 4 3" xfId="22466"/>
    <cellStyle name="Normal 2 16 3 4 4" xfId="22467"/>
    <cellStyle name="Normal 2 16 3 5" xfId="22468"/>
    <cellStyle name="Normal 2 16 3 5 2" xfId="22469"/>
    <cellStyle name="Normal 2 16 3 6" xfId="22470"/>
    <cellStyle name="Normal 2 16 3 7" xfId="22471"/>
    <cellStyle name="Normal 2 16 3 8" xfId="22472"/>
    <cellStyle name="Normal 2 16 3 9" xfId="22473"/>
    <cellStyle name="Normal 2 16 4" xfId="22474"/>
    <cellStyle name="Normal 2 16 4 2" xfId="22475"/>
    <cellStyle name="Normal 2 16 4 2 2" xfId="22476"/>
    <cellStyle name="Normal 2 16 4 2 2 2" xfId="22477"/>
    <cellStyle name="Normal 2 16 4 2 2 3" xfId="22478"/>
    <cellStyle name="Normal 2 16 4 2 3" xfId="22479"/>
    <cellStyle name="Normal 2 16 4 2 4" xfId="22480"/>
    <cellStyle name="Normal 2 16 4 2 5" xfId="22481"/>
    <cellStyle name="Normal 2 16 4 2 6" xfId="22482"/>
    <cellStyle name="Normal 2 16 4 3" xfId="22483"/>
    <cellStyle name="Normal 2 16 4 3 2" xfId="22484"/>
    <cellStyle name="Normal 2 16 4 3 2 2" xfId="22485"/>
    <cellStyle name="Normal 2 16 4 3 3" xfId="22486"/>
    <cellStyle name="Normal 2 16 4 3 4" xfId="22487"/>
    <cellStyle name="Normal 2 16 4 3 5" xfId="22488"/>
    <cellStyle name="Normal 2 16 4 4" xfId="22489"/>
    <cellStyle name="Normal 2 16 4 4 2" xfId="22490"/>
    <cellStyle name="Normal 2 16 4 4 3" xfId="22491"/>
    <cellStyle name="Normal 2 16 4 4 4" xfId="22492"/>
    <cellStyle name="Normal 2 16 4 5" xfId="22493"/>
    <cellStyle name="Normal 2 16 4 5 2" xfId="22494"/>
    <cellStyle name="Normal 2 16 4 6" xfId="22495"/>
    <cellStyle name="Normal 2 16 4 7" xfId="22496"/>
    <cellStyle name="Normal 2 16 4 8" xfId="22497"/>
    <cellStyle name="Normal 2 16 4 9" xfId="22498"/>
    <cellStyle name="Normal 2 16 5" xfId="22499"/>
    <cellStyle name="Normal 2 16 5 2" xfId="22500"/>
    <cellStyle name="Normal 2 16 5 2 2" xfId="22501"/>
    <cellStyle name="Normal 2 16 5 2 3" xfId="22502"/>
    <cellStyle name="Normal 2 16 5 3" xfId="22503"/>
    <cellStyle name="Normal 2 16 5 4" xfId="22504"/>
    <cellStyle name="Normal 2 16 5 5" xfId="22505"/>
    <cellStyle name="Normal 2 16 5 6" xfId="22506"/>
    <cellStyle name="Normal 2 16 6" xfId="22507"/>
    <cellStyle name="Normal 2 16 6 2" xfId="22508"/>
    <cellStyle name="Normal 2 16 6 2 2" xfId="22509"/>
    <cellStyle name="Normal 2 16 6 3" xfId="22510"/>
    <cellStyle name="Normal 2 16 6 4" xfId="22511"/>
    <cellStyle name="Normal 2 16 6 5" xfId="22512"/>
    <cellStyle name="Normal 2 16 6 6" xfId="22513"/>
    <cellStyle name="Normal 2 16 7" xfId="22514"/>
    <cellStyle name="Normal 2 16 7 2" xfId="22515"/>
    <cellStyle name="Normal 2 16 7 3" xfId="22516"/>
    <cellStyle name="Normal 2 16 7 4" xfId="22517"/>
    <cellStyle name="Normal 2 16 7 5" xfId="22518"/>
    <cellStyle name="Normal 2 16 8" xfId="22519"/>
    <cellStyle name="Normal 2 16 8 2" xfId="22520"/>
    <cellStyle name="Normal 2 16 9" xfId="22521"/>
    <cellStyle name="Normal 2 17" xfId="22522"/>
    <cellStyle name="Normal 2 17 10" xfId="22523"/>
    <cellStyle name="Normal 2 17 11" xfId="22524"/>
    <cellStyle name="Normal 2 17 2" xfId="22525"/>
    <cellStyle name="Normal 2 17 2 2" xfId="22526"/>
    <cellStyle name="Normal 2 17 3" xfId="22527"/>
    <cellStyle name="Normal 2 17 3 2" xfId="22528"/>
    <cellStyle name="Normal 2 17 3 2 2" xfId="22529"/>
    <cellStyle name="Normal 2 17 3 2 2 2" xfId="22530"/>
    <cellStyle name="Normal 2 17 3 2 2 3" xfId="22531"/>
    <cellStyle name="Normal 2 17 3 2 3" xfId="22532"/>
    <cellStyle name="Normal 2 17 3 2 4" xfId="22533"/>
    <cellStyle name="Normal 2 17 3 2 5" xfId="22534"/>
    <cellStyle name="Normal 2 17 3 2 6" xfId="22535"/>
    <cellStyle name="Normal 2 17 3 3" xfId="22536"/>
    <cellStyle name="Normal 2 17 3 3 2" xfId="22537"/>
    <cellStyle name="Normal 2 17 3 3 2 2" xfId="22538"/>
    <cellStyle name="Normal 2 17 3 3 3" xfId="22539"/>
    <cellStyle name="Normal 2 17 3 3 4" xfId="22540"/>
    <cellStyle name="Normal 2 17 3 3 5" xfId="22541"/>
    <cellStyle name="Normal 2 17 3 4" xfId="22542"/>
    <cellStyle name="Normal 2 17 3 4 2" xfId="22543"/>
    <cellStyle name="Normal 2 17 3 4 3" xfId="22544"/>
    <cellStyle name="Normal 2 17 3 4 4" xfId="22545"/>
    <cellStyle name="Normal 2 17 3 5" xfId="22546"/>
    <cellStyle name="Normal 2 17 3 5 2" xfId="22547"/>
    <cellStyle name="Normal 2 17 3 6" xfId="22548"/>
    <cellStyle name="Normal 2 17 3 7" xfId="22549"/>
    <cellStyle name="Normal 2 17 3 8" xfId="22550"/>
    <cellStyle name="Normal 2 17 3 9" xfId="22551"/>
    <cellStyle name="Normal 2 17 4" xfId="22552"/>
    <cellStyle name="Normal 2 17 4 2" xfId="22553"/>
    <cellStyle name="Normal 2 17 4 2 2" xfId="22554"/>
    <cellStyle name="Normal 2 17 4 2 2 2" xfId="22555"/>
    <cellStyle name="Normal 2 17 4 2 2 3" xfId="22556"/>
    <cellStyle name="Normal 2 17 4 2 3" xfId="22557"/>
    <cellStyle name="Normal 2 17 4 2 4" xfId="22558"/>
    <cellStyle name="Normal 2 17 4 2 5" xfId="22559"/>
    <cellStyle name="Normal 2 17 4 2 6" xfId="22560"/>
    <cellStyle name="Normal 2 17 4 3" xfId="22561"/>
    <cellStyle name="Normal 2 17 4 3 2" xfId="22562"/>
    <cellStyle name="Normal 2 17 4 3 2 2" xfId="22563"/>
    <cellStyle name="Normal 2 17 4 3 3" xfId="22564"/>
    <cellStyle name="Normal 2 17 4 3 4" xfId="22565"/>
    <cellStyle name="Normal 2 17 4 3 5" xfId="22566"/>
    <cellStyle name="Normal 2 17 4 4" xfId="22567"/>
    <cellStyle name="Normal 2 17 4 4 2" xfId="22568"/>
    <cellStyle name="Normal 2 17 4 4 3" xfId="22569"/>
    <cellStyle name="Normal 2 17 4 4 4" xfId="22570"/>
    <cellStyle name="Normal 2 17 4 5" xfId="22571"/>
    <cellStyle name="Normal 2 17 4 5 2" xfId="22572"/>
    <cellStyle name="Normal 2 17 4 6" xfId="22573"/>
    <cellStyle name="Normal 2 17 4 7" xfId="22574"/>
    <cellStyle name="Normal 2 17 4 8" xfId="22575"/>
    <cellStyle name="Normal 2 17 4 9" xfId="22576"/>
    <cellStyle name="Normal 2 17 5" xfId="22577"/>
    <cellStyle name="Normal 2 17 5 2" xfId="22578"/>
    <cellStyle name="Normal 2 17 5 2 2" xfId="22579"/>
    <cellStyle name="Normal 2 17 5 2 3" xfId="22580"/>
    <cellStyle name="Normal 2 17 5 3" xfId="22581"/>
    <cellStyle name="Normal 2 17 5 4" xfId="22582"/>
    <cellStyle name="Normal 2 17 5 5" xfId="22583"/>
    <cellStyle name="Normal 2 17 5 6" xfId="22584"/>
    <cellStyle name="Normal 2 17 6" xfId="22585"/>
    <cellStyle name="Normal 2 17 6 2" xfId="22586"/>
    <cellStyle name="Normal 2 17 6 2 2" xfId="22587"/>
    <cellStyle name="Normal 2 17 6 3" xfId="22588"/>
    <cellStyle name="Normal 2 17 6 4" xfId="22589"/>
    <cellStyle name="Normal 2 17 6 5" xfId="22590"/>
    <cellStyle name="Normal 2 17 6 6" xfId="22591"/>
    <cellStyle name="Normal 2 17 7" xfId="22592"/>
    <cellStyle name="Normal 2 17 7 2" xfId="22593"/>
    <cellStyle name="Normal 2 17 7 3" xfId="22594"/>
    <cellStyle name="Normal 2 17 7 4" xfId="22595"/>
    <cellStyle name="Normal 2 17 7 5" xfId="22596"/>
    <cellStyle name="Normal 2 17 8" xfId="22597"/>
    <cellStyle name="Normal 2 17 8 2" xfId="22598"/>
    <cellStyle name="Normal 2 17 9" xfId="22599"/>
    <cellStyle name="Normal 2 18" xfId="22600"/>
    <cellStyle name="Normal 2 18 10" xfId="22601"/>
    <cellStyle name="Normal 2 18 11" xfId="22602"/>
    <cellStyle name="Normal 2 18 2" xfId="22603"/>
    <cellStyle name="Normal 2 18 2 2" xfId="22604"/>
    <cellStyle name="Normal 2 18 3" xfId="22605"/>
    <cellStyle name="Normal 2 18 3 2" xfId="22606"/>
    <cellStyle name="Normal 2 18 3 2 2" xfId="22607"/>
    <cellStyle name="Normal 2 18 3 2 2 2" xfId="22608"/>
    <cellStyle name="Normal 2 18 3 2 2 3" xfId="22609"/>
    <cellStyle name="Normal 2 18 3 2 3" xfId="22610"/>
    <cellStyle name="Normal 2 18 3 2 4" xfId="22611"/>
    <cellStyle name="Normal 2 18 3 2 5" xfId="22612"/>
    <cellStyle name="Normal 2 18 3 2 6" xfId="22613"/>
    <cellStyle name="Normal 2 18 3 3" xfId="22614"/>
    <cellStyle name="Normal 2 18 3 3 2" xfId="22615"/>
    <cellStyle name="Normal 2 18 3 3 2 2" xfId="22616"/>
    <cellStyle name="Normal 2 18 3 3 3" xfId="22617"/>
    <cellStyle name="Normal 2 18 3 3 4" xfId="22618"/>
    <cellStyle name="Normal 2 18 3 3 5" xfId="22619"/>
    <cellStyle name="Normal 2 18 3 4" xfId="22620"/>
    <cellStyle name="Normal 2 18 3 4 2" xfId="22621"/>
    <cellStyle name="Normal 2 18 3 4 3" xfId="22622"/>
    <cellStyle name="Normal 2 18 3 4 4" xfId="22623"/>
    <cellStyle name="Normal 2 18 3 5" xfId="22624"/>
    <cellStyle name="Normal 2 18 3 5 2" xfId="22625"/>
    <cellStyle name="Normal 2 18 3 6" xfId="22626"/>
    <cellStyle name="Normal 2 18 3 7" xfId="22627"/>
    <cellStyle name="Normal 2 18 3 8" xfId="22628"/>
    <cellStyle name="Normal 2 18 3 9" xfId="22629"/>
    <cellStyle name="Normal 2 18 4" xfId="22630"/>
    <cellStyle name="Normal 2 18 4 2" xfId="22631"/>
    <cellStyle name="Normal 2 18 4 2 2" xfId="22632"/>
    <cellStyle name="Normal 2 18 4 2 2 2" xfId="22633"/>
    <cellStyle name="Normal 2 18 4 2 2 3" xfId="22634"/>
    <cellStyle name="Normal 2 18 4 2 3" xfId="22635"/>
    <cellStyle name="Normal 2 18 4 2 4" xfId="22636"/>
    <cellStyle name="Normal 2 18 4 2 5" xfId="22637"/>
    <cellStyle name="Normal 2 18 4 2 6" xfId="22638"/>
    <cellStyle name="Normal 2 18 4 3" xfId="22639"/>
    <cellStyle name="Normal 2 18 4 3 2" xfId="22640"/>
    <cellStyle name="Normal 2 18 4 3 2 2" xfId="22641"/>
    <cellStyle name="Normal 2 18 4 3 3" xfId="22642"/>
    <cellStyle name="Normal 2 18 4 3 4" xfId="22643"/>
    <cellStyle name="Normal 2 18 4 3 5" xfId="22644"/>
    <cellStyle name="Normal 2 18 4 4" xfId="22645"/>
    <cellStyle name="Normal 2 18 4 4 2" xfId="22646"/>
    <cellStyle name="Normal 2 18 4 4 3" xfId="22647"/>
    <cellStyle name="Normal 2 18 4 4 4" xfId="22648"/>
    <cellStyle name="Normal 2 18 4 5" xfId="22649"/>
    <cellStyle name="Normal 2 18 4 5 2" xfId="22650"/>
    <cellStyle name="Normal 2 18 4 6" xfId="22651"/>
    <cellStyle name="Normal 2 18 4 7" xfId="22652"/>
    <cellStyle name="Normal 2 18 4 8" xfId="22653"/>
    <cellStyle name="Normal 2 18 4 9" xfId="22654"/>
    <cellStyle name="Normal 2 18 5" xfId="22655"/>
    <cellStyle name="Normal 2 18 5 2" xfId="22656"/>
    <cellStyle name="Normal 2 18 5 2 2" xfId="22657"/>
    <cellStyle name="Normal 2 18 5 2 3" xfId="22658"/>
    <cellStyle name="Normal 2 18 5 3" xfId="22659"/>
    <cellStyle name="Normal 2 18 5 4" xfId="22660"/>
    <cellStyle name="Normal 2 18 5 5" xfId="22661"/>
    <cellStyle name="Normal 2 18 5 6" xfId="22662"/>
    <cellStyle name="Normal 2 18 6" xfId="22663"/>
    <cellStyle name="Normal 2 18 6 2" xfId="22664"/>
    <cellStyle name="Normal 2 18 6 2 2" xfId="22665"/>
    <cellStyle name="Normal 2 18 6 3" xfId="22666"/>
    <cellStyle name="Normal 2 18 6 4" xfId="22667"/>
    <cellStyle name="Normal 2 18 6 5" xfId="22668"/>
    <cellStyle name="Normal 2 18 6 6" xfId="22669"/>
    <cellStyle name="Normal 2 18 7" xfId="22670"/>
    <cellStyle name="Normal 2 18 7 2" xfId="22671"/>
    <cellStyle name="Normal 2 18 7 3" xfId="22672"/>
    <cellStyle name="Normal 2 18 7 4" xfId="22673"/>
    <cellStyle name="Normal 2 18 7 5" xfId="22674"/>
    <cellStyle name="Normal 2 18 8" xfId="22675"/>
    <cellStyle name="Normal 2 18 8 2" xfId="22676"/>
    <cellStyle name="Normal 2 18 9" xfId="22677"/>
    <cellStyle name="Normal 2 19" xfId="22678"/>
    <cellStyle name="Normal 2 19 10" xfId="22679"/>
    <cellStyle name="Normal 2 19 11" xfId="22680"/>
    <cellStyle name="Normal 2 19 2" xfId="22681"/>
    <cellStyle name="Normal 2 19 2 2" xfId="22682"/>
    <cellStyle name="Normal 2 19 3" xfId="22683"/>
    <cellStyle name="Normal 2 19 3 2" xfId="22684"/>
    <cellStyle name="Normal 2 19 3 2 2" xfId="22685"/>
    <cellStyle name="Normal 2 19 3 2 2 2" xfId="22686"/>
    <cellStyle name="Normal 2 19 3 2 2 3" xfId="22687"/>
    <cellStyle name="Normal 2 19 3 2 3" xfId="22688"/>
    <cellStyle name="Normal 2 19 3 2 4" xfId="22689"/>
    <cellStyle name="Normal 2 19 3 2 5" xfId="22690"/>
    <cellStyle name="Normal 2 19 3 2 6" xfId="22691"/>
    <cellStyle name="Normal 2 19 3 3" xfId="22692"/>
    <cellStyle name="Normal 2 19 3 3 2" xfId="22693"/>
    <cellStyle name="Normal 2 19 3 3 2 2" xfId="22694"/>
    <cellStyle name="Normal 2 19 3 3 3" xfId="22695"/>
    <cellStyle name="Normal 2 19 3 3 4" xfId="22696"/>
    <cellStyle name="Normal 2 19 3 3 5" xfId="22697"/>
    <cellStyle name="Normal 2 19 3 4" xfId="22698"/>
    <cellStyle name="Normal 2 19 3 4 2" xfId="22699"/>
    <cellStyle name="Normal 2 19 3 4 3" xfId="22700"/>
    <cellStyle name="Normal 2 19 3 4 4" xfId="22701"/>
    <cellStyle name="Normal 2 19 3 5" xfId="22702"/>
    <cellStyle name="Normal 2 19 3 5 2" xfId="22703"/>
    <cellStyle name="Normal 2 19 3 6" xfId="22704"/>
    <cellStyle name="Normal 2 19 3 7" xfId="22705"/>
    <cellStyle name="Normal 2 19 3 8" xfId="22706"/>
    <cellStyle name="Normal 2 19 3 9" xfId="22707"/>
    <cellStyle name="Normal 2 19 4" xfId="22708"/>
    <cellStyle name="Normal 2 19 4 2" xfId="22709"/>
    <cellStyle name="Normal 2 19 4 2 2" xfId="22710"/>
    <cellStyle name="Normal 2 19 4 2 2 2" xfId="22711"/>
    <cellStyle name="Normal 2 19 4 2 2 3" xfId="22712"/>
    <cellStyle name="Normal 2 19 4 2 3" xfId="22713"/>
    <cellStyle name="Normal 2 19 4 2 4" xfId="22714"/>
    <cellStyle name="Normal 2 19 4 2 5" xfId="22715"/>
    <cellStyle name="Normal 2 19 4 2 6" xfId="22716"/>
    <cellStyle name="Normal 2 19 4 3" xfId="22717"/>
    <cellStyle name="Normal 2 19 4 3 2" xfId="22718"/>
    <cellStyle name="Normal 2 19 4 3 2 2" xfId="22719"/>
    <cellStyle name="Normal 2 19 4 3 3" xfId="22720"/>
    <cellStyle name="Normal 2 19 4 3 4" xfId="22721"/>
    <cellStyle name="Normal 2 19 4 3 5" xfId="22722"/>
    <cellStyle name="Normal 2 19 4 4" xfId="22723"/>
    <cellStyle name="Normal 2 19 4 4 2" xfId="22724"/>
    <cellStyle name="Normal 2 19 4 4 3" xfId="22725"/>
    <cellStyle name="Normal 2 19 4 4 4" xfId="22726"/>
    <cellStyle name="Normal 2 19 4 5" xfId="22727"/>
    <cellStyle name="Normal 2 19 4 5 2" xfId="22728"/>
    <cellStyle name="Normal 2 19 4 6" xfId="22729"/>
    <cellStyle name="Normal 2 19 4 7" xfId="22730"/>
    <cellStyle name="Normal 2 19 4 8" xfId="22731"/>
    <cellStyle name="Normal 2 19 4 9" xfId="22732"/>
    <cellStyle name="Normal 2 19 5" xfId="22733"/>
    <cellStyle name="Normal 2 19 5 2" xfId="22734"/>
    <cellStyle name="Normal 2 19 5 2 2" xfId="22735"/>
    <cellStyle name="Normal 2 19 5 2 3" xfId="22736"/>
    <cellStyle name="Normal 2 19 5 3" xfId="22737"/>
    <cellStyle name="Normal 2 19 5 4" xfId="22738"/>
    <cellStyle name="Normal 2 19 5 5" xfId="22739"/>
    <cellStyle name="Normal 2 19 5 6" xfId="22740"/>
    <cellStyle name="Normal 2 19 6" xfId="22741"/>
    <cellStyle name="Normal 2 19 6 2" xfId="22742"/>
    <cellStyle name="Normal 2 19 6 2 2" xfId="22743"/>
    <cellStyle name="Normal 2 19 6 3" xfId="22744"/>
    <cellStyle name="Normal 2 19 6 4" xfId="22745"/>
    <cellStyle name="Normal 2 19 6 5" xfId="22746"/>
    <cellStyle name="Normal 2 19 6 6" xfId="22747"/>
    <cellStyle name="Normal 2 19 7" xfId="22748"/>
    <cellStyle name="Normal 2 19 7 2" xfId="22749"/>
    <cellStyle name="Normal 2 19 7 3" xfId="22750"/>
    <cellStyle name="Normal 2 19 7 4" xfId="22751"/>
    <cellStyle name="Normal 2 19 7 5" xfId="22752"/>
    <cellStyle name="Normal 2 19 8" xfId="22753"/>
    <cellStyle name="Normal 2 19 8 2" xfId="22754"/>
    <cellStyle name="Normal 2 19 9" xfId="22755"/>
    <cellStyle name="Normal 2 2" xfId="22756"/>
    <cellStyle name="Normal 2 2 10" xfId="22757"/>
    <cellStyle name="Normal 2 2 10 2" xfId="22758"/>
    <cellStyle name="Normal 2 2 10 3" xfId="22759"/>
    <cellStyle name="Normal 2 2 10 4" xfId="22760"/>
    <cellStyle name="Normal 2 2 11" xfId="22761"/>
    <cellStyle name="Normal 2 2 11 2" xfId="22762"/>
    <cellStyle name="Normal 2 2 11 3" xfId="22763"/>
    <cellStyle name="Normal 2 2 11 4" xfId="22764"/>
    <cellStyle name="Normal 2 2 12" xfId="22765"/>
    <cellStyle name="Normal 2 2 12 2" xfId="22766"/>
    <cellStyle name="Normal 2 2 12 3" xfId="22767"/>
    <cellStyle name="Normal 2 2 12 4" xfId="22768"/>
    <cellStyle name="Normal 2 2 13" xfId="22769"/>
    <cellStyle name="Normal 2 2 13 2" xfId="22770"/>
    <cellStyle name="Normal 2 2 13 3" xfId="22771"/>
    <cellStyle name="Normal 2 2 13 4" xfId="22772"/>
    <cellStyle name="Normal 2 2 14" xfId="22773"/>
    <cellStyle name="Normal 2 2 14 2" xfId="22774"/>
    <cellStyle name="Normal 2 2 14 3" xfId="22775"/>
    <cellStyle name="Normal 2 2 14 4" xfId="22776"/>
    <cellStyle name="Normal 2 2 15" xfId="22777"/>
    <cellStyle name="Normal 2 2 15 2" xfId="22778"/>
    <cellStyle name="Normal 2 2 15 3" xfId="22779"/>
    <cellStyle name="Normal 2 2 15 4" xfId="22780"/>
    <cellStyle name="Normal 2 2 16" xfId="22781"/>
    <cellStyle name="Normal 2 2 16 2" xfId="22782"/>
    <cellStyle name="Normal 2 2 16 3" xfId="22783"/>
    <cellStyle name="Normal 2 2 16 4" xfId="22784"/>
    <cellStyle name="Normal 2 2 17" xfId="22785"/>
    <cellStyle name="Normal 2 2 17 2" xfId="22786"/>
    <cellStyle name="Normal 2 2 17 2 2" xfId="22787"/>
    <cellStyle name="Normal 2 2 18" xfId="22788"/>
    <cellStyle name="Normal 2 2 19" xfId="22789"/>
    <cellStyle name="Normal 2 2 2" xfId="22790"/>
    <cellStyle name="Normal 2 2 2 10" xfId="22791"/>
    <cellStyle name="Normal 2 2 2 10 10" xfId="22792"/>
    <cellStyle name="Normal 2 2 2 10 2" xfId="22793"/>
    <cellStyle name="Normal 2 2 2 10 2 2" xfId="22794"/>
    <cellStyle name="Normal 2 2 2 10 2 2 2" xfId="22795"/>
    <cellStyle name="Normal 2 2 2 10 2 2 3" xfId="22796"/>
    <cellStyle name="Normal 2 2 2 10 2 3" xfId="22797"/>
    <cellStyle name="Normal 2 2 2 10 2 4" xfId="22798"/>
    <cellStyle name="Normal 2 2 2 10 2 5" xfId="22799"/>
    <cellStyle name="Normal 2 2 2 10 2 6" xfId="22800"/>
    <cellStyle name="Normal 2 2 2 10 3" xfId="22801"/>
    <cellStyle name="Normal 2 2 2 10 3 2" xfId="22802"/>
    <cellStyle name="Normal 2 2 2 10 3 2 2" xfId="22803"/>
    <cellStyle name="Normal 2 2 2 10 3 2 3" xfId="22804"/>
    <cellStyle name="Normal 2 2 2 10 3 3" xfId="22805"/>
    <cellStyle name="Normal 2 2 2 10 3 4" xfId="22806"/>
    <cellStyle name="Normal 2 2 2 10 3 5" xfId="22807"/>
    <cellStyle name="Normal 2 2 2 10 3 6" xfId="22808"/>
    <cellStyle name="Normal 2 2 2 10 4" xfId="22809"/>
    <cellStyle name="Normal 2 2 2 10 4 2" xfId="22810"/>
    <cellStyle name="Normal 2 2 2 10 4 2 2" xfId="22811"/>
    <cellStyle name="Normal 2 2 2 10 4 3" xfId="22812"/>
    <cellStyle name="Normal 2 2 2 10 4 4" xfId="22813"/>
    <cellStyle name="Normal 2 2 2 10 4 5" xfId="22814"/>
    <cellStyle name="Normal 2 2 2 10 5" xfId="22815"/>
    <cellStyle name="Normal 2 2 2 10 5 2" xfId="22816"/>
    <cellStyle name="Normal 2 2 2 10 5 3" xfId="22817"/>
    <cellStyle name="Normal 2 2 2 10 5 4" xfId="22818"/>
    <cellStyle name="Normal 2 2 2 10 6" xfId="22819"/>
    <cellStyle name="Normal 2 2 2 10 6 2" xfId="22820"/>
    <cellStyle name="Normal 2 2 2 10 7" xfId="22821"/>
    <cellStyle name="Normal 2 2 2 10 8" xfId="22822"/>
    <cellStyle name="Normal 2 2 2 10 9" xfId="22823"/>
    <cellStyle name="Normal 2 2 2 11" xfId="22824"/>
    <cellStyle name="Normal 2 2 2 11 10" xfId="22825"/>
    <cellStyle name="Normal 2 2 2 11 2" xfId="22826"/>
    <cellStyle name="Normal 2 2 2 11 2 2" xfId="22827"/>
    <cellStyle name="Normal 2 2 2 11 2 2 2" xfId="22828"/>
    <cellStyle name="Normal 2 2 2 11 2 2 3" xfId="22829"/>
    <cellStyle name="Normal 2 2 2 11 2 3" xfId="22830"/>
    <cellStyle name="Normal 2 2 2 11 2 4" xfId="22831"/>
    <cellStyle name="Normal 2 2 2 11 2 5" xfId="22832"/>
    <cellStyle name="Normal 2 2 2 11 2 6" xfId="22833"/>
    <cellStyle name="Normal 2 2 2 11 3" xfId="22834"/>
    <cellStyle name="Normal 2 2 2 11 3 2" xfId="22835"/>
    <cellStyle name="Normal 2 2 2 11 3 2 2" xfId="22836"/>
    <cellStyle name="Normal 2 2 2 11 3 2 3" xfId="22837"/>
    <cellStyle name="Normal 2 2 2 11 3 3" xfId="22838"/>
    <cellStyle name="Normal 2 2 2 11 3 4" xfId="22839"/>
    <cellStyle name="Normal 2 2 2 11 3 5" xfId="22840"/>
    <cellStyle name="Normal 2 2 2 11 3 6" xfId="22841"/>
    <cellStyle name="Normal 2 2 2 11 4" xfId="22842"/>
    <cellStyle name="Normal 2 2 2 11 4 2" xfId="22843"/>
    <cellStyle name="Normal 2 2 2 11 4 2 2" xfId="22844"/>
    <cellStyle name="Normal 2 2 2 11 4 3" xfId="22845"/>
    <cellStyle name="Normal 2 2 2 11 4 4" xfId="22846"/>
    <cellStyle name="Normal 2 2 2 11 4 5" xfId="22847"/>
    <cellStyle name="Normal 2 2 2 11 5" xfId="22848"/>
    <cellStyle name="Normal 2 2 2 11 5 2" xfId="22849"/>
    <cellStyle name="Normal 2 2 2 11 5 3" xfId="22850"/>
    <cellStyle name="Normal 2 2 2 11 5 4" xfId="22851"/>
    <cellStyle name="Normal 2 2 2 11 6" xfId="22852"/>
    <cellStyle name="Normal 2 2 2 11 6 2" xfId="22853"/>
    <cellStyle name="Normal 2 2 2 11 7" xfId="22854"/>
    <cellStyle name="Normal 2 2 2 11 8" xfId="22855"/>
    <cellStyle name="Normal 2 2 2 11 9" xfId="22856"/>
    <cellStyle name="Normal 2 2 2 12" xfId="22857"/>
    <cellStyle name="Normal 2 2 2 12 10" xfId="22858"/>
    <cellStyle name="Normal 2 2 2 12 2" xfId="22859"/>
    <cellStyle name="Normal 2 2 2 12 2 2" xfId="22860"/>
    <cellStyle name="Normal 2 2 2 12 2 2 2" xfId="22861"/>
    <cellStyle name="Normal 2 2 2 12 2 2 3" xfId="22862"/>
    <cellStyle name="Normal 2 2 2 12 2 3" xfId="22863"/>
    <cellStyle name="Normal 2 2 2 12 2 4" xfId="22864"/>
    <cellStyle name="Normal 2 2 2 12 2 5" xfId="22865"/>
    <cellStyle name="Normal 2 2 2 12 2 6" xfId="22866"/>
    <cellStyle name="Normal 2 2 2 12 3" xfId="22867"/>
    <cellStyle name="Normal 2 2 2 12 3 2" xfId="22868"/>
    <cellStyle name="Normal 2 2 2 12 3 2 2" xfId="22869"/>
    <cellStyle name="Normal 2 2 2 12 3 2 3" xfId="22870"/>
    <cellStyle name="Normal 2 2 2 12 3 3" xfId="22871"/>
    <cellStyle name="Normal 2 2 2 12 3 4" xfId="22872"/>
    <cellStyle name="Normal 2 2 2 12 3 5" xfId="22873"/>
    <cellStyle name="Normal 2 2 2 12 3 6" xfId="22874"/>
    <cellStyle name="Normal 2 2 2 12 4" xfId="22875"/>
    <cellStyle name="Normal 2 2 2 12 4 2" xfId="22876"/>
    <cellStyle name="Normal 2 2 2 12 4 2 2" xfId="22877"/>
    <cellStyle name="Normal 2 2 2 12 4 3" xfId="22878"/>
    <cellStyle name="Normal 2 2 2 12 4 4" xfId="22879"/>
    <cellStyle name="Normal 2 2 2 12 4 5" xfId="22880"/>
    <cellStyle name="Normal 2 2 2 12 5" xfId="22881"/>
    <cellStyle name="Normal 2 2 2 12 5 2" xfId="22882"/>
    <cellStyle name="Normal 2 2 2 12 5 3" xfId="22883"/>
    <cellStyle name="Normal 2 2 2 12 5 4" xfId="22884"/>
    <cellStyle name="Normal 2 2 2 12 6" xfId="22885"/>
    <cellStyle name="Normal 2 2 2 12 6 2" xfId="22886"/>
    <cellStyle name="Normal 2 2 2 12 7" xfId="22887"/>
    <cellStyle name="Normal 2 2 2 12 8" xfId="22888"/>
    <cellStyle name="Normal 2 2 2 12 9" xfId="22889"/>
    <cellStyle name="Normal 2 2 2 13" xfId="22890"/>
    <cellStyle name="Normal 2 2 2 13 10" xfId="22891"/>
    <cellStyle name="Normal 2 2 2 13 2" xfId="22892"/>
    <cellStyle name="Normal 2 2 2 13 2 2" xfId="22893"/>
    <cellStyle name="Normal 2 2 2 13 2 2 2" xfId="22894"/>
    <cellStyle name="Normal 2 2 2 13 2 2 3" xfId="22895"/>
    <cellStyle name="Normal 2 2 2 13 2 3" xfId="22896"/>
    <cellStyle name="Normal 2 2 2 13 2 4" xfId="22897"/>
    <cellStyle name="Normal 2 2 2 13 2 5" xfId="22898"/>
    <cellStyle name="Normal 2 2 2 13 2 6" xfId="22899"/>
    <cellStyle name="Normal 2 2 2 13 3" xfId="22900"/>
    <cellStyle name="Normal 2 2 2 13 3 2" xfId="22901"/>
    <cellStyle name="Normal 2 2 2 13 3 2 2" xfId="22902"/>
    <cellStyle name="Normal 2 2 2 13 3 2 3" xfId="22903"/>
    <cellStyle name="Normal 2 2 2 13 3 3" xfId="22904"/>
    <cellStyle name="Normal 2 2 2 13 3 4" xfId="22905"/>
    <cellStyle name="Normal 2 2 2 13 3 5" xfId="22906"/>
    <cellStyle name="Normal 2 2 2 13 3 6" xfId="22907"/>
    <cellStyle name="Normal 2 2 2 13 4" xfId="22908"/>
    <cellStyle name="Normal 2 2 2 13 4 2" xfId="22909"/>
    <cellStyle name="Normal 2 2 2 13 4 2 2" xfId="22910"/>
    <cellStyle name="Normal 2 2 2 13 4 3" xfId="22911"/>
    <cellStyle name="Normal 2 2 2 13 4 4" xfId="22912"/>
    <cellStyle name="Normal 2 2 2 13 4 5" xfId="22913"/>
    <cellStyle name="Normal 2 2 2 13 5" xfId="22914"/>
    <cellStyle name="Normal 2 2 2 13 5 2" xfId="22915"/>
    <cellStyle name="Normal 2 2 2 13 5 3" xfId="22916"/>
    <cellStyle name="Normal 2 2 2 13 5 4" xfId="22917"/>
    <cellStyle name="Normal 2 2 2 13 6" xfId="22918"/>
    <cellStyle name="Normal 2 2 2 13 6 2" xfId="22919"/>
    <cellStyle name="Normal 2 2 2 13 7" xfId="22920"/>
    <cellStyle name="Normal 2 2 2 13 8" xfId="22921"/>
    <cellStyle name="Normal 2 2 2 13 9" xfId="22922"/>
    <cellStyle name="Normal 2 2 2 14" xfId="22923"/>
    <cellStyle name="Normal 2 2 2 14 10" xfId="22924"/>
    <cellStyle name="Normal 2 2 2 14 2" xfId="22925"/>
    <cellStyle name="Normal 2 2 2 14 2 2" xfId="22926"/>
    <cellStyle name="Normal 2 2 2 14 2 2 2" xfId="22927"/>
    <cellStyle name="Normal 2 2 2 14 2 2 3" xfId="22928"/>
    <cellStyle name="Normal 2 2 2 14 2 3" xfId="22929"/>
    <cellStyle name="Normal 2 2 2 14 2 4" xfId="22930"/>
    <cellStyle name="Normal 2 2 2 14 2 5" xfId="22931"/>
    <cellStyle name="Normal 2 2 2 14 2 6" xfId="22932"/>
    <cellStyle name="Normal 2 2 2 14 3" xfId="22933"/>
    <cellStyle name="Normal 2 2 2 14 3 2" xfId="22934"/>
    <cellStyle name="Normal 2 2 2 14 3 2 2" xfId="22935"/>
    <cellStyle name="Normal 2 2 2 14 3 2 3" xfId="22936"/>
    <cellStyle name="Normal 2 2 2 14 3 3" xfId="22937"/>
    <cellStyle name="Normal 2 2 2 14 3 4" xfId="22938"/>
    <cellStyle name="Normal 2 2 2 14 3 5" xfId="22939"/>
    <cellStyle name="Normal 2 2 2 14 3 6" xfId="22940"/>
    <cellStyle name="Normal 2 2 2 14 4" xfId="22941"/>
    <cellStyle name="Normal 2 2 2 14 4 2" xfId="22942"/>
    <cellStyle name="Normal 2 2 2 14 4 2 2" xfId="22943"/>
    <cellStyle name="Normal 2 2 2 14 4 3" xfId="22944"/>
    <cellStyle name="Normal 2 2 2 14 4 4" xfId="22945"/>
    <cellStyle name="Normal 2 2 2 14 4 5" xfId="22946"/>
    <cellStyle name="Normal 2 2 2 14 5" xfId="22947"/>
    <cellStyle name="Normal 2 2 2 14 5 2" xfId="22948"/>
    <cellStyle name="Normal 2 2 2 14 5 3" xfId="22949"/>
    <cellStyle name="Normal 2 2 2 14 5 4" xfId="22950"/>
    <cellStyle name="Normal 2 2 2 14 6" xfId="22951"/>
    <cellStyle name="Normal 2 2 2 14 6 2" xfId="22952"/>
    <cellStyle name="Normal 2 2 2 14 7" xfId="22953"/>
    <cellStyle name="Normal 2 2 2 14 8" xfId="22954"/>
    <cellStyle name="Normal 2 2 2 14 9" xfId="22955"/>
    <cellStyle name="Normal 2 2 2 15" xfId="22956"/>
    <cellStyle name="Normal 2 2 2 15 10" xfId="22957"/>
    <cellStyle name="Normal 2 2 2 15 2" xfId="22958"/>
    <cellStyle name="Normal 2 2 2 15 2 2" xfId="22959"/>
    <cellStyle name="Normal 2 2 2 15 2 2 2" xfId="22960"/>
    <cellStyle name="Normal 2 2 2 15 2 2 3" xfId="22961"/>
    <cellStyle name="Normal 2 2 2 15 2 3" xfId="22962"/>
    <cellStyle name="Normal 2 2 2 15 2 4" xfId="22963"/>
    <cellStyle name="Normal 2 2 2 15 2 5" xfId="22964"/>
    <cellStyle name="Normal 2 2 2 15 2 6" xfId="22965"/>
    <cellStyle name="Normal 2 2 2 15 3" xfId="22966"/>
    <cellStyle name="Normal 2 2 2 15 3 2" xfId="22967"/>
    <cellStyle name="Normal 2 2 2 15 3 2 2" xfId="22968"/>
    <cellStyle name="Normal 2 2 2 15 3 2 3" xfId="22969"/>
    <cellStyle name="Normal 2 2 2 15 3 3" xfId="22970"/>
    <cellStyle name="Normal 2 2 2 15 3 4" xfId="22971"/>
    <cellStyle name="Normal 2 2 2 15 3 5" xfId="22972"/>
    <cellStyle name="Normal 2 2 2 15 3 6" xfId="22973"/>
    <cellStyle name="Normal 2 2 2 15 4" xfId="22974"/>
    <cellStyle name="Normal 2 2 2 15 4 2" xfId="22975"/>
    <cellStyle name="Normal 2 2 2 15 4 2 2" xfId="22976"/>
    <cellStyle name="Normal 2 2 2 15 4 3" xfId="22977"/>
    <cellStyle name="Normal 2 2 2 15 4 4" xfId="22978"/>
    <cellStyle name="Normal 2 2 2 15 4 5" xfId="22979"/>
    <cellStyle name="Normal 2 2 2 15 5" xfId="22980"/>
    <cellStyle name="Normal 2 2 2 15 5 2" xfId="22981"/>
    <cellStyle name="Normal 2 2 2 15 5 3" xfId="22982"/>
    <cellStyle name="Normal 2 2 2 15 5 4" xfId="22983"/>
    <cellStyle name="Normal 2 2 2 15 6" xfId="22984"/>
    <cellStyle name="Normal 2 2 2 15 6 2" xfId="22985"/>
    <cellStyle name="Normal 2 2 2 15 7" xfId="22986"/>
    <cellStyle name="Normal 2 2 2 15 8" xfId="22987"/>
    <cellStyle name="Normal 2 2 2 15 9" xfId="22988"/>
    <cellStyle name="Normal 2 2 2 16" xfId="22989"/>
    <cellStyle name="Normal 2 2 2 16 10" xfId="22990"/>
    <cellStyle name="Normal 2 2 2 16 2" xfId="22991"/>
    <cellStyle name="Normal 2 2 2 16 2 2" xfId="22992"/>
    <cellStyle name="Normal 2 2 2 16 2 2 2" xfId="22993"/>
    <cellStyle name="Normal 2 2 2 16 2 2 3" xfId="22994"/>
    <cellStyle name="Normal 2 2 2 16 2 3" xfId="22995"/>
    <cellStyle name="Normal 2 2 2 16 2 4" xfId="22996"/>
    <cellStyle name="Normal 2 2 2 16 2 5" xfId="22997"/>
    <cellStyle name="Normal 2 2 2 16 2 6" xfId="22998"/>
    <cellStyle name="Normal 2 2 2 16 3" xfId="22999"/>
    <cellStyle name="Normal 2 2 2 16 3 2" xfId="23000"/>
    <cellStyle name="Normal 2 2 2 16 3 2 2" xfId="23001"/>
    <cellStyle name="Normal 2 2 2 16 3 2 3" xfId="23002"/>
    <cellStyle name="Normal 2 2 2 16 3 3" xfId="23003"/>
    <cellStyle name="Normal 2 2 2 16 3 4" xfId="23004"/>
    <cellStyle name="Normal 2 2 2 16 3 5" xfId="23005"/>
    <cellStyle name="Normal 2 2 2 16 3 6" xfId="23006"/>
    <cellStyle name="Normal 2 2 2 16 4" xfId="23007"/>
    <cellStyle name="Normal 2 2 2 16 4 2" xfId="23008"/>
    <cellStyle name="Normal 2 2 2 16 4 2 2" xfId="23009"/>
    <cellStyle name="Normal 2 2 2 16 4 3" xfId="23010"/>
    <cellStyle name="Normal 2 2 2 16 4 4" xfId="23011"/>
    <cellStyle name="Normal 2 2 2 16 4 5" xfId="23012"/>
    <cellStyle name="Normal 2 2 2 16 5" xfId="23013"/>
    <cellStyle name="Normal 2 2 2 16 5 2" xfId="23014"/>
    <cellStyle name="Normal 2 2 2 16 5 3" xfId="23015"/>
    <cellStyle name="Normal 2 2 2 16 5 4" xfId="23016"/>
    <cellStyle name="Normal 2 2 2 16 6" xfId="23017"/>
    <cellStyle name="Normal 2 2 2 16 6 2" xfId="23018"/>
    <cellStyle name="Normal 2 2 2 16 7" xfId="23019"/>
    <cellStyle name="Normal 2 2 2 16 8" xfId="23020"/>
    <cellStyle name="Normal 2 2 2 16 9" xfId="23021"/>
    <cellStyle name="Normal 2 2 2 17" xfId="23022"/>
    <cellStyle name="Normal 2 2 2 17 10" xfId="23023"/>
    <cellStyle name="Normal 2 2 2 17 2" xfId="23024"/>
    <cellStyle name="Normal 2 2 2 17 2 2" xfId="23025"/>
    <cellStyle name="Normal 2 2 2 17 2 2 2" xfId="23026"/>
    <cellStyle name="Normal 2 2 2 17 2 2 3" xfId="23027"/>
    <cellStyle name="Normal 2 2 2 17 2 3" xfId="23028"/>
    <cellStyle name="Normal 2 2 2 17 2 4" xfId="23029"/>
    <cellStyle name="Normal 2 2 2 17 2 5" xfId="23030"/>
    <cellStyle name="Normal 2 2 2 17 2 6" xfId="23031"/>
    <cellStyle name="Normal 2 2 2 17 3" xfId="23032"/>
    <cellStyle name="Normal 2 2 2 17 3 2" xfId="23033"/>
    <cellStyle name="Normal 2 2 2 17 3 2 2" xfId="23034"/>
    <cellStyle name="Normal 2 2 2 17 3 2 3" xfId="23035"/>
    <cellStyle name="Normal 2 2 2 17 3 3" xfId="23036"/>
    <cellStyle name="Normal 2 2 2 17 3 4" xfId="23037"/>
    <cellStyle name="Normal 2 2 2 17 3 5" xfId="23038"/>
    <cellStyle name="Normal 2 2 2 17 3 6" xfId="23039"/>
    <cellStyle name="Normal 2 2 2 17 4" xfId="23040"/>
    <cellStyle name="Normal 2 2 2 17 4 2" xfId="23041"/>
    <cellStyle name="Normal 2 2 2 17 4 2 2" xfId="23042"/>
    <cellStyle name="Normal 2 2 2 17 4 3" xfId="23043"/>
    <cellStyle name="Normal 2 2 2 17 4 4" xfId="23044"/>
    <cellStyle name="Normal 2 2 2 17 4 5" xfId="23045"/>
    <cellStyle name="Normal 2 2 2 17 5" xfId="23046"/>
    <cellStyle name="Normal 2 2 2 17 5 2" xfId="23047"/>
    <cellStyle name="Normal 2 2 2 17 5 3" xfId="23048"/>
    <cellStyle name="Normal 2 2 2 17 5 4" xfId="23049"/>
    <cellStyle name="Normal 2 2 2 17 6" xfId="23050"/>
    <cellStyle name="Normal 2 2 2 17 6 2" xfId="23051"/>
    <cellStyle name="Normal 2 2 2 17 7" xfId="23052"/>
    <cellStyle name="Normal 2 2 2 17 8" xfId="23053"/>
    <cellStyle name="Normal 2 2 2 17 9" xfId="23054"/>
    <cellStyle name="Normal 2 2 2 18" xfId="23055"/>
    <cellStyle name="Normal 2 2 2 18 10" xfId="23056"/>
    <cellStyle name="Normal 2 2 2 18 2" xfId="23057"/>
    <cellStyle name="Normal 2 2 2 18 2 2" xfId="23058"/>
    <cellStyle name="Normal 2 2 2 18 2 2 2" xfId="23059"/>
    <cellStyle name="Normal 2 2 2 18 2 2 3" xfId="23060"/>
    <cellStyle name="Normal 2 2 2 18 2 3" xfId="23061"/>
    <cellStyle name="Normal 2 2 2 18 2 4" xfId="23062"/>
    <cellStyle name="Normal 2 2 2 18 2 5" xfId="23063"/>
    <cellStyle name="Normal 2 2 2 18 2 6" xfId="23064"/>
    <cellStyle name="Normal 2 2 2 18 3" xfId="23065"/>
    <cellStyle name="Normal 2 2 2 18 3 2" xfId="23066"/>
    <cellStyle name="Normal 2 2 2 18 3 2 2" xfId="23067"/>
    <cellStyle name="Normal 2 2 2 18 3 2 3" xfId="23068"/>
    <cellStyle name="Normal 2 2 2 18 3 3" xfId="23069"/>
    <cellStyle name="Normal 2 2 2 18 3 4" xfId="23070"/>
    <cellStyle name="Normal 2 2 2 18 3 5" xfId="23071"/>
    <cellStyle name="Normal 2 2 2 18 3 6" xfId="23072"/>
    <cellStyle name="Normal 2 2 2 18 4" xfId="23073"/>
    <cellStyle name="Normal 2 2 2 18 4 2" xfId="23074"/>
    <cellStyle name="Normal 2 2 2 18 4 2 2" xfId="23075"/>
    <cellStyle name="Normal 2 2 2 18 4 3" xfId="23076"/>
    <cellStyle name="Normal 2 2 2 18 4 4" xfId="23077"/>
    <cellStyle name="Normal 2 2 2 18 4 5" xfId="23078"/>
    <cellStyle name="Normal 2 2 2 18 5" xfId="23079"/>
    <cellStyle name="Normal 2 2 2 18 5 2" xfId="23080"/>
    <cellStyle name="Normal 2 2 2 18 5 3" xfId="23081"/>
    <cellStyle name="Normal 2 2 2 18 5 4" xfId="23082"/>
    <cellStyle name="Normal 2 2 2 18 6" xfId="23083"/>
    <cellStyle name="Normal 2 2 2 18 6 2" xfId="23084"/>
    <cellStyle name="Normal 2 2 2 18 7" xfId="23085"/>
    <cellStyle name="Normal 2 2 2 18 8" xfId="23086"/>
    <cellStyle name="Normal 2 2 2 18 9" xfId="23087"/>
    <cellStyle name="Normal 2 2 2 19" xfId="23088"/>
    <cellStyle name="Normal 2 2 2 19 10" xfId="23089"/>
    <cellStyle name="Normal 2 2 2 19 2" xfId="23090"/>
    <cellStyle name="Normal 2 2 2 19 2 2" xfId="23091"/>
    <cellStyle name="Normal 2 2 2 19 2 2 2" xfId="23092"/>
    <cellStyle name="Normal 2 2 2 19 2 2 3" xfId="23093"/>
    <cellStyle name="Normal 2 2 2 19 2 3" xfId="23094"/>
    <cellStyle name="Normal 2 2 2 19 2 4" xfId="23095"/>
    <cellStyle name="Normal 2 2 2 19 2 5" xfId="23096"/>
    <cellStyle name="Normal 2 2 2 19 2 6" xfId="23097"/>
    <cellStyle name="Normal 2 2 2 19 3" xfId="23098"/>
    <cellStyle name="Normal 2 2 2 19 3 2" xfId="23099"/>
    <cellStyle name="Normal 2 2 2 19 3 2 2" xfId="23100"/>
    <cellStyle name="Normal 2 2 2 19 3 2 3" xfId="23101"/>
    <cellStyle name="Normal 2 2 2 19 3 3" xfId="23102"/>
    <cellStyle name="Normal 2 2 2 19 3 4" xfId="23103"/>
    <cellStyle name="Normal 2 2 2 19 3 5" xfId="23104"/>
    <cellStyle name="Normal 2 2 2 19 3 6" xfId="23105"/>
    <cellStyle name="Normal 2 2 2 19 4" xfId="23106"/>
    <cellStyle name="Normal 2 2 2 19 4 2" xfId="23107"/>
    <cellStyle name="Normal 2 2 2 19 4 2 2" xfId="23108"/>
    <cellStyle name="Normal 2 2 2 19 4 3" xfId="23109"/>
    <cellStyle name="Normal 2 2 2 19 4 4" xfId="23110"/>
    <cellStyle name="Normal 2 2 2 19 4 5" xfId="23111"/>
    <cellStyle name="Normal 2 2 2 19 5" xfId="23112"/>
    <cellStyle name="Normal 2 2 2 19 5 2" xfId="23113"/>
    <cellStyle name="Normal 2 2 2 19 5 3" xfId="23114"/>
    <cellStyle name="Normal 2 2 2 19 5 4" xfId="23115"/>
    <cellStyle name="Normal 2 2 2 19 6" xfId="23116"/>
    <cellStyle name="Normal 2 2 2 19 6 2" xfId="23117"/>
    <cellStyle name="Normal 2 2 2 19 7" xfId="23118"/>
    <cellStyle name="Normal 2 2 2 19 8" xfId="23119"/>
    <cellStyle name="Normal 2 2 2 19 9" xfId="23120"/>
    <cellStyle name="Normal 2 2 2 2" xfId="23121"/>
    <cellStyle name="Normal 2 2 2 2 10" xfId="23122"/>
    <cellStyle name="Normal 2 2 2 2 11" xfId="23123"/>
    <cellStyle name="Normal 2 2 2 2 2" xfId="23124"/>
    <cellStyle name="Normal 2 2 2 2 2 2" xfId="23125"/>
    <cellStyle name="Normal 2 2 2 2 2 2 2" xfId="23126"/>
    <cellStyle name="Normal 2 2 2 2 2 2 2 2" xfId="23127"/>
    <cellStyle name="Normal 2 2 2 2 2 2 2 3" xfId="23128"/>
    <cellStyle name="Normal 2 2 2 2 2 2 3" xfId="23129"/>
    <cellStyle name="Normal 2 2 2 2 2 2 4" xfId="23130"/>
    <cellStyle name="Normal 2 2 2 2 2 2 5" xfId="23131"/>
    <cellStyle name="Normal 2 2 2 2 2 2 6" xfId="23132"/>
    <cellStyle name="Normal 2 2 2 2 2 3" xfId="23133"/>
    <cellStyle name="Normal 2 2 2 2 2 3 2" xfId="23134"/>
    <cellStyle name="Normal 2 2 2 2 2 3 2 2" xfId="23135"/>
    <cellStyle name="Normal 2 2 2 2 2 3 3" xfId="23136"/>
    <cellStyle name="Normal 2 2 2 2 2 3 4" xfId="23137"/>
    <cellStyle name="Normal 2 2 2 2 2 3 5" xfId="23138"/>
    <cellStyle name="Normal 2 2 2 2 2 4" xfId="23139"/>
    <cellStyle name="Normal 2 2 2 2 2 4 2" xfId="23140"/>
    <cellStyle name="Normal 2 2 2 2 2 4 3" xfId="23141"/>
    <cellStyle name="Normal 2 2 2 2 2 4 4" xfId="23142"/>
    <cellStyle name="Normal 2 2 2 2 2 5" xfId="23143"/>
    <cellStyle name="Normal 2 2 2 2 2 5 2" xfId="23144"/>
    <cellStyle name="Normal 2 2 2 2 2 6" xfId="23145"/>
    <cellStyle name="Normal 2 2 2 2 2 7" xfId="23146"/>
    <cellStyle name="Normal 2 2 2 2 2 8" xfId="23147"/>
    <cellStyle name="Normal 2 2 2 2 2 9" xfId="23148"/>
    <cellStyle name="Normal 2 2 2 2 3" xfId="23149"/>
    <cellStyle name="Normal 2 2 2 2 3 2" xfId="23150"/>
    <cellStyle name="Normal 2 2 2 2 3 2 2" xfId="23151"/>
    <cellStyle name="Normal 2 2 2 2 3 2 2 2" xfId="23152"/>
    <cellStyle name="Normal 2 2 2 2 3 2 2 3" xfId="23153"/>
    <cellStyle name="Normal 2 2 2 2 3 2 3" xfId="23154"/>
    <cellStyle name="Normal 2 2 2 2 3 2 4" xfId="23155"/>
    <cellStyle name="Normal 2 2 2 2 3 2 5" xfId="23156"/>
    <cellStyle name="Normal 2 2 2 2 3 2 6" xfId="23157"/>
    <cellStyle name="Normal 2 2 2 2 3 3" xfId="23158"/>
    <cellStyle name="Normal 2 2 2 2 3 3 2" xfId="23159"/>
    <cellStyle name="Normal 2 2 2 2 3 3 2 2" xfId="23160"/>
    <cellStyle name="Normal 2 2 2 2 3 3 3" xfId="23161"/>
    <cellStyle name="Normal 2 2 2 2 3 3 4" xfId="23162"/>
    <cellStyle name="Normal 2 2 2 2 3 3 5" xfId="23163"/>
    <cellStyle name="Normal 2 2 2 2 3 4" xfId="23164"/>
    <cellStyle name="Normal 2 2 2 2 3 4 2" xfId="23165"/>
    <cellStyle name="Normal 2 2 2 2 3 4 3" xfId="23166"/>
    <cellStyle name="Normal 2 2 2 2 3 4 4" xfId="23167"/>
    <cellStyle name="Normal 2 2 2 2 3 5" xfId="23168"/>
    <cellStyle name="Normal 2 2 2 2 3 5 2" xfId="23169"/>
    <cellStyle name="Normal 2 2 2 2 3 6" xfId="23170"/>
    <cellStyle name="Normal 2 2 2 2 3 7" xfId="23171"/>
    <cellStyle name="Normal 2 2 2 2 3 8" xfId="23172"/>
    <cellStyle name="Normal 2 2 2 2 3 9" xfId="23173"/>
    <cellStyle name="Normal 2 2 2 2 4" xfId="23174"/>
    <cellStyle name="Normal 2 2 2 2 4 2" xfId="23175"/>
    <cellStyle name="Normal 2 2 2 2 4 2 2" xfId="23176"/>
    <cellStyle name="Normal 2 2 2 2 4 2 3" xfId="23177"/>
    <cellStyle name="Normal 2 2 2 2 4 3" xfId="23178"/>
    <cellStyle name="Normal 2 2 2 2 4 4" xfId="23179"/>
    <cellStyle name="Normal 2 2 2 2 4 5" xfId="23180"/>
    <cellStyle name="Normal 2 2 2 2 4 6" xfId="23181"/>
    <cellStyle name="Normal 2 2 2 2 5" xfId="23182"/>
    <cellStyle name="Normal 2 2 2 2 5 2" xfId="23183"/>
    <cellStyle name="Normal 2 2 2 2 5 2 2" xfId="23184"/>
    <cellStyle name="Normal 2 2 2 2 5 3" xfId="23185"/>
    <cellStyle name="Normal 2 2 2 2 5 4" xfId="23186"/>
    <cellStyle name="Normal 2 2 2 2 5 5" xfId="23187"/>
    <cellStyle name="Normal 2 2 2 2 6" xfId="23188"/>
    <cellStyle name="Normal 2 2 2 2 6 2" xfId="23189"/>
    <cellStyle name="Normal 2 2 2 2 6 3" xfId="23190"/>
    <cellStyle name="Normal 2 2 2 2 6 4" xfId="23191"/>
    <cellStyle name="Normal 2 2 2 2 7" xfId="23192"/>
    <cellStyle name="Normal 2 2 2 2 7 2" xfId="23193"/>
    <cellStyle name="Normal 2 2 2 2 8" xfId="23194"/>
    <cellStyle name="Normal 2 2 2 2 9" xfId="23195"/>
    <cellStyle name="Normal 2 2 2 20" xfId="23196"/>
    <cellStyle name="Normal 2 2 2 20 10" xfId="23197"/>
    <cellStyle name="Normal 2 2 2 20 2" xfId="23198"/>
    <cellStyle name="Normal 2 2 2 20 2 2" xfId="23199"/>
    <cellStyle name="Normal 2 2 2 20 2 2 2" xfId="23200"/>
    <cellStyle name="Normal 2 2 2 20 2 2 3" xfId="23201"/>
    <cellStyle name="Normal 2 2 2 20 2 3" xfId="23202"/>
    <cellStyle name="Normal 2 2 2 20 2 4" xfId="23203"/>
    <cellStyle name="Normal 2 2 2 20 2 5" xfId="23204"/>
    <cellStyle name="Normal 2 2 2 20 2 6" xfId="23205"/>
    <cellStyle name="Normal 2 2 2 20 3" xfId="23206"/>
    <cellStyle name="Normal 2 2 2 20 3 2" xfId="23207"/>
    <cellStyle name="Normal 2 2 2 20 3 2 2" xfId="23208"/>
    <cellStyle name="Normal 2 2 2 20 3 2 3" xfId="23209"/>
    <cellStyle name="Normal 2 2 2 20 3 3" xfId="23210"/>
    <cellStyle name="Normal 2 2 2 20 3 4" xfId="23211"/>
    <cellStyle name="Normal 2 2 2 20 3 5" xfId="23212"/>
    <cellStyle name="Normal 2 2 2 20 3 6" xfId="23213"/>
    <cellStyle name="Normal 2 2 2 20 4" xfId="23214"/>
    <cellStyle name="Normal 2 2 2 20 4 2" xfId="23215"/>
    <cellStyle name="Normal 2 2 2 20 4 2 2" xfId="23216"/>
    <cellStyle name="Normal 2 2 2 20 4 3" xfId="23217"/>
    <cellStyle name="Normal 2 2 2 20 4 4" xfId="23218"/>
    <cellStyle name="Normal 2 2 2 20 4 5" xfId="23219"/>
    <cellStyle name="Normal 2 2 2 20 5" xfId="23220"/>
    <cellStyle name="Normal 2 2 2 20 5 2" xfId="23221"/>
    <cellStyle name="Normal 2 2 2 20 5 3" xfId="23222"/>
    <cellStyle name="Normal 2 2 2 20 5 4" xfId="23223"/>
    <cellStyle name="Normal 2 2 2 20 6" xfId="23224"/>
    <cellStyle name="Normal 2 2 2 20 6 2" xfId="23225"/>
    <cellStyle name="Normal 2 2 2 20 7" xfId="23226"/>
    <cellStyle name="Normal 2 2 2 20 8" xfId="23227"/>
    <cellStyle name="Normal 2 2 2 20 9" xfId="23228"/>
    <cellStyle name="Normal 2 2 2 21" xfId="23229"/>
    <cellStyle name="Normal 2 2 2 21 10" xfId="23230"/>
    <cellStyle name="Normal 2 2 2 21 2" xfId="23231"/>
    <cellStyle name="Normal 2 2 2 21 2 2" xfId="23232"/>
    <cellStyle name="Normal 2 2 2 21 2 2 2" xfId="23233"/>
    <cellStyle name="Normal 2 2 2 21 2 2 3" xfId="23234"/>
    <cellStyle name="Normal 2 2 2 21 2 3" xfId="23235"/>
    <cellStyle name="Normal 2 2 2 21 2 4" xfId="23236"/>
    <cellStyle name="Normal 2 2 2 21 2 5" xfId="23237"/>
    <cellStyle name="Normal 2 2 2 21 2 6" xfId="23238"/>
    <cellStyle name="Normal 2 2 2 21 3" xfId="23239"/>
    <cellStyle name="Normal 2 2 2 21 3 2" xfId="23240"/>
    <cellStyle name="Normal 2 2 2 21 3 2 2" xfId="23241"/>
    <cellStyle name="Normal 2 2 2 21 3 2 3" xfId="23242"/>
    <cellStyle name="Normal 2 2 2 21 3 3" xfId="23243"/>
    <cellStyle name="Normal 2 2 2 21 3 4" xfId="23244"/>
    <cellStyle name="Normal 2 2 2 21 3 5" xfId="23245"/>
    <cellStyle name="Normal 2 2 2 21 3 6" xfId="23246"/>
    <cellStyle name="Normal 2 2 2 21 4" xfId="23247"/>
    <cellStyle name="Normal 2 2 2 21 4 2" xfId="23248"/>
    <cellStyle name="Normal 2 2 2 21 4 2 2" xfId="23249"/>
    <cellStyle name="Normal 2 2 2 21 4 3" xfId="23250"/>
    <cellStyle name="Normal 2 2 2 21 4 4" xfId="23251"/>
    <cellStyle name="Normal 2 2 2 21 4 5" xfId="23252"/>
    <cellStyle name="Normal 2 2 2 21 5" xfId="23253"/>
    <cellStyle name="Normal 2 2 2 21 5 2" xfId="23254"/>
    <cellStyle name="Normal 2 2 2 21 5 3" xfId="23255"/>
    <cellStyle name="Normal 2 2 2 21 5 4" xfId="23256"/>
    <cellStyle name="Normal 2 2 2 21 6" xfId="23257"/>
    <cellStyle name="Normal 2 2 2 21 6 2" xfId="23258"/>
    <cellStyle name="Normal 2 2 2 21 7" xfId="23259"/>
    <cellStyle name="Normal 2 2 2 21 8" xfId="23260"/>
    <cellStyle name="Normal 2 2 2 21 9" xfId="23261"/>
    <cellStyle name="Normal 2 2 2 22" xfId="23262"/>
    <cellStyle name="Normal 2 2 2 22 10" xfId="23263"/>
    <cellStyle name="Normal 2 2 2 22 2" xfId="23264"/>
    <cellStyle name="Normal 2 2 2 22 2 2" xfId="23265"/>
    <cellStyle name="Normal 2 2 2 22 2 2 2" xfId="23266"/>
    <cellStyle name="Normal 2 2 2 22 2 2 3" xfId="23267"/>
    <cellStyle name="Normal 2 2 2 22 2 3" xfId="23268"/>
    <cellStyle name="Normal 2 2 2 22 2 4" xfId="23269"/>
    <cellStyle name="Normal 2 2 2 22 2 5" xfId="23270"/>
    <cellStyle name="Normal 2 2 2 22 2 6" xfId="23271"/>
    <cellStyle name="Normal 2 2 2 22 3" xfId="23272"/>
    <cellStyle name="Normal 2 2 2 22 3 2" xfId="23273"/>
    <cellStyle name="Normal 2 2 2 22 3 2 2" xfId="23274"/>
    <cellStyle name="Normal 2 2 2 22 3 2 3" xfId="23275"/>
    <cellStyle name="Normal 2 2 2 22 3 3" xfId="23276"/>
    <cellStyle name="Normal 2 2 2 22 3 4" xfId="23277"/>
    <cellStyle name="Normal 2 2 2 22 3 5" xfId="23278"/>
    <cellStyle name="Normal 2 2 2 22 3 6" xfId="23279"/>
    <cellStyle name="Normal 2 2 2 22 4" xfId="23280"/>
    <cellStyle name="Normal 2 2 2 22 4 2" xfId="23281"/>
    <cellStyle name="Normal 2 2 2 22 4 2 2" xfId="23282"/>
    <cellStyle name="Normal 2 2 2 22 4 3" xfId="23283"/>
    <cellStyle name="Normal 2 2 2 22 4 4" xfId="23284"/>
    <cellStyle name="Normal 2 2 2 22 4 5" xfId="23285"/>
    <cellStyle name="Normal 2 2 2 22 5" xfId="23286"/>
    <cellStyle name="Normal 2 2 2 22 5 2" xfId="23287"/>
    <cellStyle name="Normal 2 2 2 22 5 3" xfId="23288"/>
    <cellStyle name="Normal 2 2 2 22 5 4" xfId="23289"/>
    <cellStyle name="Normal 2 2 2 22 6" xfId="23290"/>
    <cellStyle name="Normal 2 2 2 22 6 2" xfId="23291"/>
    <cellStyle name="Normal 2 2 2 22 7" xfId="23292"/>
    <cellStyle name="Normal 2 2 2 22 8" xfId="23293"/>
    <cellStyle name="Normal 2 2 2 22 9" xfId="23294"/>
    <cellStyle name="Normal 2 2 2 23" xfId="23295"/>
    <cellStyle name="Normal 2 2 2 23 10" xfId="23296"/>
    <cellStyle name="Normal 2 2 2 23 2" xfId="23297"/>
    <cellStyle name="Normal 2 2 2 23 2 2" xfId="23298"/>
    <cellStyle name="Normal 2 2 2 23 2 2 2" xfId="23299"/>
    <cellStyle name="Normal 2 2 2 23 2 2 3" xfId="23300"/>
    <cellStyle name="Normal 2 2 2 23 2 3" xfId="23301"/>
    <cellStyle name="Normal 2 2 2 23 2 4" xfId="23302"/>
    <cellStyle name="Normal 2 2 2 23 2 5" xfId="23303"/>
    <cellStyle name="Normal 2 2 2 23 2 6" xfId="23304"/>
    <cellStyle name="Normal 2 2 2 23 3" xfId="23305"/>
    <cellStyle name="Normal 2 2 2 23 3 2" xfId="23306"/>
    <cellStyle name="Normal 2 2 2 23 3 2 2" xfId="23307"/>
    <cellStyle name="Normal 2 2 2 23 3 2 3" xfId="23308"/>
    <cellStyle name="Normal 2 2 2 23 3 3" xfId="23309"/>
    <cellStyle name="Normal 2 2 2 23 3 4" xfId="23310"/>
    <cellStyle name="Normal 2 2 2 23 3 5" xfId="23311"/>
    <cellStyle name="Normal 2 2 2 23 3 6" xfId="23312"/>
    <cellStyle name="Normal 2 2 2 23 4" xfId="23313"/>
    <cellStyle name="Normal 2 2 2 23 4 2" xfId="23314"/>
    <cellStyle name="Normal 2 2 2 23 4 2 2" xfId="23315"/>
    <cellStyle name="Normal 2 2 2 23 4 3" xfId="23316"/>
    <cellStyle name="Normal 2 2 2 23 4 4" xfId="23317"/>
    <cellStyle name="Normal 2 2 2 23 4 5" xfId="23318"/>
    <cellStyle name="Normal 2 2 2 23 5" xfId="23319"/>
    <cellStyle name="Normal 2 2 2 23 5 2" xfId="23320"/>
    <cellStyle name="Normal 2 2 2 23 5 3" xfId="23321"/>
    <cellStyle name="Normal 2 2 2 23 5 4" xfId="23322"/>
    <cellStyle name="Normal 2 2 2 23 6" xfId="23323"/>
    <cellStyle name="Normal 2 2 2 23 6 2" xfId="23324"/>
    <cellStyle name="Normal 2 2 2 23 7" xfId="23325"/>
    <cellStyle name="Normal 2 2 2 23 8" xfId="23326"/>
    <cellStyle name="Normal 2 2 2 23 9" xfId="23327"/>
    <cellStyle name="Normal 2 2 2 24" xfId="23328"/>
    <cellStyle name="Normal 2 2 2 24 10" xfId="23329"/>
    <cellStyle name="Normal 2 2 2 24 2" xfId="23330"/>
    <cellStyle name="Normal 2 2 2 24 2 2" xfId="23331"/>
    <cellStyle name="Normal 2 2 2 24 2 2 2" xfId="23332"/>
    <cellStyle name="Normal 2 2 2 24 2 2 3" xfId="23333"/>
    <cellStyle name="Normal 2 2 2 24 2 3" xfId="23334"/>
    <cellStyle name="Normal 2 2 2 24 2 4" xfId="23335"/>
    <cellStyle name="Normal 2 2 2 24 2 5" xfId="23336"/>
    <cellStyle name="Normal 2 2 2 24 2 6" xfId="23337"/>
    <cellStyle name="Normal 2 2 2 24 3" xfId="23338"/>
    <cellStyle name="Normal 2 2 2 24 3 2" xfId="23339"/>
    <cellStyle name="Normal 2 2 2 24 3 2 2" xfId="23340"/>
    <cellStyle name="Normal 2 2 2 24 3 2 3" xfId="23341"/>
    <cellStyle name="Normal 2 2 2 24 3 3" xfId="23342"/>
    <cellStyle name="Normal 2 2 2 24 3 4" xfId="23343"/>
    <cellStyle name="Normal 2 2 2 24 3 5" xfId="23344"/>
    <cellStyle name="Normal 2 2 2 24 3 6" xfId="23345"/>
    <cellStyle name="Normal 2 2 2 24 4" xfId="23346"/>
    <cellStyle name="Normal 2 2 2 24 4 2" xfId="23347"/>
    <cellStyle name="Normal 2 2 2 24 4 2 2" xfId="23348"/>
    <cellStyle name="Normal 2 2 2 24 4 3" xfId="23349"/>
    <cellStyle name="Normal 2 2 2 24 4 4" xfId="23350"/>
    <cellStyle name="Normal 2 2 2 24 4 5" xfId="23351"/>
    <cellStyle name="Normal 2 2 2 24 5" xfId="23352"/>
    <cellStyle name="Normal 2 2 2 24 5 2" xfId="23353"/>
    <cellStyle name="Normal 2 2 2 24 5 3" xfId="23354"/>
    <cellStyle name="Normal 2 2 2 24 5 4" xfId="23355"/>
    <cellStyle name="Normal 2 2 2 24 6" xfId="23356"/>
    <cellStyle name="Normal 2 2 2 24 6 2" xfId="23357"/>
    <cellStyle name="Normal 2 2 2 24 7" xfId="23358"/>
    <cellStyle name="Normal 2 2 2 24 8" xfId="23359"/>
    <cellStyle name="Normal 2 2 2 24 9" xfId="23360"/>
    <cellStyle name="Normal 2 2 2 25" xfId="23361"/>
    <cellStyle name="Normal 2 2 2 25 10" xfId="23362"/>
    <cellStyle name="Normal 2 2 2 25 2" xfId="23363"/>
    <cellStyle name="Normal 2 2 2 25 2 2" xfId="23364"/>
    <cellStyle name="Normal 2 2 2 25 2 2 2" xfId="23365"/>
    <cellStyle name="Normal 2 2 2 25 2 2 3" xfId="23366"/>
    <cellStyle name="Normal 2 2 2 25 2 3" xfId="23367"/>
    <cellStyle name="Normal 2 2 2 25 2 4" xfId="23368"/>
    <cellStyle name="Normal 2 2 2 25 2 5" xfId="23369"/>
    <cellStyle name="Normal 2 2 2 25 2 6" xfId="23370"/>
    <cellStyle name="Normal 2 2 2 25 3" xfId="23371"/>
    <cellStyle name="Normal 2 2 2 25 3 2" xfId="23372"/>
    <cellStyle name="Normal 2 2 2 25 3 2 2" xfId="23373"/>
    <cellStyle name="Normal 2 2 2 25 3 2 3" xfId="23374"/>
    <cellStyle name="Normal 2 2 2 25 3 3" xfId="23375"/>
    <cellStyle name="Normal 2 2 2 25 3 4" xfId="23376"/>
    <cellStyle name="Normal 2 2 2 25 3 5" xfId="23377"/>
    <cellStyle name="Normal 2 2 2 25 3 6" xfId="23378"/>
    <cellStyle name="Normal 2 2 2 25 4" xfId="23379"/>
    <cellStyle name="Normal 2 2 2 25 4 2" xfId="23380"/>
    <cellStyle name="Normal 2 2 2 25 4 2 2" xfId="23381"/>
    <cellStyle name="Normal 2 2 2 25 4 3" xfId="23382"/>
    <cellStyle name="Normal 2 2 2 25 4 4" xfId="23383"/>
    <cellStyle name="Normal 2 2 2 25 4 5" xfId="23384"/>
    <cellStyle name="Normal 2 2 2 25 5" xfId="23385"/>
    <cellStyle name="Normal 2 2 2 25 5 2" xfId="23386"/>
    <cellStyle name="Normal 2 2 2 25 5 3" xfId="23387"/>
    <cellStyle name="Normal 2 2 2 25 5 4" xfId="23388"/>
    <cellStyle name="Normal 2 2 2 25 6" xfId="23389"/>
    <cellStyle name="Normal 2 2 2 25 6 2" xfId="23390"/>
    <cellStyle name="Normal 2 2 2 25 7" xfId="23391"/>
    <cellStyle name="Normal 2 2 2 25 8" xfId="23392"/>
    <cellStyle name="Normal 2 2 2 25 9" xfId="23393"/>
    <cellStyle name="Normal 2 2 2 26" xfId="23394"/>
    <cellStyle name="Normal 2 2 2 26 10" xfId="23395"/>
    <cellStyle name="Normal 2 2 2 26 2" xfId="23396"/>
    <cellStyle name="Normal 2 2 2 26 2 2" xfId="23397"/>
    <cellStyle name="Normal 2 2 2 26 2 2 2" xfId="23398"/>
    <cellStyle name="Normal 2 2 2 26 2 2 3" xfId="23399"/>
    <cellStyle name="Normal 2 2 2 26 2 3" xfId="23400"/>
    <cellStyle name="Normal 2 2 2 26 2 4" xfId="23401"/>
    <cellStyle name="Normal 2 2 2 26 2 5" xfId="23402"/>
    <cellStyle name="Normal 2 2 2 26 2 6" xfId="23403"/>
    <cellStyle name="Normal 2 2 2 26 3" xfId="23404"/>
    <cellStyle name="Normal 2 2 2 26 3 2" xfId="23405"/>
    <cellStyle name="Normal 2 2 2 26 3 2 2" xfId="23406"/>
    <cellStyle name="Normal 2 2 2 26 3 2 3" xfId="23407"/>
    <cellStyle name="Normal 2 2 2 26 3 3" xfId="23408"/>
    <cellStyle name="Normal 2 2 2 26 3 4" xfId="23409"/>
    <cellStyle name="Normal 2 2 2 26 3 5" xfId="23410"/>
    <cellStyle name="Normal 2 2 2 26 3 6" xfId="23411"/>
    <cellStyle name="Normal 2 2 2 26 4" xfId="23412"/>
    <cellStyle name="Normal 2 2 2 26 4 2" xfId="23413"/>
    <cellStyle name="Normal 2 2 2 26 4 2 2" xfId="23414"/>
    <cellStyle name="Normal 2 2 2 26 4 3" xfId="23415"/>
    <cellStyle name="Normal 2 2 2 26 4 4" xfId="23416"/>
    <cellStyle name="Normal 2 2 2 26 4 5" xfId="23417"/>
    <cellStyle name="Normal 2 2 2 26 5" xfId="23418"/>
    <cellStyle name="Normal 2 2 2 26 5 2" xfId="23419"/>
    <cellStyle name="Normal 2 2 2 26 5 3" xfId="23420"/>
    <cellStyle name="Normal 2 2 2 26 5 4" xfId="23421"/>
    <cellStyle name="Normal 2 2 2 26 6" xfId="23422"/>
    <cellStyle name="Normal 2 2 2 26 6 2" xfId="23423"/>
    <cellStyle name="Normal 2 2 2 26 7" xfId="23424"/>
    <cellStyle name="Normal 2 2 2 26 8" xfId="23425"/>
    <cellStyle name="Normal 2 2 2 26 9" xfId="23426"/>
    <cellStyle name="Normal 2 2 2 27" xfId="23427"/>
    <cellStyle name="Normal 2 2 2 27 10" xfId="23428"/>
    <cellStyle name="Normal 2 2 2 27 2" xfId="23429"/>
    <cellStyle name="Normal 2 2 2 27 2 2" xfId="23430"/>
    <cellStyle name="Normal 2 2 2 27 2 2 2" xfId="23431"/>
    <cellStyle name="Normal 2 2 2 27 2 2 3" xfId="23432"/>
    <cellStyle name="Normal 2 2 2 27 2 3" xfId="23433"/>
    <cellStyle name="Normal 2 2 2 27 2 4" xfId="23434"/>
    <cellStyle name="Normal 2 2 2 27 2 5" xfId="23435"/>
    <cellStyle name="Normal 2 2 2 27 2 6" xfId="23436"/>
    <cellStyle name="Normal 2 2 2 27 3" xfId="23437"/>
    <cellStyle name="Normal 2 2 2 27 3 2" xfId="23438"/>
    <cellStyle name="Normal 2 2 2 27 3 2 2" xfId="23439"/>
    <cellStyle name="Normal 2 2 2 27 3 2 3" xfId="23440"/>
    <cellStyle name="Normal 2 2 2 27 3 3" xfId="23441"/>
    <cellStyle name="Normal 2 2 2 27 3 4" xfId="23442"/>
    <cellStyle name="Normal 2 2 2 27 3 5" xfId="23443"/>
    <cellStyle name="Normal 2 2 2 27 3 6" xfId="23444"/>
    <cellStyle name="Normal 2 2 2 27 4" xfId="23445"/>
    <cellStyle name="Normal 2 2 2 27 4 2" xfId="23446"/>
    <cellStyle name="Normal 2 2 2 27 4 2 2" xfId="23447"/>
    <cellStyle name="Normal 2 2 2 27 4 3" xfId="23448"/>
    <cellStyle name="Normal 2 2 2 27 4 4" xfId="23449"/>
    <cellStyle name="Normal 2 2 2 27 4 5" xfId="23450"/>
    <cellStyle name="Normal 2 2 2 27 5" xfId="23451"/>
    <cellStyle name="Normal 2 2 2 27 5 2" xfId="23452"/>
    <cellStyle name="Normal 2 2 2 27 5 3" xfId="23453"/>
    <cellStyle name="Normal 2 2 2 27 5 4" xfId="23454"/>
    <cellStyle name="Normal 2 2 2 27 6" xfId="23455"/>
    <cellStyle name="Normal 2 2 2 27 6 2" xfId="23456"/>
    <cellStyle name="Normal 2 2 2 27 7" xfId="23457"/>
    <cellStyle name="Normal 2 2 2 27 8" xfId="23458"/>
    <cellStyle name="Normal 2 2 2 27 9" xfId="23459"/>
    <cellStyle name="Normal 2 2 2 28" xfId="23460"/>
    <cellStyle name="Normal 2 2 2 28 10" xfId="23461"/>
    <cellStyle name="Normal 2 2 2 28 2" xfId="23462"/>
    <cellStyle name="Normal 2 2 2 28 2 2" xfId="23463"/>
    <cellStyle name="Normal 2 2 2 28 2 2 2" xfId="23464"/>
    <cellStyle name="Normal 2 2 2 28 2 2 3" xfId="23465"/>
    <cellStyle name="Normal 2 2 2 28 2 3" xfId="23466"/>
    <cellStyle name="Normal 2 2 2 28 2 4" xfId="23467"/>
    <cellStyle name="Normal 2 2 2 28 2 5" xfId="23468"/>
    <cellStyle name="Normal 2 2 2 28 2 6" xfId="23469"/>
    <cellStyle name="Normal 2 2 2 28 3" xfId="23470"/>
    <cellStyle name="Normal 2 2 2 28 3 2" xfId="23471"/>
    <cellStyle name="Normal 2 2 2 28 3 2 2" xfId="23472"/>
    <cellStyle name="Normal 2 2 2 28 3 2 3" xfId="23473"/>
    <cellStyle name="Normal 2 2 2 28 3 3" xfId="23474"/>
    <cellStyle name="Normal 2 2 2 28 3 4" xfId="23475"/>
    <cellStyle name="Normal 2 2 2 28 3 5" xfId="23476"/>
    <cellStyle name="Normal 2 2 2 28 3 6" xfId="23477"/>
    <cellStyle name="Normal 2 2 2 28 4" xfId="23478"/>
    <cellStyle name="Normal 2 2 2 28 4 2" xfId="23479"/>
    <cellStyle name="Normal 2 2 2 28 4 2 2" xfId="23480"/>
    <cellStyle name="Normal 2 2 2 28 4 3" xfId="23481"/>
    <cellStyle name="Normal 2 2 2 28 4 4" xfId="23482"/>
    <cellStyle name="Normal 2 2 2 28 4 5" xfId="23483"/>
    <cellStyle name="Normal 2 2 2 28 5" xfId="23484"/>
    <cellStyle name="Normal 2 2 2 28 5 2" xfId="23485"/>
    <cellStyle name="Normal 2 2 2 28 5 3" xfId="23486"/>
    <cellStyle name="Normal 2 2 2 28 5 4" xfId="23487"/>
    <cellStyle name="Normal 2 2 2 28 6" xfId="23488"/>
    <cellStyle name="Normal 2 2 2 28 6 2" xfId="23489"/>
    <cellStyle name="Normal 2 2 2 28 7" xfId="23490"/>
    <cellStyle name="Normal 2 2 2 28 8" xfId="23491"/>
    <cellStyle name="Normal 2 2 2 28 9" xfId="23492"/>
    <cellStyle name="Normal 2 2 2 29" xfId="23493"/>
    <cellStyle name="Normal 2 2 2 29 10" xfId="23494"/>
    <cellStyle name="Normal 2 2 2 29 2" xfId="23495"/>
    <cellStyle name="Normal 2 2 2 29 2 2" xfId="23496"/>
    <cellStyle name="Normal 2 2 2 29 2 2 2" xfId="23497"/>
    <cellStyle name="Normal 2 2 2 29 2 2 3" xfId="23498"/>
    <cellStyle name="Normal 2 2 2 29 2 3" xfId="23499"/>
    <cellStyle name="Normal 2 2 2 29 2 4" xfId="23500"/>
    <cellStyle name="Normal 2 2 2 29 2 5" xfId="23501"/>
    <cellStyle name="Normal 2 2 2 29 2 6" xfId="23502"/>
    <cellStyle name="Normal 2 2 2 29 3" xfId="23503"/>
    <cellStyle name="Normal 2 2 2 29 3 2" xfId="23504"/>
    <cellStyle name="Normal 2 2 2 29 3 2 2" xfId="23505"/>
    <cellStyle name="Normal 2 2 2 29 3 2 3" xfId="23506"/>
    <cellStyle name="Normal 2 2 2 29 3 3" xfId="23507"/>
    <cellStyle name="Normal 2 2 2 29 3 4" xfId="23508"/>
    <cellStyle name="Normal 2 2 2 29 3 5" xfId="23509"/>
    <cellStyle name="Normal 2 2 2 29 3 6" xfId="23510"/>
    <cellStyle name="Normal 2 2 2 29 4" xfId="23511"/>
    <cellStyle name="Normal 2 2 2 29 4 2" xfId="23512"/>
    <cellStyle name="Normal 2 2 2 29 4 2 2" xfId="23513"/>
    <cellStyle name="Normal 2 2 2 29 4 3" xfId="23514"/>
    <cellStyle name="Normal 2 2 2 29 4 4" xfId="23515"/>
    <cellStyle name="Normal 2 2 2 29 4 5" xfId="23516"/>
    <cellStyle name="Normal 2 2 2 29 5" xfId="23517"/>
    <cellStyle name="Normal 2 2 2 29 5 2" xfId="23518"/>
    <cellStyle name="Normal 2 2 2 29 5 3" xfId="23519"/>
    <cellStyle name="Normal 2 2 2 29 5 4" xfId="23520"/>
    <cellStyle name="Normal 2 2 2 29 6" xfId="23521"/>
    <cellStyle name="Normal 2 2 2 29 6 2" xfId="23522"/>
    <cellStyle name="Normal 2 2 2 29 7" xfId="23523"/>
    <cellStyle name="Normal 2 2 2 29 8" xfId="23524"/>
    <cellStyle name="Normal 2 2 2 29 9" xfId="23525"/>
    <cellStyle name="Normal 2 2 2 3" xfId="23526"/>
    <cellStyle name="Normal 2 2 2 3 10" xfId="23527"/>
    <cellStyle name="Normal 2 2 2 3 11" xfId="23528"/>
    <cellStyle name="Normal 2 2 2 3 2" xfId="23529"/>
    <cellStyle name="Normal 2 2 2 3 2 2" xfId="23530"/>
    <cellStyle name="Normal 2 2 2 3 2 2 2" xfId="23531"/>
    <cellStyle name="Normal 2 2 2 3 2 2 2 2" xfId="23532"/>
    <cellStyle name="Normal 2 2 2 3 2 2 2 3" xfId="23533"/>
    <cellStyle name="Normal 2 2 2 3 2 2 3" xfId="23534"/>
    <cellStyle name="Normal 2 2 2 3 2 2 4" xfId="23535"/>
    <cellStyle name="Normal 2 2 2 3 2 2 5" xfId="23536"/>
    <cellStyle name="Normal 2 2 2 3 2 2 6" xfId="23537"/>
    <cellStyle name="Normal 2 2 2 3 2 3" xfId="23538"/>
    <cellStyle name="Normal 2 2 2 3 2 3 2" xfId="23539"/>
    <cellStyle name="Normal 2 2 2 3 2 3 2 2" xfId="23540"/>
    <cellStyle name="Normal 2 2 2 3 2 3 3" xfId="23541"/>
    <cellStyle name="Normal 2 2 2 3 2 3 4" xfId="23542"/>
    <cellStyle name="Normal 2 2 2 3 2 3 5" xfId="23543"/>
    <cellStyle name="Normal 2 2 2 3 2 4" xfId="23544"/>
    <cellStyle name="Normal 2 2 2 3 2 4 2" xfId="23545"/>
    <cellStyle name="Normal 2 2 2 3 2 4 3" xfId="23546"/>
    <cellStyle name="Normal 2 2 2 3 2 4 4" xfId="23547"/>
    <cellStyle name="Normal 2 2 2 3 2 5" xfId="23548"/>
    <cellStyle name="Normal 2 2 2 3 2 5 2" xfId="23549"/>
    <cellStyle name="Normal 2 2 2 3 2 6" xfId="23550"/>
    <cellStyle name="Normal 2 2 2 3 2 7" xfId="23551"/>
    <cellStyle name="Normal 2 2 2 3 2 8" xfId="23552"/>
    <cellStyle name="Normal 2 2 2 3 2 9" xfId="23553"/>
    <cellStyle name="Normal 2 2 2 3 3" xfId="23554"/>
    <cellStyle name="Normal 2 2 2 3 3 2" xfId="23555"/>
    <cellStyle name="Normal 2 2 2 3 3 2 2" xfId="23556"/>
    <cellStyle name="Normal 2 2 2 3 3 2 2 2" xfId="23557"/>
    <cellStyle name="Normal 2 2 2 3 3 2 2 3" xfId="23558"/>
    <cellStyle name="Normal 2 2 2 3 3 2 3" xfId="23559"/>
    <cellStyle name="Normal 2 2 2 3 3 2 4" xfId="23560"/>
    <cellStyle name="Normal 2 2 2 3 3 2 5" xfId="23561"/>
    <cellStyle name="Normal 2 2 2 3 3 2 6" xfId="23562"/>
    <cellStyle name="Normal 2 2 2 3 3 3" xfId="23563"/>
    <cellStyle name="Normal 2 2 2 3 3 3 2" xfId="23564"/>
    <cellStyle name="Normal 2 2 2 3 3 3 2 2" xfId="23565"/>
    <cellStyle name="Normal 2 2 2 3 3 3 3" xfId="23566"/>
    <cellStyle name="Normal 2 2 2 3 3 3 4" xfId="23567"/>
    <cellStyle name="Normal 2 2 2 3 3 3 5" xfId="23568"/>
    <cellStyle name="Normal 2 2 2 3 3 4" xfId="23569"/>
    <cellStyle name="Normal 2 2 2 3 3 4 2" xfId="23570"/>
    <cellStyle name="Normal 2 2 2 3 3 4 3" xfId="23571"/>
    <cellStyle name="Normal 2 2 2 3 3 4 4" xfId="23572"/>
    <cellStyle name="Normal 2 2 2 3 3 5" xfId="23573"/>
    <cellStyle name="Normal 2 2 2 3 3 5 2" xfId="23574"/>
    <cellStyle name="Normal 2 2 2 3 3 6" xfId="23575"/>
    <cellStyle name="Normal 2 2 2 3 3 7" xfId="23576"/>
    <cellStyle name="Normal 2 2 2 3 3 8" xfId="23577"/>
    <cellStyle name="Normal 2 2 2 3 3 9" xfId="23578"/>
    <cellStyle name="Normal 2 2 2 3 4" xfId="23579"/>
    <cellStyle name="Normal 2 2 2 3 4 2" xfId="23580"/>
    <cellStyle name="Normal 2 2 2 3 4 2 2" xfId="23581"/>
    <cellStyle name="Normal 2 2 2 3 4 2 3" xfId="23582"/>
    <cellStyle name="Normal 2 2 2 3 4 3" xfId="23583"/>
    <cellStyle name="Normal 2 2 2 3 4 4" xfId="23584"/>
    <cellStyle name="Normal 2 2 2 3 4 5" xfId="23585"/>
    <cellStyle name="Normal 2 2 2 3 4 6" xfId="23586"/>
    <cellStyle name="Normal 2 2 2 3 5" xfId="23587"/>
    <cellStyle name="Normal 2 2 2 3 5 2" xfId="23588"/>
    <cellStyle name="Normal 2 2 2 3 5 2 2" xfId="23589"/>
    <cellStyle name="Normal 2 2 2 3 5 3" xfId="23590"/>
    <cellStyle name="Normal 2 2 2 3 5 4" xfId="23591"/>
    <cellStyle name="Normal 2 2 2 3 5 5" xfId="23592"/>
    <cellStyle name="Normal 2 2 2 3 6" xfId="23593"/>
    <cellStyle name="Normal 2 2 2 3 6 2" xfId="23594"/>
    <cellStyle name="Normal 2 2 2 3 6 3" xfId="23595"/>
    <cellStyle name="Normal 2 2 2 3 6 4" xfId="23596"/>
    <cellStyle name="Normal 2 2 2 3 7" xfId="23597"/>
    <cellStyle name="Normal 2 2 2 3 7 2" xfId="23598"/>
    <cellStyle name="Normal 2 2 2 3 8" xfId="23599"/>
    <cellStyle name="Normal 2 2 2 3 9" xfId="23600"/>
    <cellStyle name="Normal 2 2 2 30" xfId="23601"/>
    <cellStyle name="Normal 2 2 2 30 10" xfId="23602"/>
    <cellStyle name="Normal 2 2 2 30 2" xfId="23603"/>
    <cellStyle name="Normal 2 2 2 30 2 2" xfId="23604"/>
    <cellStyle name="Normal 2 2 2 30 2 2 2" xfId="23605"/>
    <cellStyle name="Normal 2 2 2 30 2 2 3" xfId="23606"/>
    <cellStyle name="Normal 2 2 2 30 2 3" xfId="23607"/>
    <cellStyle name="Normal 2 2 2 30 2 4" xfId="23608"/>
    <cellStyle name="Normal 2 2 2 30 2 5" xfId="23609"/>
    <cellStyle name="Normal 2 2 2 30 2 6" xfId="23610"/>
    <cellStyle name="Normal 2 2 2 30 3" xfId="23611"/>
    <cellStyle name="Normal 2 2 2 30 3 2" xfId="23612"/>
    <cellStyle name="Normal 2 2 2 30 3 2 2" xfId="23613"/>
    <cellStyle name="Normal 2 2 2 30 3 2 3" xfId="23614"/>
    <cellStyle name="Normal 2 2 2 30 3 3" xfId="23615"/>
    <cellStyle name="Normal 2 2 2 30 3 4" xfId="23616"/>
    <cellStyle name="Normal 2 2 2 30 3 5" xfId="23617"/>
    <cellStyle name="Normal 2 2 2 30 3 6" xfId="23618"/>
    <cellStyle name="Normal 2 2 2 30 4" xfId="23619"/>
    <cellStyle name="Normal 2 2 2 30 4 2" xfId="23620"/>
    <cellStyle name="Normal 2 2 2 30 4 2 2" xfId="23621"/>
    <cellStyle name="Normal 2 2 2 30 4 3" xfId="23622"/>
    <cellStyle name="Normal 2 2 2 30 4 4" xfId="23623"/>
    <cellStyle name="Normal 2 2 2 30 4 5" xfId="23624"/>
    <cellStyle name="Normal 2 2 2 30 5" xfId="23625"/>
    <cellStyle name="Normal 2 2 2 30 5 2" xfId="23626"/>
    <cellStyle name="Normal 2 2 2 30 5 3" xfId="23627"/>
    <cellStyle name="Normal 2 2 2 30 5 4" xfId="23628"/>
    <cellStyle name="Normal 2 2 2 30 6" xfId="23629"/>
    <cellStyle name="Normal 2 2 2 30 6 2" xfId="23630"/>
    <cellStyle name="Normal 2 2 2 30 7" xfId="23631"/>
    <cellStyle name="Normal 2 2 2 30 8" xfId="23632"/>
    <cellStyle name="Normal 2 2 2 30 9" xfId="23633"/>
    <cellStyle name="Normal 2 2 2 31" xfId="23634"/>
    <cellStyle name="Normal 2 2 2 31 10" xfId="23635"/>
    <cellStyle name="Normal 2 2 2 31 2" xfId="23636"/>
    <cellStyle name="Normal 2 2 2 31 2 2" xfId="23637"/>
    <cellStyle name="Normal 2 2 2 31 2 2 2" xfId="23638"/>
    <cellStyle name="Normal 2 2 2 31 2 2 3" xfId="23639"/>
    <cellStyle name="Normal 2 2 2 31 2 3" xfId="23640"/>
    <cellStyle name="Normal 2 2 2 31 2 4" xfId="23641"/>
    <cellStyle name="Normal 2 2 2 31 2 5" xfId="23642"/>
    <cellStyle name="Normal 2 2 2 31 2 6" xfId="23643"/>
    <cellStyle name="Normal 2 2 2 31 3" xfId="23644"/>
    <cellStyle name="Normal 2 2 2 31 3 2" xfId="23645"/>
    <cellStyle name="Normal 2 2 2 31 3 2 2" xfId="23646"/>
    <cellStyle name="Normal 2 2 2 31 3 2 3" xfId="23647"/>
    <cellStyle name="Normal 2 2 2 31 3 3" xfId="23648"/>
    <cellStyle name="Normal 2 2 2 31 3 4" xfId="23649"/>
    <cellStyle name="Normal 2 2 2 31 3 5" xfId="23650"/>
    <cellStyle name="Normal 2 2 2 31 3 6" xfId="23651"/>
    <cellStyle name="Normal 2 2 2 31 4" xfId="23652"/>
    <cellStyle name="Normal 2 2 2 31 4 2" xfId="23653"/>
    <cellStyle name="Normal 2 2 2 31 4 2 2" xfId="23654"/>
    <cellStyle name="Normal 2 2 2 31 4 3" xfId="23655"/>
    <cellStyle name="Normal 2 2 2 31 4 4" xfId="23656"/>
    <cellStyle name="Normal 2 2 2 31 4 5" xfId="23657"/>
    <cellStyle name="Normal 2 2 2 31 5" xfId="23658"/>
    <cellStyle name="Normal 2 2 2 31 5 2" xfId="23659"/>
    <cellStyle name="Normal 2 2 2 31 5 3" xfId="23660"/>
    <cellStyle name="Normal 2 2 2 31 5 4" xfId="23661"/>
    <cellStyle name="Normal 2 2 2 31 6" xfId="23662"/>
    <cellStyle name="Normal 2 2 2 31 6 2" xfId="23663"/>
    <cellStyle name="Normal 2 2 2 31 7" xfId="23664"/>
    <cellStyle name="Normal 2 2 2 31 8" xfId="23665"/>
    <cellStyle name="Normal 2 2 2 31 9" xfId="23666"/>
    <cellStyle name="Normal 2 2 2 32" xfId="23667"/>
    <cellStyle name="Normal 2 2 2 32 10" xfId="23668"/>
    <cellStyle name="Normal 2 2 2 32 2" xfId="23669"/>
    <cellStyle name="Normal 2 2 2 32 2 2" xfId="23670"/>
    <cellStyle name="Normal 2 2 2 32 2 2 2" xfId="23671"/>
    <cellStyle name="Normal 2 2 2 32 2 2 3" xfId="23672"/>
    <cellStyle name="Normal 2 2 2 32 2 3" xfId="23673"/>
    <cellStyle name="Normal 2 2 2 32 2 4" xfId="23674"/>
    <cellStyle name="Normal 2 2 2 32 2 5" xfId="23675"/>
    <cellStyle name="Normal 2 2 2 32 2 6" xfId="23676"/>
    <cellStyle name="Normal 2 2 2 32 3" xfId="23677"/>
    <cellStyle name="Normal 2 2 2 32 3 2" xfId="23678"/>
    <cellStyle name="Normal 2 2 2 32 3 2 2" xfId="23679"/>
    <cellStyle name="Normal 2 2 2 32 3 2 3" xfId="23680"/>
    <cellStyle name="Normal 2 2 2 32 3 3" xfId="23681"/>
    <cellStyle name="Normal 2 2 2 32 3 4" xfId="23682"/>
    <cellStyle name="Normal 2 2 2 32 3 5" xfId="23683"/>
    <cellStyle name="Normal 2 2 2 32 3 6" xfId="23684"/>
    <cellStyle name="Normal 2 2 2 32 4" xfId="23685"/>
    <cellStyle name="Normal 2 2 2 32 4 2" xfId="23686"/>
    <cellStyle name="Normal 2 2 2 32 4 2 2" xfId="23687"/>
    <cellStyle name="Normal 2 2 2 32 4 3" xfId="23688"/>
    <cellStyle name="Normal 2 2 2 32 4 4" xfId="23689"/>
    <cellStyle name="Normal 2 2 2 32 4 5" xfId="23690"/>
    <cellStyle name="Normal 2 2 2 32 5" xfId="23691"/>
    <cellStyle name="Normal 2 2 2 32 5 2" xfId="23692"/>
    <cellStyle name="Normal 2 2 2 32 5 3" xfId="23693"/>
    <cellStyle name="Normal 2 2 2 32 5 4" xfId="23694"/>
    <cellStyle name="Normal 2 2 2 32 6" xfId="23695"/>
    <cellStyle name="Normal 2 2 2 32 6 2" xfId="23696"/>
    <cellStyle name="Normal 2 2 2 32 7" xfId="23697"/>
    <cellStyle name="Normal 2 2 2 32 8" xfId="23698"/>
    <cellStyle name="Normal 2 2 2 32 9" xfId="23699"/>
    <cellStyle name="Normal 2 2 2 33" xfId="23700"/>
    <cellStyle name="Normal 2 2 2 33 2" xfId="23701"/>
    <cellStyle name="Normal 2 2 2 33 2 2" xfId="23702"/>
    <cellStyle name="Normal 2 2 2 33 2 2 2" xfId="23703"/>
    <cellStyle name="Normal 2 2 2 33 2 2 3" xfId="23704"/>
    <cellStyle name="Normal 2 2 2 33 2 3" xfId="23705"/>
    <cellStyle name="Normal 2 2 2 33 2 4" xfId="23706"/>
    <cellStyle name="Normal 2 2 2 33 2 5" xfId="23707"/>
    <cellStyle name="Normal 2 2 2 33 2 6" xfId="23708"/>
    <cellStyle name="Normal 2 2 2 33 3" xfId="23709"/>
    <cellStyle name="Normal 2 2 2 33 3 2" xfId="23710"/>
    <cellStyle name="Normal 2 2 2 33 3 2 2" xfId="23711"/>
    <cellStyle name="Normal 2 2 2 33 3 3" xfId="23712"/>
    <cellStyle name="Normal 2 2 2 33 3 4" xfId="23713"/>
    <cellStyle name="Normal 2 2 2 33 3 5" xfId="23714"/>
    <cellStyle name="Normal 2 2 2 33 4" xfId="23715"/>
    <cellStyle name="Normal 2 2 2 33 4 2" xfId="23716"/>
    <cellStyle name="Normal 2 2 2 33 4 3" xfId="23717"/>
    <cellStyle name="Normal 2 2 2 33 4 4" xfId="23718"/>
    <cellStyle name="Normal 2 2 2 33 5" xfId="23719"/>
    <cellStyle name="Normal 2 2 2 33 5 2" xfId="23720"/>
    <cellStyle name="Normal 2 2 2 33 6" xfId="23721"/>
    <cellStyle name="Normal 2 2 2 33 7" xfId="23722"/>
    <cellStyle name="Normal 2 2 2 33 8" xfId="23723"/>
    <cellStyle name="Normal 2 2 2 33 9" xfId="23724"/>
    <cellStyle name="Normal 2 2 2 34" xfId="23725"/>
    <cellStyle name="Normal 2 2 2 34 2" xfId="23726"/>
    <cellStyle name="Normal 2 2 2 34 3" xfId="23727"/>
    <cellStyle name="Normal 2 2 2 34 4" xfId="23728"/>
    <cellStyle name="Normal 2 2 2 35" xfId="23729"/>
    <cellStyle name="Normal 2 2 2 35 2" xfId="23730"/>
    <cellStyle name="Normal 2 2 2 35 2 2" xfId="23731"/>
    <cellStyle name="Normal 2 2 2 35 2 3" xfId="23732"/>
    <cellStyle name="Normal 2 2 2 35 3" xfId="23733"/>
    <cellStyle name="Normal 2 2 2 35 4" xfId="23734"/>
    <cellStyle name="Normal 2 2 2 35 5" xfId="23735"/>
    <cellStyle name="Normal 2 2 2 35 6" xfId="23736"/>
    <cellStyle name="Normal 2 2 2 36" xfId="23737"/>
    <cellStyle name="Normal 2 2 2 36 2" xfId="23738"/>
    <cellStyle name="Normal 2 2 2 36 2 2" xfId="23739"/>
    <cellStyle name="Normal 2 2 2 36 3" xfId="23740"/>
    <cellStyle name="Normal 2 2 2 36 4" xfId="23741"/>
    <cellStyle name="Normal 2 2 2 36 5" xfId="23742"/>
    <cellStyle name="Normal 2 2 2 36 6" xfId="23743"/>
    <cellStyle name="Normal 2 2 2 37" xfId="23744"/>
    <cellStyle name="Normal 2 2 2 37 2" xfId="23745"/>
    <cellStyle name="Normal 2 2 2 37 3" xfId="23746"/>
    <cellStyle name="Normal 2 2 2 38" xfId="23747"/>
    <cellStyle name="Normal 2 2 2 39" xfId="23748"/>
    <cellStyle name="Normal 2 2 2 4" xfId="23749"/>
    <cellStyle name="Normal 2 2 2 4 10" xfId="23750"/>
    <cellStyle name="Normal 2 2 2 4 11" xfId="23751"/>
    <cellStyle name="Normal 2 2 2 4 2" xfId="23752"/>
    <cellStyle name="Normal 2 2 2 4 2 2" xfId="23753"/>
    <cellStyle name="Normal 2 2 2 4 2 2 2" xfId="23754"/>
    <cellStyle name="Normal 2 2 2 4 2 2 2 2" xfId="23755"/>
    <cellStyle name="Normal 2 2 2 4 2 2 2 3" xfId="23756"/>
    <cellStyle name="Normal 2 2 2 4 2 2 3" xfId="23757"/>
    <cellStyle name="Normal 2 2 2 4 2 2 4" xfId="23758"/>
    <cellStyle name="Normal 2 2 2 4 2 2 5" xfId="23759"/>
    <cellStyle name="Normal 2 2 2 4 2 2 6" xfId="23760"/>
    <cellStyle name="Normal 2 2 2 4 2 3" xfId="23761"/>
    <cellStyle name="Normal 2 2 2 4 2 3 2" xfId="23762"/>
    <cellStyle name="Normal 2 2 2 4 2 3 2 2" xfId="23763"/>
    <cellStyle name="Normal 2 2 2 4 2 3 3" xfId="23764"/>
    <cellStyle name="Normal 2 2 2 4 2 3 4" xfId="23765"/>
    <cellStyle name="Normal 2 2 2 4 2 3 5" xfId="23766"/>
    <cellStyle name="Normal 2 2 2 4 2 4" xfId="23767"/>
    <cellStyle name="Normal 2 2 2 4 2 4 2" xfId="23768"/>
    <cellStyle name="Normal 2 2 2 4 2 4 3" xfId="23769"/>
    <cellStyle name="Normal 2 2 2 4 2 4 4" xfId="23770"/>
    <cellStyle name="Normal 2 2 2 4 2 5" xfId="23771"/>
    <cellStyle name="Normal 2 2 2 4 2 5 2" xfId="23772"/>
    <cellStyle name="Normal 2 2 2 4 2 6" xfId="23773"/>
    <cellStyle name="Normal 2 2 2 4 2 7" xfId="23774"/>
    <cellStyle name="Normal 2 2 2 4 2 8" xfId="23775"/>
    <cellStyle name="Normal 2 2 2 4 2 9" xfId="23776"/>
    <cellStyle name="Normal 2 2 2 4 3" xfId="23777"/>
    <cellStyle name="Normal 2 2 2 4 3 2" xfId="23778"/>
    <cellStyle name="Normal 2 2 2 4 3 2 2" xfId="23779"/>
    <cellStyle name="Normal 2 2 2 4 3 2 2 2" xfId="23780"/>
    <cellStyle name="Normal 2 2 2 4 3 2 2 3" xfId="23781"/>
    <cellStyle name="Normal 2 2 2 4 3 2 3" xfId="23782"/>
    <cellStyle name="Normal 2 2 2 4 3 2 4" xfId="23783"/>
    <cellStyle name="Normal 2 2 2 4 3 2 5" xfId="23784"/>
    <cellStyle name="Normal 2 2 2 4 3 2 6" xfId="23785"/>
    <cellStyle name="Normal 2 2 2 4 3 3" xfId="23786"/>
    <cellStyle name="Normal 2 2 2 4 3 3 2" xfId="23787"/>
    <cellStyle name="Normal 2 2 2 4 3 3 2 2" xfId="23788"/>
    <cellStyle name="Normal 2 2 2 4 3 3 3" xfId="23789"/>
    <cellStyle name="Normal 2 2 2 4 3 3 4" xfId="23790"/>
    <cellStyle name="Normal 2 2 2 4 3 3 5" xfId="23791"/>
    <cellStyle name="Normal 2 2 2 4 3 4" xfId="23792"/>
    <cellStyle name="Normal 2 2 2 4 3 4 2" xfId="23793"/>
    <cellStyle name="Normal 2 2 2 4 3 4 3" xfId="23794"/>
    <cellStyle name="Normal 2 2 2 4 3 4 4" xfId="23795"/>
    <cellStyle name="Normal 2 2 2 4 3 5" xfId="23796"/>
    <cellStyle name="Normal 2 2 2 4 3 5 2" xfId="23797"/>
    <cellStyle name="Normal 2 2 2 4 3 6" xfId="23798"/>
    <cellStyle name="Normal 2 2 2 4 3 7" xfId="23799"/>
    <cellStyle name="Normal 2 2 2 4 3 8" xfId="23800"/>
    <cellStyle name="Normal 2 2 2 4 3 9" xfId="23801"/>
    <cellStyle name="Normal 2 2 2 4 4" xfId="23802"/>
    <cellStyle name="Normal 2 2 2 4 4 2" xfId="23803"/>
    <cellStyle name="Normal 2 2 2 4 4 2 2" xfId="23804"/>
    <cellStyle name="Normal 2 2 2 4 4 2 3" xfId="23805"/>
    <cellStyle name="Normal 2 2 2 4 4 3" xfId="23806"/>
    <cellStyle name="Normal 2 2 2 4 4 4" xfId="23807"/>
    <cellStyle name="Normal 2 2 2 4 4 5" xfId="23808"/>
    <cellStyle name="Normal 2 2 2 4 4 6" xfId="23809"/>
    <cellStyle name="Normal 2 2 2 4 5" xfId="23810"/>
    <cellStyle name="Normal 2 2 2 4 5 2" xfId="23811"/>
    <cellStyle name="Normal 2 2 2 4 5 2 2" xfId="23812"/>
    <cellStyle name="Normal 2 2 2 4 5 3" xfId="23813"/>
    <cellStyle name="Normal 2 2 2 4 5 4" xfId="23814"/>
    <cellStyle name="Normal 2 2 2 4 5 5" xfId="23815"/>
    <cellStyle name="Normal 2 2 2 4 6" xfId="23816"/>
    <cellStyle name="Normal 2 2 2 4 6 2" xfId="23817"/>
    <cellStyle name="Normal 2 2 2 4 6 3" xfId="23818"/>
    <cellStyle name="Normal 2 2 2 4 6 4" xfId="23819"/>
    <cellStyle name="Normal 2 2 2 4 7" xfId="23820"/>
    <cellStyle name="Normal 2 2 2 4 7 2" xfId="23821"/>
    <cellStyle name="Normal 2 2 2 4 8" xfId="23822"/>
    <cellStyle name="Normal 2 2 2 4 9" xfId="23823"/>
    <cellStyle name="Normal 2 2 2 40" xfId="23824"/>
    <cellStyle name="Normal 2 2 2 41" xfId="23825"/>
    <cellStyle name="Normal 2 2 2 5" xfId="23826"/>
    <cellStyle name="Normal 2 2 2 5 10" xfId="23827"/>
    <cellStyle name="Normal 2 2 2 5 11" xfId="23828"/>
    <cellStyle name="Normal 2 2 2 5 2" xfId="23829"/>
    <cellStyle name="Normal 2 2 2 5 2 2" xfId="23830"/>
    <cellStyle name="Normal 2 2 2 5 2 2 2" xfId="23831"/>
    <cellStyle name="Normal 2 2 2 5 2 2 2 2" xfId="23832"/>
    <cellStyle name="Normal 2 2 2 5 2 2 2 3" xfId="23833"/>
    <cellStyle name="Normal 2 2 2 5 2 2 3" xfId="23834"/>
    <cellStyle name="Normal 2 2 2 5 2 2 4" xfId="23835"/>
    <cellStyle name="Normal 2 2 2 5 2 2 5" xfId="23836"/>
    <cellStyle name="Normal 2 2 2 5 2 2 6" xfId="23837"/>
    <cellStyle name="Normal 2 2 2 5 2 3" xfId="23838"/>
    <cellStyle name="Normal 2 2 2 5 2 3 2" xfId="23839"/>
    <cellStyle name="Normal 2 2 2 5 2 3 2 2" xfId="23840"/>
    <cellStyle name="Normal 2 2 2 5 2 3 3" xfId="23841"/>
    <cellStyle name="Normal 2 2 2 5 2 3 4" xfId="23842"/>
    <cellStyle name="Normal 2 2 2 5 2 3 5" xfId="23843"/>
    <cellStyle name="Normal 2 2 2 5 2 4" xfId="23844"/>
    <cellStyle name="Normal 2 2 2 5 2 4 2" xfId="23845"/>
    <cellStyle name="Normal 2 2 2 5 2 4 3" xfId="23846"/>
    <cellStyle name="Normal 2 2 2 5 2 4 4" xfId="23847"/>
    <cellStyle name="Normal 2 2 2 5 2 5" xfId="23848"/>
    <cellStyle name="Normal 2 2 2 5 2 5 2" xfId="23849"/>
    <cellStyle name="Normal 2 2 2 5 2 6" xfId="23850"/>
    <cellStyle name="Normal 2 2 2 5 2 7" xfId="23851"/>
    <cellStyle name="Normal 2 2 2 5 2 8" xfId="23852"/>
    <cellStyle name="Normal 2 2 2 5 2 9" xfId="23853"/>
    <cellStyle name="Normal 2 2 2 5 3" xfId="23854"/>
    <cellStyle name="Normal 2 2 2 5 3 2" xfId="23855"/>
    <cellStyle name="Normal 2 2 2 5 3 2 2" xfId="23856"/>
    <cellStyle name="Normal 2 2 2 5 3 2 2 2" xfId="23857"/>
    <cellStyle name="Normal 2 2 2 5 3 2 2 3" xfId="23858"/>
    <cellStyle name="Normal 2 2 2 5 3 2 3" xfId="23859"/>
    <cellStyle name="Normal 2 2 2 5 3 2 4" xfId="23860"/>
    <cellStyle name="Normal 2 2 2 5 3 2 5" xfId="23861"/>
    <cellStyle name="Normal 2 2 2 5 3 2 6" xfId="23862"/>
    <cellStyle name="Normal 2 2 2 5 3 3" xfId="23863"/>
    <cellStyle name="Normal 2 2 2 5 3 3 2" xfId="23864"/>
    <cellStyle name="Normal 2 2 2 5 3 3 2 2" xfId="23865"/>
    <cellStyle name="Normal 2 2 2 5 3 3 3" xfId="23866"/>
    <cellStyle name="Normal 2 2 2 5 3 3 4" xfId="23867"/>
    <cellStyle name="Normal 2 2 2 5 3 3 5" xfId="23868"/>
    <cellStyle name="Normal 2 2 2 5 3 4" xfId="23869"/>
    <cellStyle name="Normal 2 2 2 5 3 4 2" xfId="23870"/>
    <cellStyle name="Normal 2 2 2 5 3 4 3" xfId="23871"/>
    <cellStyle name="Normal 2 2 2 5 3 4 4" xfId="23872"/>
    <cellStyle name="Normal 2 2 2 5 3 5" xfId="23873"/>
    <cellStyle name="Normal 2 2 2 5 3 5 2" xfId="23874"/>
    <cellStyle name="Normal 2 2 2 5 3 6" xfId="23875"/>
    <cellStyle name="Normal 2 2 2 5 3 7" xfId="23876"/>
    <cellStyle name="Normal 2 2 2 5 3 8" xfId="23877"/>
    <cellStyle name="Normal 2 2 2 5 3 9" xfId="23878"/>
    <cellStyle name="Normal 2 2 2 5 4" xfId="23879"/>
    <cellStyle name="Normal 2 2 2 5 4 2" xfId="23880"/>
    <cellStyle name="Normal 2 2 2 5 4 2 2" xfId="23881"/>
    <cellStyle name="Normal 2 2 2 5 4 2 3" xfId="23882"/>
    <cellStyle name="Normal 2 2 2 5 4 3" xfId="23883"/>
    <cellStyle name="Normal 2 2 2 5 4 4" xfId="23884"/>
    <cellStyle name="Normal 2 2 2 5 4 5" xfId="23885"/>
    <cellStyle name="Normal 2 2 2 5 4 6" xfId="23886"/>
    <cellStyle name="Normal 2 2 2 5 5" xfId="23887"/>
    <cellStyle name="Normal 2 2 2 5 5 2" xfId="23888"/>
    <cellStyle name="Normal 2 2 2 5 5 2 2" xfId="23889"/>
    <cellStyle name="Normal 2 2 2 5 5 3" xfId="23890"/>
    <cellStyle name="Normal 2 2 2 5 5 4" xfId="23891"/>
    <cellStyle name="Normal 2 2 2 5 5 5" xfId="23892"/>
    <cellStyle name="Normal 2 2 2 5 6" xfId="23893"/>
    <cellStyle name="Normal 2 2 2 5 6 2" xfId="23894"/>
    <cellStyle name="Normal 2 2 2 5 6 3" xfId="23895"/>
    <cellStyle name="Normal 2 2 2 5 6 4" xfId="23896"/>
    <cellStyle name="Normal 2 2 2 5 7" xfId="23897"/>
    <cellStyle name="Normal 2 2 2 5 7 2" xfId="23898"/>
    <cellStyle name="Normal 2 2 2 5 8" xfId="23899"/>
    <cellStyle name="Normal 2 2 2 5 9" xfId="23900"/>
    <cellStyle name="Normal 2 2 2 6" xfId="23901"/>
    <cellStyle name="Normal 2 2 2 6 10" xfId="23902"/>
    <cellStyle name="Normal 2 2 2 6 11" xfId="23903"/>
    <cellStyle name="Normal 2 2 2 6 2" xfId="23904"/>
    <cellStyle name="Normal 2 2 2 6 2 2" xfId="23905"/>
    <cellStyle name="Normal 2 2 2 6 2 2 2" xfId="23906"/>
    <cellStyle name="Normal 2 2 2 6 2 2 2 2" xfId="23907"/>
    <cellStyle name="Normal 2 2 2 6 2 2 2 3" xfId="23908"/>
    <cellStyle name="Normal 2 2 2 6 2 2 3" xfId="23909"/>
    <cellStyle name="Normal 2 2 2 6 2 2 4" xfId="23910"/>
    <cellStyle name="Normal 2 2 2 6 2 2 5" xfId="23911"/>
    <cellStyle name="Normal 2 2 2 6 2 2 6" xfId="23912"/>
    <cellStyle name="Normal 2 2 2 6 2 3" xfId="23913"/>
    <cellStyle name="Normal 2 2 2 6 2 3 2" xfId="23914"/>
    <cellStyle name="Normal 2 2 2 6 2 3 2 2" xfId="23915"/>
    <cellStyle name="Normal 2 2 2 6 2 3 3" xfId="23916"/>
    <cellStyle name="Normal 2 2 2 6 2 3 4" xfId="23917"/>
    <cellStyle name="Normal 2 2 2 6 2 3 5" xfId="23918"/>
    <cellStyle name="Normal 2 2 2 6 2 4" xfId="23919"/>
    <cellStyle name="Normal 2 2 2 6 2 4 2" xfId="23920"/>
    <cellStyle name="Normal 2 2 2 6 2 4 3" xfId="23921"/>
    <cellStyle name="Normal 2 2 2 6 2 4 4" xfId="23922"/>
    <cellStyle name="Normal 2 2 2 6 2 5" xfId="23923"/>
    <cellStyle name="Normal 2 2 2 6 2 5 2" xfId="23924"/>
    <cellStyle name="Normal 2 2 2 6 2 6" xfId="23925"/>
    <cellStyle name="Normal 2 2 2 6 2 7" xfId="23926"/>
    <cellStyle name="Normal 2 2 2 6 2 8" xfId="23927"/>
    <cellStyle name="Normal 2 2 2 6 2 9" xfId="23928"/>
    <cellStyle name="Normal 2 2 2 6 3" xfId="23929"/>
    <cellStyle name="Normal 2 2 2 6 3 2" xfId="23930"/>
    <cellStyle name="Normal 2 2 2 6 3 2 2" xfId="23931"/>
    <cellStyle name="Normal 2 2 2 6 3 2 2 2" xfId="23932"/>
    <cellStyle name="Normal 2 2 2 6 3 2 2 3" xfId="23933"/>
    <cellStyle name="Normal 2 2 2 6 3 2 3" xfId="23934"/>
    <cellStyle name="Normal 2 2 2 6 3 2 4" xfId="23935"/>
    <cellStyle name="Normal 2 2 2 6 3 2 5" xfId="23936"/>
    <cellStyle name="Normal 2 2 2 6 3 2 6" xfId="23937"/>
    <cellStyle name="Normal 2 2 2 6 3 3" xfId="23938"/>
    <cellStyle name="Normal 2 2 2 6 3 3 2" xfId="23939"/>
    <cellStyle name="Normal 2 2 2 6 3 3 2 2" xfId="23940"/>
    <cellStyle name="Normal 2 2 2 6 3 3 3" xfId="23941"/>
    <cellStyle name="Normal 2 2 2 6 3 3 4" xfId="23942"/>
    <cellStyle name="Normal 2 2 2 6 3 3 5" xfId="23943"/>
    <cellStyle name="Normal 2 2 2 6 3 4" xfId="23944"/>
    <cellStyle name="Normal 2 2 2 6 3 4 2" xfId="23945"/>
    <cellStyle name="Normal 2 2 2 6 3 4 3" xfId="23946"/>
    <cellStyle name="Normal 2 2 2 6 3 4 4" xfId="23947"/>
    <cellStyle name="Normal 2 2 2 6 3 5" xfId="23948"/>
    <cellStyle name="Normal 2 2 2 6 3 5 2" xfId="23949"/>
    <cellStyle name="Normal 2 2 2 6 3 6" xfId="23950"/>
    <cellStyle name="Normal 2 2 2 6 3 7" xfId="23951"/>
    <cellStyle name="Normal 2 2 2 6 3 8" xfId="23952"/>
    <cellStyle name="Normal 2 2 2 6 3 9" xfId="23953"/>
    <cellStyle name="Normal 2 2 2 6 4" xfId="23954"/>
    <cellStyle name="Normal 2 2 2 6 4 2" xfId="23955"/>
    <cellStyle name="Normal 2 2 2 6 4 2 2" xfId="23956"/>
    <cellStyle name="Normal 2 2 2 6 4 2 3" xfId="23957"/>
    <cellStyle name="Normal 2 2 2 6 4 3" xfId="23958"/>
    <cellStyle name="Normal 2 2 2 6 4 4" xfId="23959"/>
    <cellStyle name="Normal 2 2 2 6 4 5" xfId="23960"/>
    <cellStyle name="Normal 2 2 2 6 4 6" xfId="23961"/>
    <cellStyle name="Normal 2 2 2 6 5" xfId="23962"/>
    <cellStyle name="Normal 2 2 2 6 5 2" xfId="23963"/>
    <cellStyle name="Normal 2 2 2 6 5 2 2" xfId="23964"/>
    <cellStyle name="Normal 2 2 2 6 5 3" xfId="23965"/>
    <cellStyle name="Normal 2 2 2 6 5 4" xfId="23966"/>
    <cellStyle name="Normal 2 2 2 6 5 5" xfId="23967"/>
    <cellStyle name="Normal 2 2 2 6 6" xfId="23968"/>
    <cellStyle name="Normal 2 2 2 6 6 2" xfId="23969"/>
    <cellStyle name="Normal 2 2 2 6 6 3" xfId="23970"/>
    <cellStyle name="Normal 2 2 2 6 6 4" xfId="23971"/>
    <cellStyle name="Normal 2 2 2 6 7" xfId="23972"/>
    <cellStyle name="Normal 2 2 2 6 7 2" xfId="23973"/>
    <cellStyle name="Normal 2 2 2 6 8" xfId="23974"/>
    <cellStyle name="Normal 2 2 2 6 9" xfId="23975"/>
    <cellStyle name="Normal 2 2 2 7" xfId="23976"/>
    <cellStyle name="Normal 2 2 2 7 10" xfId="23977"/>
    <cellStyle name="Normal 2 2 2 7 11" xfId="23978"/>
    <cellStyle name="Normal 2 2 2 7 2" xfId="23979"/>
    <cellStyle name="Normal 2 2 2 7 2 2" xfId="23980"/>
    <cellStyle name="Normal 2 2 2 7 2 2 2" xfId="23981"/>
    <cellStyle name="Normal 2 2 2 7 2 2 2 2" xfId="23982"/>
    <cellStyle name="Normal 2 2 2 7 2 2 2 3" xfId="23983"/>
    <cellStyle name="Normal 2 2 2 7 2 2 3" xfId="23984"/>
    <cellStyle name="Normal 2 2 2 7 2 2 4" xfId="23985"/>
    <cellStyle name="Normal 2 2 2 7 2 2 5" xfId="23986"/>
    <cellStyle name="Normal 2 2 2 7 2 2 6" xfId="23987"/>
    <cellStyle name="Normal 2 2 2 7 2 3" xfId="23988"/>
    <cellStyle name="Normal 2 2 2 7 2 3 2" xfId="23989"/>
    <cellStyle name="Normal 2 2 2 7 2 3 2 2" xfId="23990"/>
    <cellStyle name="Normal 2 2 2 7 2 3 3" xfId="23991"/>
    <cellStyle name="Normal 2 2 2 7 2 3 4" xfId="23992"/>
    <cellStyle name="Normal 2 2 2 7 2 3 5" xfId="23993"/>
    <cellStyle name="Normal 2 2 2 7 2 4" xfId="23994"/>
    <cellStyle name="Normal 2 2 2 7 2 4 2" xfId="23995"/>
    <cellStyle name="Normal 2 2 2 7 2 4 3" xfId="23996"/>
    <cellStyle name="Normal 2 2 2 7 2 4 4" xfId="23997"/>
    <cellStyle name="Normal 2 2 2 7 2 5" xfId="23998"/>
    <cellStyle name="Normal 2 2 2 7 2 5 2" xfId="23999"/>
    <cellStyle name="Normal 2 2 2 7 2 6" xfId="24000"/>
    <cellStyle name="Normal 2 2 2 7 2 7" xfId="24001"/>
    <cellStyle name="Normal 2 2 2 7 2 8" xfId="24002"/>
    <cellStyle name="Normal 2 2 2 7 2 9" xfId="24003"/>
    <cellStyle name="Normal 2 2 2 7 3" xfId="24004"/>
    <cellStyle name="Normal 2 2 2 7 3 2" xfId="24005"/>
    <cellStyle name="Normal 2 2 2 7 3 2 2" xfId="24006"/>
    <cellStyle name="Normal 2 2 2 7 3 2 2 2" xfId="24007"/>
    <cellStyle name="Normal 2 2 2 7 3 2 2 3" xfId="24008"/>
    <cellStyle name="Normal 2 2 2 7 3 2 3" xfId="24009"/>
    <cellStyle name="Normal 2 2 2 7 3 2 4" xfId="24010"/>
    <cellStyle name="Normal 2 2 2 7 3 2 5" xfId="24011"/>
    <cellStyle name="Normal 2 2 2 7 3 2 6" xfId="24012"/>
    <cellStyle name="Normal 2 2 2 7 3 3" xfId="24013"/>
    <cellStyle name="Normal 2 2 2 7 3 3 2" xfId="24014"/>
    <cellStyle name="Normal 2 2 2 7 3 3 2 2" xfId="24015"/>
    <cellStyle name="Normal 2 2 2 7 3 3 3" xfId="24016"/>
    <cellStyle name="Normal 2 2 2 7 3 3 4" xfId="24017"/>
    <cellStyle name="Normal 2 2 2 7 3 3 5" xfId="24018"/>
    <cellStyle name="Normal 2 2 2 7 3 4" xfId="24019"/>
    <cellStyle name="Normal 2 2 2 7 3 4 2" xfId="24020"/>
    <cellStyle name="Normal 2 2 2 7 3 4 3" xfId="24021"/>
    <cellStyle name="Normal 2 2 2 7 3 4 4" xfId="24022"/>
    <cellStyle name="Normal 2 2 2 7 3 5" xfId="24023"/>
    <cellStyle name="Normal 2 2 2 7 3 5 2" xfId="24024"/>
    <cellStyle name="Normal 2 2 2 7 3 6" xfId="24025"/>
    <cellStyle name="Normal 2 2 2 7 3 7" xfId="24026"/>
    <cellStyle name="Normal 2 2 2 7 3 8" xfId="24027"/>
    <cellStyle name="Normal 2 2 2 7 3 9" xfId="24028"/>
    <cellStyle name="Normal 2 2 2 7 4" xfId="24029"/>
    <cellStyle name="Normal 2 2 2 7 4 2" xfId="24030"/>
    <cellStyle name="Normal 2 2 2 7 4 2 2" xfId="24031"/>
    <cellStyle name="Normal 2 2 2 7 4 2 3" xfId="24032"/>
    <cellStyle name="Normal 2 2 2 7 4 3" xfId="24033"/>
    <cellStyle name="Normal 2 2 2 7 4 4" xfId="24034"/>
    <cellStyle name="Normal 2 2 2 7 4 5" xfId="24035"/>
    <cellStyle name="Normal 2 2 2 7 4 6" xfId="24036"/>
    <cellStyle name="Normal 2 2 2 7 5" xfId="24037"/>
    <cellStyle name="Normal 2 2 2 7 5 2" xfId="24038"/>
    <cellStyle name="Normal 2 2 2 7 5 2 2" xfId="24039"/>
    <cellStyle name="Normal 2 2 2 7 5 3" xfId="24040"/>
    <cellStyle name="Normal 2 2 2 7 5 4" xfId="24041"/>
    <cellStyle name="Normal 2 2 2 7 5 5" xfId="24042"/>
    <cellStyle name="Normal 2 2 2 7 6" xfId="24043"/>
    <cellStyle name="Normal 2 2 2 7 6 2" xfId="24044"/>
    <cellStyle name="Normal 2 2 2 7 6 3" xfId="24045"/>
    <cellStyle name="Normal 2 2 2 7 6 4" xfId="24046"/>
    <cellStyle name="Normal 2 2 2 7 7" xfId="24047"/>
    <cellStyle name="Normal 2 2 2 7 7 2" xfId="24048"/>
    <cellStyle name="Normal 2 2 2 7 8" xfId="24049"/>
    <cellStyle name="Normal 2 2 2 7 9" xfId="24050"/>
    <cellStyle name="Normal 2 2 2 8" xfId="24051"/>
    <cellStyle name="Normal 2 2 2 8 10" xfId="24052"/>
    <cellStyle name="Normal 2 2 2 8 2" xfId="24053"/>
    <cellStyle name="Normal 2 2 2 8 2 2" xfId="24054"/>
    <cellStyle name="Normal 2 2 2 8 2 2 2" xfId="24055"/>
    <cellStyle name="Normal 2 2 2 8 2 2 3" xfId="24056"/>
    <cellStyle name="Normal 2 2 2 8 2 3" xfId="24057"/>
    <cellStyle name="Normal 2 2 2 8 2 4" xfId="24058"/>
    <cellStyle name="Normal 2 2 2 8 2 5" xfId="24059"/>
    <cellStyle name="Normal 2 2 2 8 2 6" xfId="24060"/>
    <cellStyle name="Normal 2 2 2 8 3" xfId="24061"/>
    <cellStyle name="Normal 2 2 2 8 3 2" xfId="24062"/>
    <cellStyle name="Normal 2 2 2 8 3 2 2" xfId="24063"/>
    <cellStyle name="Normal 2 2 2 8 3 2 3" xfId="24064"/>
    <cellStyle name="Normal 2 2 2 8 3 3" xfId="24065"/>
    <cellStyle name="Normal 2 2 2 8 3 4" xfId="24066"/>
    <cellStyle name="Normal 2 2 2 8 3 5" xfId="24067"/>
    <cellStyle name="Normal 2 2 2 8 3 6" xfId="24068"/>
    <cellStyle name="Normal 2 2 2 8 4" xfId="24069"/>
    <cellStyle name="Normal 2 2 2 8 4 2" xfId="24070"/>
    <cellStyle name="Normal 2 2 2 8 4 2 2" xfId="24071"/>
    <cellStyle name="Normal 2 2 2 8 4 3" xfId="24072"/>
    <cellStyle name="Normal 2 2 2 8 4 4" xfId="24073"/>
    <cellStyle name="Normal 2 2 2 8 4 5" xfId="24074"/>
    <cellStyle name="Normal 2 2 2 8 5" xfId="24075"/>
    <cellStyle name="Normal 2 2 2 8 5 2" xfId="24076"/>
    <cellStyle name="Normal 2 2 2 8 5 3" xfId="24077"/>
    <cellStyle name="Normal 2 2 2 8 5 4" xfId="24078"/>
    <cellStyle name="Normal 2 2 2 8 6" xfId="24079"/>
    <cellStyle name="Normal 2 2 2 8 6 2" xfId="24080"/>
    <cellStyle name="Normal 2 2 2 8 7" xfId="24081"/>
    <cellStyle name="Normal 2 2 2 8 8" xfId="24082"/>
    <cellStyle name="Normal 2 2 2 8 9" xfId="24083"/>
    <cellStyle name="Normal 2 2 2 9" xfId="24084"/>
    <cellStyle name="Normal 2 2 2 9 10" xfId="24085"/>
    <cellStyle name="Normal 2 2 2 9 2" xfId="24086"/>
    <cellStyle name="Normal 2 2 2 9 2 2" xfId="24087"/>
    <cellStyle name="Normal 2 2 2 9 2 2 2" xfId="24088"/>
    <cellStyle name="Normal 2 2 2 9 2 2 3" xfId="24089"/>
    <cellStyle name="Normal 2 2 2 9 2 3" xfId="24090"/>
    <cellStyle name="Normal 2 2 2 9 2 4" xfId="24091"/>
    <cellStyle name="Normal 2 2 2 9 2 5" xfId="24092"/>
    <cellStyle name="Normal 2 2 2 9 2 6" xfId="24093"/>
    <cellStyle name="Normal 2 2 2 9 3" xfId="24094"/>
    <cellStyle name="Normal 2 2 2 9 3 2" xfId="24095"/>
    <cellStyle name="Normal 2 2 2 9 3 2 2" xfId="24096"/>
    <cellStyle name="Normal 2 2 2 9 3 2 3" xfId="24097"/>
    <cellStyle name="Normal 2 2 2 9 3 3" xfId="24098"/>
    <cellStyle name="Normal 2 2 2 9 3 4" xfId="24099"/>
    <cellStyle name="Normal 2 2 2 9 3 5" xfId="24100"/>
    <cellStyle name="Normal 2 2 2 9 3 6" xfId="24101"/>
    <cellStyle name="Normal 2 2 2 9 4" xfId="24102"/>
    <cellStyle name="Normal 2 2 2 9 4 2" xfId="24103"/>
    <cellStyle name="Normal 2 2 2 9 4 2 2" xfId="24104"/>
    <cellStyle name="Normal 2 2 2 9 4 3" xfId="24105"/>
    <cellStyle name="Normal 2 2 2 9 4 4" xfId="24106"/>
    <cellStyle name="Normal 2 2 2 9 4 5" xfId="24107"/>
    <cellStyle name="Normal 2 2 2 9 5" xfId="24108"/>
    <cellStyle name="Normal 2 2 2 9 5 2" xfId="24109"/>
    <cellStyle name="Normal 2 2 2 9 5 3" xfId="24110"/>
    <cellStyle name="Normal 2 2 2 9 5 4" xfId="24111"/>
    <cellStyle name="Normal 2 2 2 9 6" xfId="24112"/>
    <cellStyle name="Normal 2 2 2 9 6 2" xfId="24113"/>
    <cellStyle name="Normal 2 2 2 9 7" xfId="24114"/>
    <cellStyle name="Normal 2 2 2 9 8" xfId="24115"/>
    <cellStyle name="Normal 2 2 2 9 9" xfId="24116"/>
    <cellStyle name="Normal 2 2 20" xfId="24117"/>
    <cellStyle name="Normal 2 2 21" xfId="24118"/>
    <cellStyle name="Normal 2 2 22" xfId="24119"/>
    <cellStyle name="Normal 2 2 23" xfId="24120"/>
    <cellStyle name="Normal 2 2 24" xfId="24121"/>
    <cellStyle name="Normal 2 2 25" xfId="24122"/>
    <cellStyle name="Normal 2 2 25 2" xfId="24123"/>
    <cellStyle name="Normal 2 2 25 2 2" xfId="24124"/>
    <cellStyle name="Normal 2 2 25 2 2 2" xfId="24125"/>
    <cellStyle name="Normal 2 2 25 2 2 3" xfId="24126"/>
    <cellStyle name="Normal 2 2 25 2 3" xfId="24127"/>
    <cellStyle name="Normal 2 2 25 2 4" xfId="24128"/>
    <cellStyle name="Normal 2 2 25 2 5" xfId="24129"/>
    <cellStyle name="Normal 2 2 25 2 6" xfId="24130"/>
    <cellStyle name="Normal 2 2 25 3" xfId="24131"/>
    <cellStyle name="Normal 2 2 25 3 2" xfId="24132"/>
    <cellStyle name="Normal 2 2 25 3 2 2" xfId="24133"/>
    <cellStyle name="Normal 2 2 25 3 3" xfId="24134"/>
    <cellStyle name="Normal 2 2 25 3 4" xfId="24135"/>
    <cellStyle name="Normal 2 2 25 3 5" xfId="24136"/>
    <cellStyle name="Normal 2 2 25 4" xfId="24137"/>
    <cellStyle name="Normal 2 2 25 4 2" xfId="24138"/>
    <cellStyle name="Normal 2 2 25 4 3" xfId="24139"/>
    <cellStyle name="Normal 2 2 25 4 4" xfId="24140"/>
    <cellStyle name="Normal 2 2 25 5" xfId="24141"/>
    <cellStyle name="Normal 2 2 25 5 2" xfId="24142"/>
    <cellStyle name="Normal 2 2 25 6" xfId="24143"/>
    <cellStyle name="Normal 2 2 25 7" xfId="24144"/>
    <cellStyle name="Normal 2 2 25 8" xfId="24145"/>
    <cellStyle name="Normal 2 2 25 9" xfId="24146"/>
    <cellStyle name="Normal 2 2 26" xfId="24147"/>
    <cellStyle name="Normal 2 2 26 2" xfId="24148"/>
    <cellStyle name="Normal 2 2 26 2 2" xfId="24149"/>
    <cellStyle name="Normal 2 2 26 3" xfId="24150"/>
    <cellStyle name="Normal 2 2 26 4" xfId="24151"/>
    <cellStyle name="Normal 2 2 26 5" xfId="24152"/>
    <cellStyle name="Normal 2 2 26 6" xfId="24153"/>
    <cellStyle name="Normal 2 2 27" xfId="24154"/>
    <cellStyle name="Normal 2 2 27 2" xfId="24155"/>
    <cellStyle name="Normal 2 2 28" xfId="24156"/>
    <cellStyle name="Normal 2 2 28 2" xfId="24157"/>
    <cellStyle name="Normal 2 2 28 3" xfId="24158"/>
    <cellStyle name="Normal 2 2 29" xfId="24159"/>
    <cellStyle name="Normal 2 2 29 2" xfId="24160"/>
    <cellStyle name="Normal 2 2 29 3" xfId="24161"/>
    <cellStyle name="Normal 2 2 3" xfId="24162"/>
    <cellStyle name="Normal 2 2 3 2" xfId="24163"/>
    <cellStyle name="Normal 2 2 3 3" xfId="24164"/>
    <cellStyle name="Normal 2 2 3 4" xfId="24165"/>
    <cellStyle name="Normal 2 2 30" xfId="24166"/>
    <cellStyle name="Normal 2 2 31" xfId="24167"/>
    <cellStyle name="Normal 2 2 32" xfId="24168"/>
    <cellStyle name="Normal 2 2 33" xfId="24169"/>
    <cellStyle name="Normal 2 2 34" xfId="24170"/>
    <cellStyle name="Normal 2 2 35" xfId="24171"/>
    <cellStyle name="Normal 2 2 36" xfId="24172"/>
    <cellStyle name="Normal 2 2 37" xfId="24173"/>
    <cellStyle name="Normal 2 2 38" xfId="24174"/>
    <cellStyle name="Normal 2 2 39" xfId="24175"/>
    <cellStyle name="Normal 2 2 4" xfId="24176"/>
    <cellStyle name="Normal 2 2 4 2" xfId="24177"/>
    <cellStyle name="Normal 2 2 4 3" xfId="24178"/>
    <cellStyle name="Normal 2 2 4 3 2" xfId="24179"/>
    <cellStyle name="Normal 2 2 4 4" xfId="24180"/>
    <cellStyle name="Normal 2 2 40" xfId="24181"/>
    <cellStyle name="Normal 2 2 41" xfId="24182"/>
    <cellStyle name="Normal 2 2 42" xfId="24183"/>
    <cellStyle name="Normal 2 2 43" xfId="24184"/>
    <cellStyle name="Normal 2 2 44" xfId="24185"/>
    <cellStyle name="Normal 2 2 45" xfId="24186"/>
    <cellStyle name="Normal 2 2 46" xfId="24187"/>
    <cellStyle name="Normal 2 2 47" xfId="24188"/>
    <cellStyle name="Normal 2 2 48" xfId="24189"/>
    <cellStyle name="Normal 2 2 49" xfId="24190"/>
    <cellStyle name="Normal 2 2 5" xfId="24191"/>
    <cellStyle name="Normal 2 2 5 2" xfId="24192"/>
    <cellStyle name="Normal 2 2 5 3" xfId="24193"/>
    <cellStyle name="Normal 2 2 5 3 2" xfId="24194"/>
    <cellStyle name="Normal 2 2 5 4" xfId="24195"/>
    <cellStyle name="Normal 2 2 50" xfId="24196"/>
    <cellStyle name="Normal 2 2 51" xfId="24197"/>
    <cellStyle name="Normal 2 2 52" xfId="24198"/>
    <cellStyle name="Normal 2 2 53" xfId="24199"/>
    <cellStyle name="Normal 2 2 6" xfId="24200"/>
    <cellStyle name="Normal 2 2 6 2" xfId="24201"/>
    <cellStyle name="Normal 2 2 6 3" xfId="24202"/>
    <cellStyle name="Normal 2 2 6 3 2" xfId="24203"/>
    <cellStyle name="Normal 2 2 6 4" xfId="24204"/>
    <cellStyle name="Normal 2 2 7" xfId="24205"/>
    <cellStyle name="Normal 2 2 7 2" xfId="24206"/>
    <cellStyle name="Normal 2 2 7 3" xfId="24207"/>
    <cellStyle name="Normal 2 2 7 3 2" xfId="24208"/>
    <cellStyle name="Normal 2 2 7 4" xfId="24209"/>
    <cellStyle name="Normal 2 2 8" xfId="24210"/>
    <cellStyle name="Normal 2 2 8 2" xfId="24211"/>
    <cellStyle name="Normal 2 2 8 3" xfId="24212"/>
    <cellStyle name="Normal 2 2 8 3 2" xfId="24213"/>
    <cellStyle name="Normal 2 2 8 4" xfId="24214"/>
    <cellStyle name="Normal 2 2 9" xfId="24215"/>
    <cellStyle name="Normal 2 2 9 2" xfId="24216"/>
    <cellStyle name="Normal 2 2 9 3" xfId="24217"/>
    <cellStyle name="Normal 2 2 9 3 2" xfId="24218"/>
    <cellStyle name="Normal 2 2 9 4" xfId="24219"/>
    <cellStyle name="Normal 2 20" xfId="24220"/>
    <cellStyle name="Normal 2 20 10" xfId="24221"/>
    <cellStyle name="Normal 2 20 11" xfId="24222"/>
    <cellStyle name="Normal 2 20 2" xfId="24223"/>
    <cellStyle name="Normal 2 20 2 2" xfId="24224"/>
    <cellStyle name="Normal 2 20 3" xfId="24225"/>
    <cellStyle name="Normal 2 20 3 2" xfId="24226"/>
    <cellStyle name="Normal 2 20 3 2 2" xfId="24227"/>
    <cellStyle name="Normal 2 20 3 2 2 2" xfId="24228"/>
    <cellStyle name="Normal 2 20 3 2 2 3" xfId="24229"/>
    <cellStyle name="Normal 2 20 3 2 3" xfId="24230"/>
    <cellStyle name="Normal 2 20 3 2 4" xfId="24231"/>
    <cellStyle name="Normal 2 20 3 2 5" xfId="24232"/>
    <cellStyle name="Normal 2 20 3 2 6" xfId="24233"/>
    <cellStyle name="Normal 2 20 3 3" xfId="24234"/>
    <cellStyle name="Normal 2 20 3 3 2" xfId="24235"/>
    <cellStyle name="Normal 2 20 3 3 2 2" xfId="24236"/>
    <cellStyle name="Normal 2 20 3 3 3" xfId="24237"/>
    <cellStyle name="Normal 2 20 3 3 4" xfId="24238"/>
    <cellStyle name="Normal 2 20 3 3 5" xfId="24239"/>
    <cellStyle name="Normal 2 20 3 4" xfId="24240"/>
    <cellStyle name="Normal 2 20 3 4 2" xfId="24241"/>
    <cellStyle name="Normal 2 20 3 4 3" xfId="24242"/>
    <cellStyle name="Normal 2 20 3 4 4" xfId="24243"/>
    <cellStyle name="Normal 2 20 3 5" xfId="24244"/>
    <cellStyle name="Normal 2 20 3 5 2" xfId="24245"/>
    <cellStyle name="Normal 2 20 3 6" xfId="24246"/>
    <cellStyle name="Normal 2 20 3 7" xfId="24247"/>
    <cellStyle name="Normal 2 20 3 8" xfId="24248"/>
    <cellStyle name="Normal 2 20 3 9" xfId="24249"/>
    <cellStyle name="Normal 2 20 4" xfId="24250"/>
    <cellStyle name="Normal 2 20 4 2" xfId="24251"/>
    <cellStyle name="Normal 2 20 4 2 2" xfId="24252"/>
    <cellStyle name="Normal 2 20 4 2 2 2" xfId="24253"/>
    <cellStyle name="Normal 2 20 4 2 2 3" xfId="24254"/>
    <cellStyle name="Normal 2 20 4 2 3" xfId="24255"/>
    <cellStyle name="Normal 2 20 4 2 4" xfId="24256"/>
    <cellStyle name="Normal 2 20 4 2 5" xfId="24257"/>
    <cellStyle name="Normal 2 20 4 2 6" xfId="24258"/>
    <cellStyle name="Normal 2 20 4 3" xfId="24259"/>
    <cellStyle name="Normal 2 20 4 3 2" xfId="24260"/>
    <cellStyle name="Normal 2 20 4 3 2 2" xfId="24261"/>
    <cellStyle name="Normal 2 20 4 3 3" xfId="24262"/>
    <cellStyle name="Normal 2 20 4 3 4" xfId="24263"/>
    <cellStyle name="Normal 2 20 4 3 5" xfId="24264"/>
    <cellStyle name="Normal 2 20 4 4" xfId="24265"/>
    <cellStyle name="Normal 2 20 4 4 2" xfId="24266"/>
    <cellStyle name="Normal 2 20 4 4 3" xfId="24267"/>
    <cellStyle name="Normal 2 20 4 4 4" xfId="24268"/>
    <cellStyle name="Normal 2 20 4 5" xfId="24269"/>
    <cellStyle name="Normal 2 20 4 5 2" xfId="24270"/>
    <cellStyle name="Normal 2 20 4 6" xfId="24271"/>
    <cellStyle name="Normal 2 20 4 7" xfId="24272"/>
    <cellStyle name="Normal 2 20 4 8" xfId="24273"/>
    <cellStyle name="Normal 2 20 4 9" xfId="24274"/>
    <cellStyle name="Normal 2 20 5" xfId="24275"/>
    <cellStyle name="Normal 2 20 5 2" xfId="24276"/>
    <cellStyle name="Normal 2 20 5 2 2" xfId="24277"/>
    <cellStyle name="Normal 2 20 5 2 3" xfId="24278"/>
    <cellStyle name="Normal 2 20 5 3" xfId="24279"/>
    <cellStyle name="Normal 2 20 5 4" xfId="24280"/>
    <cellStyle name="Normal 2 20 5 5" xfId="24281"/>
    <cellStyle name="Normal 2 20 5 6" xfId="24282"/>
    <cellStyle name="Normal 2 20 6" xfId="24283"/>
    <cellStyle name="Normal 2 20 6 2" xfId="24284"/>
    <cellStyle name="Normal 2 20 6 2 2" xfId="24285"/>
    <cellStyle name="Normal 2 20 6 3" xfId="24286"/>
    <cellStyle name="Normal 2 20 6 4" xfId="24287"/>
    <cellStyle name="Normal 2 20 6 5" xfId="24288"/>
    <cellStyle name="Normal 2 20 6 6" xfId="24289"/>
    <cellStyle name="Normal 2 20 7" xfId="24290"/>
    <cellStyle name="Normal 2 20 7 2" xfId="24291"/>
    <cellStyle name="Normal 2 20 7 3" xfId="24292"/>
    <cellStyle name="Normal 2 20 7 4" xfId="24293"/>
    <cellStyle name="Normal 2 20 7 5" xfId="24294"/>
    <cellStyle name="Normal 2 20 8" xfId="24295"/>
    <cellStyle name="Normal 2 20 8 2" xfId="24296"/>
    <cellStyle name="Normal 2 20 9" xfId="24297"/>
    <cellStyle name="Normal 2 21" xfId="24298"/>
    <cellStyle name="Normal 2 21 2" xfId="24299"/>
    <cellStyle name="Normal 2 21 2 2" xfId="24300"/>
    <cellStyle name="Normal 2 21 3" xfId="24301"/>
    <cellStyle name="Normal 2 21 3 2" xfId="24302"/>
    <cellStyle name="Normal 2 21 3 2 2" xfId="24303"/>
    <cellStyle name="Normal 2 21 3 2 2 2" xfId="24304"/>
    <cellStyle name="Normal 2 21 3 2 2 3" xfId="24305"/>
    <cellStyle name="Normal 2 21 3 2 3" xfId="24306"/>
    <cellStyle name="Normal 2 21 3 2 4" xfId="24307"/>
    <cellStyle name="Normal 2 21 3 2 5" xfId="24308"/>
    <cellStyle name="Normal 2 21 3 2 6" xfId="24309"/>
    <cellStyle name="Normal 2 21 3 3" xfId="24310"/>
    <cellStyle name="Normal 2 21 3 3 2" xfId="24311"/>
    <cellStyle name="Normal 2 21 3 3 2 2" xfId="24312"/>
    <cellStyle name="Normal 2 21 3 3 3" xfId="24313"/>
    <cellStyle name="Normal 2 21 3 3 4" xfId="24314"/>
    <cellStyle name="Normal 2 21 3 3 5" xfId="24315"/>
    <cellStyle name="Normal 2 21 3 4" xfId="24316"/>
    <cellStyle name="Normal 2 21 3 4 2" xfId="24317"/>
    <cellStyle name="Normal 2 21 3 4 3" xfId="24318"/>
    <cellStyle name="Normal 2 21 3 4 4" xfId="24319"/>
    <cellStyle name="Normal 2 21 3 5" xfId="24320"/>
    <cellStyle name="Normal 2 21 3 5 2" xfId="24321"/>
    <cellStyle name="Normal 2 21 3 6" xfId="24322"/>
    <cellStyle name="Normal 2 21 3 7" xfId="24323"/>
    <cellStyle name="Normal 2 21 3 8" xfId="24324"/>
    <cellStyle name="Normal 2 21 3 9" xfId="24325"/>
    <cellStyle name="Normal 2 21 4" xfId="24326"/>
    <cellStyle name="Normal 2 21 4 2" xfId="24327"/>
    <cellStyle name="Normal 2 21 4 2 2" xfId="24328"/>
    <cellStyle name="Normal 2 21 4 3" xfId="24329"/>
    <cellStyle name="Normal 2 21 4 4" xfId="24330"/>
    <cellStyle name="Normal 2 21 4 5" xfId="24331"/>
    <cellStyle name="Normal 2 21 4 6" xfId="24332"/>
    <cellStyle name="Normal 2 21 5" xfId="24333"/>
    <cellStyle name="Normal 2 21 5 2" xfId="24334"/>
    <cellStyle name="Normal 2 21 5 3" xfId="24335"/>
    <cellStyle name="Normal 2 21 6" xfId="24336"/>
    <cellStyle name="Normal 2 21 7" xfId="24337"/>
    <cellStyle name="Normal 2 22" xfId="24338"/>
    <cellStyle name="Normal 2 22 2" xfId="24339"/>
    <cellStyle name="Normal 2 22 2 2" xfId="24340"/>
    <cellStyle name="Normal 2 22 3" xfId="24341"/>
    <cellStyle name="Normal 2 22 3 2" xfId="24342"/>
    <cellStyle name="Normal 2 22 3 2 2" xfId="24343"/>
    <cellStyle name="Normal 2 22 3 2 2 2" xfId="24344"/>
    <cellStyle name="Normal 2 22 3 2 2 3" xfId="24345"/>
    <cellStyle name="Normal 2 22 3 2 3" xfId="24346"/>
    <cellStyle name="Normal 2 22 3 2 4" xfId="24347"/>
    <cellStyle name="Normal 2 22 3 2 5" xfId="24348"/>
    <cellStyle name="Normal 2 22 3 2 6" xfId="24349"/>
    <cellStyle name="Normal 2 22 3 3" xfId="24350"/>
    <cellStyle name="Normal 2 22 3 3 2" xfId="24351"/>
    <cellStyle name="Normal 2 22 3 3 2 2" xfId="24352"/>
    <cellStyle name="Normal 2 22 3 3 3" xfId="24353"/>
    <cellStyle name="Normal 2 22 3 3 4" xfId="24354"/>
    <cellStyle name="Normal 2 22 3 3 5" xfId="24355"/>
    <cellStyle name="Normal 2 22 3 4" xfId="24356"/>
    <cellStyle name="Normal 2 22 3 4 2" xfId="24357"/>
    <cellStyle name="Normal 2 22 3 4 3" xfId="24358"/>
    <cellStyle name="Normal 2 22 3 4 4" xfId="24359"/>
    <cellStyle name="Normal 2 22 3 5" xfId="24360"/>
    <cellStyle name="Normal 2 22 3 5 2" xfId="24361"/>
    <cellStyle name="Normal 2 22 3 6" xfId="24362"/>
    <cellStyle name="Normal 2 22 3 7" xfId="24363"/>
    <cellStyle name="Normal 2 22 3 8" xfId="24364"/>
    <cellStyle name="Normal 2 22 3 9" xfId="24365"/>
    <cellStyle name="Normal 2 22 4" xfId="24366"/>
    <cellStyle name="Normal 2 22 4 2" xfId="24367"/>
    <cellStyle name="Normal 2 22 4 2 2" xfId="24368"/>
    <cellStyle name="Normal 2 22 4 3" xfId="24369"/>
    <cellStyle name="Normal 2 22 4 4" xfId="24370"/>
    <cellStyle name="Normal 2 22 4 5" xfId="24371"/>
    <cellStyle name="Normal 2 22 4 6" xfId="24372"/>
    <cellStyle name="Normal 2 22 5" xfId="24373"/>
    <cellStyle name="Normal 2 22 5 2" xfId="24374"/>
    <cellStyle name="Normal 2 22 5 3" xfId="24375"/>
    <cellStyle name="Normal 2 22 6" xfId="24376"/>
    <cellStyle name="Normal 2 22 7" xfId="24377"/>
    <cellStyle name="Normal 2 23" xfId="24378"/>
    <cellStyle name="Normal 2 23 2" xfId="24379"/>
    <cellStyle name="Normal 2 23 2 2" xfId="24380"/>
    <cellStyle name="Normal 2 23 3" xfId="24381"/>
    <cellStyle name="Normal 2 23 3 2" xfId="24382"/>
    <cellStyle name="Normal 2 23 3 2 2" xfId="24383"/>
    <cellStyle name="Normal 2 23 3 2 2 2" xfId="24384"/>
    <cellStyle name="Normal 2 23 3 2 2 3" xfId="24385"/>
    <cellStyle name="Normal 2 23 3 2 3" xfId="24386"/>
    <cellStyle name="Normal 2 23 3 2 4" xfId="24387"/>
    <cellStyle name="Normal 2 23 3 2 5" xfId="24388"/>
    <cellStyle name="Normal 2 23 3 2 6" xfId="24389"/>
    <cellStyle name="Normal 2 23 3 3" xfId="24390"/>
    <cellStyle name="Normal 2 23 3 3 2" xfId="24391"/>
    <cellStyle name="Normal 2 23 3 3 2 2" xfId="24392"/>
    <cellStyle name="Normal 2 23 3 3 3" xfId="24393"/>
    <cellStyle name="Normal 2 23 3 3 4" xfId="24394"/>
    <cellStyle name="Normal 2 23 3 3 5" xfId="24395"/>
    <cellStyle name="Normal 2 23 3 4" xfId="24396"/>
    <cellStyle name="Normal 2 23 3 4 2" xfId="24397"/>
    <cellStyle name="Normal 2 23 3 4 3" xfId="24398"/>
    <cellStyle name="Normal 2 23 3 4 4" xfId="24399"/>
    <cellStyle name="Normal 2 23 3 5" xfId="24400"/>
    <cellStyle name="Normal 2 23 3 5 2" xfId="24401"/>
    <cellStyle name="Normal 2 23 3 6" xfId="24402"/>
    <cellStyle name="Normal 2 23 3 7" xfId="24403"/>
    <cellStyle name="Normal 2 23 3 8" xfId="24404"/>
    <cellStyle name="Normal 2 23 3 9" xfId="24405"/>
    <cellStyle name="Normal 2 23 4" xfId="24406"/>
    <cellStyle name="Normal 2 23 4 2" xfId="24407"/>
    <cellStyle name="Normal 2 23 4 2 2" xfId="24408"/>
    <cellStyle name="Normal 2 23 4 3" xfId="24409"/>
    <cellStyle name="Normal 2 23 4 4" xfId="24410"/>
    <cellStyle name="Normal 2 23 4 5" xfId="24411"/>
    <cellStyle name="Normal 2 23 4 6" xfId="24412"/>
    <cellStyle name="Normal 2 23 5" xfId="24413"/>
    <cellStyle name="Normal 2 23 5 2" xfId="24414"/>
    <cellStyle name="Normal 2 23 5 3" xfId="24415"/>
    <cellStyle name="Normal 2 23 6" xfId="24416"/>
    <cellStyle name="Normal 2 23 7" xfId="24417"/>
    <cellStyle name="Normal 2 24" xfId="24418"/>
    <cellStyle name="Normal 2 24 2" xfId="24419"/>
    <cellStyle name="Normal 2 24 2 2" xfId="24420"/>
    <cellStyle name="Normal 2 24 3" xfId="24421"/>
    <cellStyle name="Normal 2 24 3 2" xfId="24422"/>
    <cellStyle name="Normal 2 24 3 2 2" xfId="24423"/>
    <cellStyle name="Normal 2 24 3 2 2 2" xfId="24424"/>
    <cellStyle name="Normal 2 24 3 2 2 3" xfId="24425"/>
    <cellStyle name="Normal 2 24 3 2 3" xfId="24426"/>
    <cellStyle name="Normal 2 24 3 2 4" xfId="24427"/>
    <cellStyle name="Normal 2 24 3 2 5" xfId="24428"/>
    <cellStyle name="Normal 2 24 3 2 6" xfId="24429"/>
    <cellStyle name="Normal 2 24 3 3" xfId="24430"/>
    <cellStyle name="Normal 2 24 3 3 2" xfId="24431"/>
    <cellStyle name="Normal 2 24 3 3 2 2" xfId="24432"/>
    <cellStyle name="Normal 2 24 3 3 3" xfId="24433"/>
    <cellStyle name="Normal 2 24 3 3 4" xfId="24434"/>
    <cellStyle name="Normal 2 24 3 3 5" xfId="24435"/>
    <cellStyle name="Normal 2 24 3 4" xfId="24436"/>
    <cellStyle name="Normal 2 24 3 4 2" xfId="24437"/>
    <cellStyle name="Normal 2 24 3 4 3" xfId="24438"/>
    <cellStyle name="Normal 2 24 3 4 4" xfId="24439"/>
    <cellStyle name="Normal 2 24 3 5" xfId="24440"/>
    <cellStyle name="Normal 2 24 3 5 2" xfId="24441"/>
    <cellStyle name="Normal 2 24 3 6" xfId="24442"/>
    <cellStyle name="Normal 2 24 3 7" xfId="24443"/>
    <cellStyle name="Normal 2 24 3 8" xfId="24444"/>
    <cellStyle name="Normal 2 24 3 9" xfId="24445"/>
    <cellStyle name="Normal 2 24 4" xfId="24446"/>
    <cellStyle name="Normal 2 24 4 2" xfId="24447"/>
    <cellStyle name="Normal 2 24 4 2 2" xfId="24448"/>
    <cellStyle name="Normal 2 24 4 3" xfId="24449"/>
    <cellStyle name="Normal 2 24 4 4" xfId="24450"/>
    <cellStyle name="Normal 2 24 4 5" xfId="24451"/>
    <cellStyle name="Normal 2 24 4 6" xfId="24452"/>
    <cellStyle name="Normal 2 24 5" xfId="24453"/>
    <cellStyle name="Normal 2 24 5 2" xfId="24454"/>
    <cellStyle name="Normal 2 24 5 3" xfId="24455"/>
    <cellStyle name="Normal 2 24 6" xfId="24456"/>
    <cellStyle name="Normal 2 24 7" xfId="24457"/>
    <cellStyle name="Normal 2 25" xfId="24458"/>
    <cellStyle name="Normal 2 25 2" xfId="24459"/>
    <cellStyle name="Normal 2 25 2 2" xfId="24460"/>
    <cellStyle name="Normal 2 25 3" xfId="24461"/>
    <cellStyle name="Normal 2 25 3 2" xfId="24462"/>
    <cellStyle name="Normal 2 25 3 2 2" xfId="24463"/>
    <cellStyle name="Normal 2 25 3 2 2 2" xfId="24464"/>
    <cellStyle name="Normal 2 25 3 2 2 3" xfId="24465"/>
    <cellStyle name="Normal 2 25 3 2 3" xfId="24466"/>
    <cellStyle name="Normal 2 25 3 2 4" xfId="24467"/>
    <cellStyle name="Normal 2 25 3 2 5" xfId="24468"/>
    <cellStyle name="Normal 2 25 3 2 6" xfId="24469"/>
    <cellStyle name="Normal 2 25 3 3" xfId="24470"/>
    <cellStyle name="Normal 2 25 3 3 2" xfId="24471"/>
    <cellStyle name="Normal 2 25 3 3 2 2" xfId="24472"/>
    <cellStyle name="Normal 2 25 3 3 3" xfId="24473"/>
    <cellStyle name="Normal 2 25 3 3 4" xfId="24474"/>
    <cellStyle name="Normal 2 25 3 3 5" xfId="24475"/>
    <cellStyle name="Normal 2 25 3 4" xfId="24476"/>
    <cellStyle name="Normal 2 25 3 4 2" xfId="24477"/>
    <cellStyle name="Normal 2 25 3 4 3" xfId="24478"/>
    <cellStyle name="Normal 2 25 3 4 4" xfId="24479"/>
    <cellStyle name="Normal 2 25 3 5" xfId="24480"/>
    <cellStyle name="Normal 2 25 3 5 2" xfId="24481"/>
    <cellStyle name="Normal 2 25 3 6" xfId="24482"/>
    <cellStyle name="Normal 2 25 3 7" xfId="24483"/>
    <cellStyle name="Normal 2 25 3 8" xfId="24484"/>
    <cellStyle name="Normal 2 25 3 9" xfId="24485"/>
    <cellStyle name="Normal 2 25 4" xfId="24486"/>
    <cellStyle name="Normal 2 25 4 2" xfId="24487"/>
    <cellStyle name="Normal 2 25 4 2 2" xfId="24488"/>
    <cellStyle name="Normal 2 25 4 3" xfId="24489"/>
    <cellStyle name="Normal 2 25 4 4" xfId="24490"/>
    <cellStyle name="Normal 2 25 4 5" xfId="24491"/>
    <cellStyle name="Normal 2 25 4 6" xfId="24492"/>
    <cellStyle name="Normal 2 25 5" xfId="24493"/>
    <cellStyle name="Normal 2 25 5 2" xfId="24494"/>
    <cellStyle name="Normal 2 25 5 3" xfId="24495"/>
    <cellStyle name="Normal 2 25 6" xfId="24496"/>
    <cellStyle name="Normal 2 25 7" xfId="24497"/>
    <cellStyle name="Normal 2 26" xfId="24498"/>
    <cellStyle name="Normal 2 26 2" xfId="24499"/>
    <cellStyle name="Normal 2 26 2 2" xfId="24500"/>
    <cellStyle name="Normal 2 26 3" xfId="24501"/>
    <cellStyle name="Normal 2 26 3 2" xfId="24502"/>
    <cellStyle name="Normal 2 26 3 2 2" xfId="24503"/>
    <cellStyle name="Normal 2 26 3 2 2 2" xfId="24504"/>
    <cellStyle name="Normal 2 26 3 2 2 3" xfId="24505"/>
    <cellStyle name="Normal 2 26 3 2 3" xfId="24506"/>
    <cellStyle name="Normal 2 26 3 2 4" xfId="24507"/>
    <cellStyle name="Normal 2 26 3 2 5" xfId="24508"/>
    <cellStyle name="Normal 2 26 3 2 6" xfId="24509"/>
    <cellStyle name="Normal 2 26 3 3" xfId="24510"/>
    <cellStyle name="Normal 2 26 3 3 2" xfId="24511"/>
    <cellStyle name="Normal 2 26 3 3 2 2" xfId="24512"/>
    <cellStyle name="Normal 2 26 3 3 3" xfId="24513"/>
    <cellStyle name="Normal 2 26 3 3 4" xfId="24514"/>
    <cellStyle name="Normal 2 26 3 3 5" xfId="24515"/>
    <cellStyle name="Normal 2 26 3 4" xfId="24516"/>
    <cellStyle name="Normal 2 26 3 4 2" xfId="24517"/>
    <cellStyle name="Normal 2 26 3 4 3" xfId="24518"/>
    <cellStyle name="Normal 2 26 3 4 4" xfId="24519"/>
    <cellStyle name="Normal 2 26 3 5" xfId="24520"/>
    <cellStyle name="Normal 2 26 3 5 2" xfId="24521"/>
    <cellStyle name="Normal 2 26 3 6" xfId="24522"/>
    <cellStyle name="Normal 2 26 3 7" xfId="24523"/>
    <cellStyle name="Normal 2 26 3 8" xfId="24524"/>
    <cellStyle name="Normal 2 26 3 9" xfId="24525"/>
    <cellStyle name="Normal 2 26 4" xfId="24526"/>
    <cellStyle name="Normal 2 26 4 2" xfId="24527"/>
    <cellStyle name="Normal 2 26 4 2 2" xfId="24528"/>
    <cellStyle name="Normal 2 26 4 3" xfId="24529"/>
    <cellStyle name="Normal 2 26 4 4" xfId="24530"/>
    <cellStyle name="Normal 2 26 4 5" xfId="24531"/>
    <cellStyle name="Normal 2 26 4 6" xfId="24532"/>
    <cellStyle name="Normal 2 26 5" xfId="24533"/>
    <cellStyle name="Normal 2 26 5 2" xfId="24534"/>
    <cellStyle name="Normal 2 26 5 3" xfId="24535"/>
    <cellStyle name="Normal 2 26 6" xfId="24536"/>
    <cellStyle name="Normal 2 26 7" xfId="24537"/>
    <cellStyle name="Normal 2 27" xfId="24538"/>
    <cellStyle name="Normal 2 27 2" xfId="24539"/>
    <cellStyle name="Normal 2 27 2 2" xfId="24540"/>
    <cellStyle name="Normal 2 27 3" xfId="24541"/>
    <cellStyle name="Normal 2 27 3 2" xfId="24542"/>
    <cellStyle name="Normal 2 27 3 2 2" xfId="24543"/>
    <cellStyle name="Normal 2 27 3 2 2 2" xfId="24544"/>
    <cellStyle name="Normal 2 27 3 2 2 3" xfId="24545"/>
    <cellStyle name="Normal 2 27 3 2 3" xfId="24546"/>
    <cellStyle name="Normal 2 27 3 2 4" xfId="24547"/>
    <cellStyle name="Normal 2 27 3 2 5" xfId="24548"/>
    <cellStyle name="Normal 2 27 3 2 6" xfId="24549"/>
    <cellStyle name="Normal 2 27 3 3" xfId="24550"/>
    <cellStyle name="Normal 2 27 3 3 2" xfId="24551"/>
    <cellStyle name="Normal 2 27 3 3 2 2" xfId="24552"/>
    <cellStyle name="Normal 2 27 3 3 3" xfId="24553"/>
    <cellStyle name="Normal 2 27 3 3 4" xfId="24554"/>
    <cellStyle name="Normal 2 27 3 3 5" xfId="24555"/>
    <cellStyle name="Normal 2 27 3 4" xfId="24556"/>
    <cellStyle name="Normal 2 27 3 4 2" xfId="24557"/>
    <cellStyle name="Normal 2 27 3 4 3" xfId="24558"/>
    <cellStyle name="Normal 2 27 3 4 4" xfId="24559"/>
    <cellStyle name="Normal 2 27 3 5" xfId="24560"/>
    <cellStyle name="Normal 2 27 3 5 2" xfId="24561"/>
    <cellStyle name="Normal 2 27 3 6" xfId="24562"/>
    <cellStyle name="Normal 2 27 3 7" xfId="24563"/>
    <cellStyle name="Normal 2 27 3 8" xfId="24564"/>
    <cellStyle name="Normal 2 27 3 9" xfId="24565"/>
    <cellStyle name="Normal 2 27 4" xfId="24566"/>
    <cellStyle name="Normal 2 27 4 2" xfId="24567"/>
    <cellStyle name="Normal 2 27 4 2 2" xfId="24568"/>
    <cellStyle name="Normal 2 27 4 3" xfId="24569"/>
    <cellStyle name="Normal 2 27 4 4" xfId="24570"/>
    <cellStyle name="Normal 2 27 4 5" xfId="24571"/>
    <cellStyle name="Normal 2 27 4 6" xfId="24572"/>
    <cellStyle name="Normal 2 27 5" xfId="24573"/>
    <cellStyle name="Normal 2 27 5 2" xfId="24574"/>
    <cellStyle name="Normal 2 27 5 3" xfId="24575"/>
    <cellStyle name="Normal 2 27 6" xfId="24576"/>
    <cellStyle name="Normal 2 27 7" xfId="24577"/>
    <cellStyle name="Normal 2 28" xfId="24578"/>
    <cellStyle name="Normal 2 28 2" xfId="24579"/>
    <cellStyle name="Normal 2 28 2 2" xfId="24580"/>
    <cellStyle name="Normal 2 28 3" xfId="24581"/>
    <cellStyle name="Normal 2 28 3 2" xfId="24582"/>
    <cellStyle name="Normal 2 28 3 2 2" xfId="24583"/>
    <cellStyle name="Normal 2 28 3 2 2 2" xfId="24584"/>
    <cellStyle name="Normal 2 28 3 2 2 3" xfId="24585"/>
    <cellStyle name="Normal 2 28 3 2 3" xfId="24586"/>
    <cellStyle name="Normal 2 28 3 2 4" xfId="24587"/>
    <cellStyle name="Normal 2 28 3 2 5" xfId="24588"/>
    <cellStyle name="Normal 2 28 3 2 6" xfId="24589"/>
    <cellStyle name="Normal 2 28 3 3" xfId="24590"/>
    <cellStyle name="Normal 2 28 3 3 2" xfId="24591"/>
    <cellStyle name="Normal 2 28 3 3 2 2" xfId="24592"/>
    <cellStyle name="Normal 2 28 3 3 3" xfId="24593"/>
    <cellStyle name="Normal 2 28 3 3 4" xfId="24594"/>
    <cellStyle name="Normal 2 28 3 3 5" xfId="24595"/>
    <cellStyle name="Normal 2 28 3 4" xfId="24596"/>
    <cellStyle name="Normal 2 28 3 4 2" xfId="24597"/>
    <cellStyle name="Normal 2 28 3 4 3" xfId="24598"/>
    <cellStyle name="Normal 2 28 3 4 4" xfId="24599"/>
    <cellStyle name="Normal 2 28 3 5" xfId="24600"/>
    <cellStyle name="Normal 2 28 3 5 2" xfId="24601"/>
    <cellStyle name="Normal 2 28 3 6" xfId="24602"/>
    <cellStyle name="Normal 2 28 3 7" xfId="24603"/>
    <cellStyle name="Normal 2 28 3 8" xfId="24604"/>
    <cellStyle name="Normal 2 28 3 9" xfId="24605"/>
    <cellStyle name="Normal 2 28 4" xfId="24606"/>
    <cellStyle name="Normal 2 28 4 2" xfId="24607"/>
    <cellStyle name="Normal 2 28 4 2 2" xfId="24608"/>
    <cellStyle name="Normal 2 28 4 3" xfId="24609"/>
    <cellStyle name="Normal 2 28 4 4" xfId="24610"/>
    <cellStyle name="Normal 2 28 4 5" xfId="24611"/>
    <cellStyle name="Normal 2 28 4 6" xfId="24612"/>
    <cellStyle name="Normal 2 28 5" xfId="24613"/>
    <cellStyle name="Normal 2 28 5 2" xfId="24614"/>
    <cellStyle name="Normal 2 28 5 3" xfId="24615"/>
    <cellStyle name="Normal 2 28 6" xfId="24616"/>
    <cellStyle name="Normal 2 28 6 2" xfId="24617"/>
    <cellStyle name="Normal 2 28 7" xfId="24618"/>
    <cellStyle name="Normal 2 28 8" xfId="24619"/>
    <cellStyle name="Normal 2 29" xfId="24620"/>
    <cellStyle name="Normal 2 29 2" xfId="24621"/>
    <cellStyle name="Normal 2 29 2 2" xfId="24622"/>
    <cellStyle name="Normal 2 29 2 2 2" xfId="24623"/>
    <cellStyle name="Normal 2 29 2 3" xfId="24624"/>
    <cellStyle name="Normal 2 29 3" xfId="24625"/>
    <cellStyle name="Normal 2 29 3 2" xfId="24626"/>
    <cellStyle name="Normal 2 29 3 2 2" xfId="24627"/>
    <cellStyle name="Normal 2 29 3 2 2 2" xfId="24628"/>
    <cellStyle name="Normal 2 29 3 2 2 3" xfId="24629"/>
    <cellStyle name="Normal 2 29 3 2 3" xfId="24630"/>
    <cellStyle name="Normal 2 29 3 2 4" xfId="24631"/>
    <cellStyle name="Normal 2 29 3 2 5" xfId="24632"/>
    <cellStyle name="Normal 2 29 3 2 6" xfId="24633"/>
    <cellStyle name="Normal 2 29 3 3" xfId="24634"/>
    <cellStyle name="Normal 2 29 3 3 2" xfId="24635"/>
    <cellStyle name="Normal 2 29 3 3 2 2" xfId="24636"/>
    <cellStyle name="Normal 2 29 3 3 3" xfId="24637"/>
    <cellStyle name="Normal 2 29 3 3 4" xfId="24638"/>
    <cellStyle name="Normal 2 29 3 3 5" xfId="24639"/>
    <cellStyle name="Normal 2 29 3 4" xfId="24640"/>
    <cellStyle name="Normal 2 29 3 4 2" xfId="24641"/>
    <cellStyle name="Normal 2 29 3 4 3" xfId="24642"/>
    <cellStyle name="Normal 2 29 3 4 4" xfId="24643"/>
    <cellStyle name="Normal 2 29 3 5" xfId="24644"/>
    <cellStyle name="Normal 2 29 3 5 2" xfId="24645"/>
    <cellStyle name="Normal 2 29 3 6" xfId="24646"/>
    <cellStyle name="Normal 2 29 3 7" xfId="24647"/>
    <cellStyle name="Normal 2 29 3 8" xfId="24648"/>
    <cellStyle name="Normal 2 29 3 9" xfId="24649"/>
    <cellStyle name="Normal 2 29 4" xfId="24650"/>
    <cellStyle name="Normal 2 29 4 2" xfId="24651"/>
    <cellStyle name="Normal 2 29 4 2 2" xfId="24652"/>
    <cellStyle name="Normal 2 29 4 3" xfId="24653"/>
    <cellStyle name="Normal 2 29 4 4" xfId="24654"/>
    <cellStyle name="Normal 2 29 4 5" xfId="24655"/>
    <cellStyle name="Normal 2 29 4 6" xfId="24656"/>
    <cellStyle name="Normal 2 29 5" xfId="24657"/>
    <cellStyle name="Normal 2 29 5 2" xfId="24658"/>
    <cellStyle name="Normal 2 29 5 3" xfId="24659"/>
    <cellStyle name="Normal 2 29 6" xfId="24660"/>
    <cellStyle name="Normal 2 29 6 2" xfId="24661"/>
    <cellStyle name="Normal 2 29 7" xfId="24662"/>
    <cellStyle name="Normal 2 29 8" xfId="24663"/>
    <cellStyle name="Normal 2 3" xfId="24664"/>
    <cellStyle name="Normal 2 3 2" xfId="24665"/>
    <cellStyle name="Normal 2 3 2 10" xfId="24666"/>
    <cellStyle name="Normal 2 3 2 10 10" xfId="24667"/>
    <cellStyle name="Normal 2 3 2 10 2" xfId="24668"/>
    <cellStyle name="Normal 2 3 2 10 2 2" xfId="24669"/>
    <cellStyle name="Normal 2 3 2 10 2 2 2" xfId="24670"/>
    <cellStyle name="Normal 2 3 2 10 2 2 3" xfId="24671"/>
    <cellStyle name="Normal 2 3 2 10 2 3" xfId="24672"/>
    <cellStyle name="Normal 2 3 2 10 2 4" xfId="24673"/>
    <cellStyle name="Normal 2 3 2 10 2 5" xfId="24674"/>
    <cellStyle name="Normal 2 3 2 10 2 6" xfId="24675"/>
    <cellStyle name="Normal 2 3 2 10 3" xfId="24676"/>
    <cellStyle name="Normal 2 3 2 10 3 2" xfId="24677"/>
    <cellStyle name="Normal 2 3 2 10 3 2 2" xfId="24678"/>
    <cellStyle name="Normal 2 3 2 10 3 2 3" xfId="24679"/>
    <cellStyle name="Normal 2 3 2 10 3 3" xfId="24680"/>
    <cellStyle name="Normal 2 3 2 10 3 4" xfId="24681"/>
    <cellStyle name="Normal 2 3 2 10 3 5" xfId="24682"/>
    <cellStyle name="Normal 2 3 2 10 3 6" xfId="24683"/>
    <cellStyle name="Normal 2 3 2 10 4" xfId="24684"/>
    <cellStyle name="Normal 2 3 2 10 4 2" xfId="24685"/>
    <cellStyle name="Normal 2 3 2 10 4 2 2" xfId="24686"/>
    <cellStyle name="Normal 2 3 2 10 4 3" xfId="24687"/>
    <cellStyle name="Normal 2 3 2 10 4 4" xfId="24688"/>
    <cellStyle name="Normal 2 3 2 10 4 5" xfId="24689"/>
    <cellStyle name="Normal 2 3 2 10 5" xfId="24690"/>
    <cellStyle name="Normal 2 3 2 10 5 2" xfId="24691"/>
    <cellStyle name="Normal 2 3 2 10 5 3" xfId="24692"/>
    <cellStyle name="Normal 2 3 2 10 5 4" xfId="24693"/>
    <cellStyle name="Normal 2 3 2 10 6" xfId="24694"/>
    <cellStyle name="Normal 2 3 2 10 6 2" xfId="24695"/>
    <cellStyle name="Normal 2 3 2 10 7" xfId="24696"/>
    <cellStyle name="Normal 2 3 2 10 8" xfId="24697"/>
    <cellStyle name="Normal 2 3 2 10 9" xfId="24698"/>
    <cellStyle name="Normal 2 3 2 11" xfId="24699"/>
    <cellStyle name="Normal 2 3 2 11 10" xfId="24700"/>
    <cellStyle name="Normal 2 3 2 11 2" xfId="24701"/>
    <cellStyle name="Normal 2 3 2 11 2 2" xfId="24702"/>
    <cellStyle name="Normal 2 3 2 11 2 2 2" xfId="24703"/>
    <cellStyle name="Normal 2 3 2 11 2 2 3" xfId="24704"/>
    <cellStyle name="Normal 2 3 2 11 2 3" xfId="24705"/>
    <cellStyle name="Normal 2 3 2 11 2 4" xfId="24706"/>
    <cellStyle name="Normal 2 3 2 11 2 5" xfId="24707"/>
    <cellStyle name="Normal 2 3 2 11 2 6" xfId="24708"/>
    <cellStyle name="Normal 2 3 2 11 3" xfId="24709"/>
    <cellStyle name="Normal 2 3 2 11 3 2" xfId="24710"/>
    <cellStyle name="Normal 2 3 2 11 3 2 2" xfId="24711"/>
    <cellStyle name="Normal 2 3 2 11 3 2 3" xfId="24712"/>
    <cellStyle name="Normal 2 3 2 11 3 3" xfId="24713"/>
    <cellStyle name="Normal 2 3 2 11 3 4" xfId="24714"/>
    <cellStyle name="Normal 2 3 2 11 3 5" xfId="24715"/>
    <cellStyle name="Normal 2 3 2 11 3 6" xfId="24716"/>
    <cellStyle name="Normal 2 3 2 11 4" xfId="24717"/>
    <cellStyle name="Normal 2 3 2 11 4 2" xfId="24718"/>
    <cellStyle name="Normal 2 3 2 11 4 2 2" xfId="24719"/>
    <cellStyle name="Normal 2 3 2 11 4 3" xfId="24720"/>
    <cellStyle name="Normal 2 3 2 11 4 4" xfId="24721"/>
    <cellStyle name="Normal 2 3 2 11 4 5" xfId="24722"/>
    <cellStyle name="Normal 2 3 2 11 5" xfId="24723"/>
    <cellStyle name="Normal 2 3 2 11 5 2" xfId="24724"/>
    <cellStyle name="Normal 2 3 2 11 5 3" xfId="24725"/>
    <cellStyle name="Normal 2 3 2 11 5 4" xfId="24726"/>
    <cellStyle name="Normal 2 3 2 11 6" xfId="24727"/>
    <cellStyle name="Normal 2 3 2 11 6 2" xfId="24728"/>
    <cellStyle name="Normal 2 3 2 11 7" xfId="24729"/>
    <cellStyle name="Normal 2 3 2 11 8" xfId="24730"/>
    <cellStyle name="Normal 2 3 2 11 9" xfId="24731"/>
    <cellStyle name="Normal 2 3 2 12" xfId="24732"/>
    <cellStyle name="Normal 2 3 2 12 10" xfId="24733"/>
    <cellStyle name="Normal 2 3 2 12 2" xfId="24734"/>
    <cellStyle name="Normal 2 3 2 12 2 2" xfId="24735"/>
    <cellStyle name="Normal 2 3 2 12 2 2 2" xfId="24736"/>
    <cellStyle name="Normal 2 3 2 12 2 2 3" xfId="24737"/>
    <cellStyle name="Normal 2 3 2 12 2 3" xfId="24738"/>
    <cellStyle name="Normal 2 3 2 12 2 4" xfId="24739"/>
    <cellStyle name="Normal 2 3 2 12 2 5" xfId="24740"/>
    <cellStyle name="Normal 2 3 2 12 2 6" xfId="24741"/>
    <cellStyle name="Normal 2 3 2 12 3" xfId="24742"/>
    <cellStyle name="Normal 2 3 2 12 3 2" xfId="24743"/>
    <cellStyle name="Normal 2 3 2 12 3 2 2" xfId="24744"/>
    <cellStyle name="Normal 2 3 2 12 3 2 3" xfId="24745"/>
    <cellStyle name="Normal 2 3 2 12 3 3" xfId="24746"/>
    <cellStyle name="Normal 2 3 2 12 3 4" xfId="24747"/>
    <cellStyle name="Normal 2 3 2 12 3 5" xfId="24748"/>
    <cellStyle name="Normal 2 3 2 12 3 6" xfId="24749"/>
    <cellStyle name="Normal 2 3 2 12 4" xfId="24750"/>
    <cellStyle name="Normal 2 3 2 12 4 2" xfId="24751"/>
    <cellStyle name="Normal 2 3 2 12 4 2 2" xfId="24752"/>
    <cellStyle name="Normal 2 3 2 12 4 3" xfId="24753"/>
    <cellStyle name="Normal 2 3 2 12 4 4" xfId="24754"/>
    <cellStyle name="Normal 2 3 2 12 4 5" xfId="24755"/>
    <cellStyle name="Normal 2 3 2 12 5" xfId="24756"/>
    <cellStyle name="Normal 2 3 2 12 5 2" xfId="24757"/>
    <cellStyle name="Normal 2 3 2 12 5 3" xfId="24758"/>
    <cellStyle name="Normal 2 3 2 12 5 4" xfId="24759"/>
    <cellStyle name="Normal 2 3 2 12 6" xfId="24760"/>
    <cellStyle name="Normal 2 3 2 12 6 2" xfId="24761"/>
    <cellStyle name="Normal 2 3 2 12 7" xfId="24762"/>
    <cellStyle name="Normal 2 3 2 12 8" xfId="24763"/>
    <cellStyle name="Normal 2 3 2 12 9" xfId="24764"/>
    <cellStyle name="Normal 2 3 2 13" xfId="24765"/>
    <cellStyle name="Normal 2 3 2 13 2" xfId="24766"/>
    <cellStyle name="Normal 2 3 2 13 2 2" xfId="24767"/>
    <cellStyle name="Normal 2 3 2 13 2 2 2" xfId="24768"/>
    <cellStyle name="Normal 2 3 2 13 2 2 3" xfId="24769"/>
    <cellStyle name="Normal 2 3 2 13 2 3" xfId="24770"/>
    <cellStyle name="Normal 2 3 2 13 2 4" xfId="24771"/>
    <cellStyle name="Normal 2 3 2 13 2 5" xfId="24772"/>
    <cellStyle name="Normal 2 3 2 13 2 6" xfId="24773"/>
    <cellStyle name="Normal 2 3 2 13 3" xfId="24774"/>
    <cellStyle name="Normal 2 3 2 13 3 2" xfId="24775"/>
    <cellStyle name="Normal 2 3 2 13 3 2 2" xfId="24776"/>
    <cellStyle name="Normal 2 3 2 13 3 3" xfId="24777"/>
    <cellStyle name="Normal 2 3 2 13 3 4" xfId="24778"/>
    <cellStyle name="Normal 2 3 2 13 3 5" xfId="24779"/>
    <cellStyle name="Normal 2 3 2 13 4" xfId="24780"/>
    <cellStyle name="Normal 2 3 2 13 4 2" xfId="24781"/>
    <cellStyle name="Normal 2 3 2 13 4 3" xfId="24782"/>
    <cellStyle name="Normal 2 3 2 13 4 4" xfId="24783"/>
    <cellStyle name="Normal 2 3 2 13 5" xfId="24784"/>
    <cellStyle name="Normal 2 3 2 13 5 2" xfId="24785"/>
    <cellStyle name="Normal 2 3 2 13 6" xfId="24786"/>
    <cellStyle name="Normal 2 3 2 13 7" xfId="24787"/>
    <cellStyle name="Normal 2 3 2 13 8" xfId="24788"/>
    <cellStyle name="Normal 2 3 2 13 9" xfId="24789"/>
    <cellStyle name="Normal 2 3 2 14" xfId="24790"/>
    <cellStyle name="Normal 2 3 2 14 2" xfId="24791"/>
    <cellStyle name="Normal 2 3 2 14 2 2" xfId="24792"/>
    <cellStyle name="Normal 2 3 2 14 2 2 2" xfId="24793"/>
    <cellStyle name="Normal 2 3 2 14 2 2 3" xfId="24794"/>
    <cellStyle name="Normal 2 3 2 14 2 3" xfId="24795"/>
    <cellStyle name="Normal 2 3 2 14 2 4" xfId="24796"/>
    <cellStyle name="Normal 2 3 2 14 2 5" xfId="24797"/>
    <cellStyle name="Normal 2 3 2 14 2 6" xfId="24798"/>
    <cellStyle name="Normal 2 3 2 14 3" xfId="24799"/>
    <cellStyle name="Normal 2 3 2 14 3 2" xfId="24800"/>
    <cellStyle name="Normal 2 3 2 14 3 2 2" xfId="24801"/>
    <cellStyle name="Normal 2 3 2 14 3 3" xfId="24802"/>
    <cellStyle name="Normal 2 3 2 14 3 4" xfId="24803"/>
    <cellStyle name="Normal 2 3 2 14 3 5" xfId="24804"/>
    <cellStyle name="Normal 2 3 2 14 4" xfId="24805"/>
    <cellStyle name="Normal 2 3 2 14 4 2" xfId="24806"/>
    <cellStyle name="Normal 2 3 2 14 4 3" xfId="24807"/>
    <cellStyle name="Normal 2 3 2 14 4 4" xfId="24808"/>
    <cellStyle name="Normal 2 3 2 14 5" xfId="24809"/>
    <cellStyle name="Normal 2 3 2 14 5 2" xfId="24810"/>
    <cellStyle name="Normal 2 3 2 14 6" xfId="24811"/>
    <cellStyle name="Normal 2 3 2 14 7" xfId="24812"/>
    <cellStyle name="Normal 2 3 2 14 8" xfId="24813"/>
    <cellStyle name="Normal 2 3 2 14 9" xfId="24814"/>
    <cellStyle name="Normal 2 3 2 15" xfId="24815"/>
    <cellStyle name="Normal 2 3 2 15 2" xfId="24816"/>
    <cellStyle name="Normal 2 3 2 15 2 2" xfId="24817"/>
    <cellStyle name="Normal 2 3 2 15 2 3" xfId="24818"/>
    <cellStyle name="Normal 2 3 2 15 3" xfId="24819"/>
    <cellStyle name="Normal 2 3 2 15 4" xfId="24820"/>
    <cellStyle name="Normal 2 3 2 15 5" xfId="24821"/>
    <cellStyle name="Normal 2 3 2 15 6" xfId="24822"/>
    <cellStyle name="Normal 2 3 2 16" xfId="24823"/>
    <cellStyle name="Normal 2 3 2 16 2" xfId="24824"/>
    <cellStyle name="Normal 2 3 2 16 2 2" xfId="24825"/>
    <cellStyle name="Normal 2 3 2 16 3" xfId="24826"/>
    <cellStyle name="Normal 2 3 2 16 4" xfId="24827"/>
    <cellStyle name="Normal 2 3 2 16 5" xfId="24828"/>
    <cellStyle name="Normal 2 3 2 17" xfId="24829"/>
    <cellStyle name="Normal 2 3 2 17 2" xfId="24830"/>
    <cellStyle name="Normal 2 3 2 17 2 2" xfId="24831"/>
    <cellStyle name="Normal 2 3 2 17 3" xfId="24832"/>
    <cellStyle name="Normal 2 3 2 17 4" xfId="24833"/>
    <cellStyle name="Normal 2 3 2 17 5" xfId="24834"/>
    <cellStyle name="Normal 2 3 2 18" xfId="24835"/>
    <cellStyle name="Normal 2 3 2 18 2" xfId="24836"/>
    <cellStyle name="Normal 2 3 2 19" xfId="24837"/>
    <cellStyle name="Normal 2 3 2 2" xfId="24838"/>
    <cellStyle name="Normal 2 3 2 2 10" xfId="24839"/>
    <cellStyle name="Normal 2 3 2 2 11" xfId="24840"/>
    <cellStyle name="Normal 2 3 2 2 2" xfId="24841"/>
    <cellStyle name="Normal 2 3 2 2 2 2" xfId="24842"/>
    <cellStyle name="Normal 2 3 2 2 2 2 2" xfId="24843"/>
    <cellStyle name="Normal 2 3 2 2 2 2 2 2" xfId="24844"/>
    <cellStyle name="Normal 2 3 2 2 2 2 2 3" xfId="24845"/>
    <cellStyle name="Normal 2 3 2 2 2 2 3" xfId="24846"/>
    <cellStyle name="Normal 2 3 2 2 2 2 4" xfId="24847"/>
    <cellStyle name="Normal 2 3 2 2 2 2 5" xfId="24848"/>
    <cellStyle name="Normal 2 3 2 2 2 2 6" xfId="24849"/>
    <cellStyle name="Normal 2 3 2 2 2 3" xfId="24850"/>
    <cellStyle name="Normal 2 3 2 2 2 3 2" xfId="24851"/>
    <cellStyle name="Normal 2 3 2 2 2 3 2 2" xfId="24852"/>
    <cellStyle name="Normal 2 3 2 2 2 3 3" xfId="24853"/>
    <cellStyle name="Normal 2 3 2 2 2 3 4" xfId="24854"/>
    <cellStyle name="Normal 2 3 2 2 2 3 5" xfId="24855"/>
    <cellStyle name="Normal 2 3 2 2 2 4" xfId="24856"/>
    <cellStyle name="Normal 2 3 2 2 2 4 2" xfId="24857"/>
    <cellStyle name="Normal 2 3 2 2 2 4 3" xfId="24858"/>
    <cellStyle name="Normal 2 3 2 2 2 4 4" xfId="24859"/>
    <cellStyle name="Normal 2 3 2 2 2 5" xfId="24860"/>
    <cellStyle name="Normal 2 3 2 2 2 5 2" xfId="24861"/>
    <cellStyle name="Normal 2 3 2 2 2 6" xfId="24862"/>
    <cellStyle name="Normal 2 3 2 2 2 7" xfId="24863"/>
    <cellStyle name="Normal 2 3 2 2 2 8" xfId="24864"/>
    <cellStyle name="Normal 2 3 2 2 2 9" xfId="24865"/>
    <cellStyle name="Normal 2 3 2 2 3" xfId="24866"/>
    <cellStyle name="Normal 2 3 2 2 3 2" xfId="24867"/>
    <cellStyle name="Normal 2 3 2 2 3 2 2" xfId="24868"/>
    <cellStyle name="Normal 2 3 2 2 3 2 2 2" xfId="24869"/>
    <cellStyle name="Normal 2 3 2 2 3 2 2 3" xfId="24870"/>
    <cellStyle name="Normal 2 3 2 2 3 2 3" xfId="24871"/>
    <cellStyle name="Normal 2 3 2 2 3 2 4" xfId="24872"/>
    <cellStyle name="Normal 2 3 2 2 3 2 5" xfId="24873"/>
    <cellStyle name="Normal 2 3 2 2 3 2 6" xfId="24874"/>
    <cellStyle name="Normal 2 3 2 2 3 3" xfId="24875"/>
    <cellStyle name="Normal 2 3 2 2 3 3 2" xfId="24876"/>
    <cellStyle name="Normal 2 3 2 2 3 3 2 2" xfId="24877"/>
    <cellStyle name="Normal 2 3 2 2 3 3 3" xfId="24878"/>
    <cellStyle name="Normal 2 3 2 2 3 3 4" xfId="24879"/>
    <cellStyle name="Normal 2 3 2 2 3 3 5" xfId="24880"/>
    <cellStyle name="Normal 2 3 2 2 3 4" xfId="24881"/>
    <cellStyle name="Normal 2 3 2 2 3 4 2" xfId="24882"/>
    <cellStyle name="Normal 2 3 2 2 3 4 3" xfId="24883"/>
    <cellStyle name="Normal 2 3 2 2 3 4 4" xfId="24884"/>
    <cellStyle name="Normal 2 3 2 2 3 5" xfId="24885"/>
    <cellStyle name="Normal 2 3 2 2 3 5 2" xfId="24886"/>
    <cellStyle name="Normal 2 3 2 2 3 6" xfId="24887"/>
    <cellStyle name="Normal 2 3 2 2 3 7" xfId="24888"/>
    <cellStyle name="Normal 2 3 2 2 3 8" xfId="24889"/>
    <cellStyle name="Normal 2 3 2 2 3 9" xfId="24890"/>
    <cellStyle name="Normal 2 3 2 2 4" xfId="24891"/>
    <cellStyle name="Normal 2 3 2 2 4 2" xfId="24892"/>
    <cellStyle name="Normal 2 3 2 2 4 2 2" xfId="24893"/>
    <cellStyle name="Normal 2 3 2 2 4 2 3" xfId="24894"/>
    <cellStyle name="Normal 2 3 2 2 4 3" xfId="24895"/>
    <cellStyle name="Normal 2 3 2 2 4 4" xfId="24896"/>
    <cellStyle name="Normal 2 3 2 2 4 5" xfId="24897"/>
    <cellStyle name="Normal 2 3 2 2 4 6" xfId="24898"/>
    <cellStyle name="Normal 2 3 2 2 5" xfId="24899"/>
    <cellStyle name="Normal 2 3 2 2 5 2" xfId="24900"/>
    <cellStyle name="Normal 2 3 2 2 5 2 2" xfId="24901"/>
    <cellStyle name="Normal 2 3 2 2 5 3" xfId="24902"/>
    <cellStyle name="Normal 2 3 2 2 5 4" xfId="24903"/>
    <cellStyle name="Normal 2 3 2 2 5 5" xfId="24904"/>
    <cellStyle name="Normal 2 3 2 2 6" xfId="24905"/>
    <cellStyle name="Normal 2 3 2 2 6 2" xfId="24906"/>
    <cellStyle name="Normal 2 3 2 2 6 3" xfId="24907"/>
    <cellStyle name="Normal 2 3 2 2 6 4" xfId="24908"/>
    <cellStyle name="Normal 2 3 2 2 7" xfId="24909"/>
    <cellStyle name="Normal 2 3 2 2 7 2" xfId="24910"/>
    <cellStyle name="Normal 2 3 2 2 8" xfId="24911"/>
    <cellStyle name="Normal 2 3 2 2 9" xfId="24912"/>
    <cellStyle name="Normal 2 3 2 20" xfId="24913"/>
    <cellStyle name="Normal 2 3 2 21" xfId="24914"/>
    <cellStyle name="Normal 2 3 2 22" xfId="24915"/>
    <cellStyle name="Normal 2 3 2 3" xfId="24916"/>
    <cellStyle name="Normal 2 3 2 3 10" xfId="24917"/>
    <cellStyle name="Normal 2 3 2 3 11" xfId="24918"/>
    <cellStyle name="Normal 2 3 2 3 2" xfId="24919"/>
    <cellStyle name="Normal 2 3 2 3 2 2" xfId="24920"/>
    <cellStyle name="Normal 2 3 2 3 2 2 2" xfId="24921"/>
    <cellStyle name="Normal 2 3 2 3 2 2 2 2" xfId="24922"/>
    <cellStyle name="Normal 2 3 2 3 2 2 2 3" xfId="24923"/>
    <cellStyle name="Normal 2 3 2 3 2 2 3" xfId="24924"/>
    <cellStyle name="Normal 2 3 2 3 2 2 4" xfId="24925"/>
    <cellStyle name="Normal 2 3 2 3 2 2 5" xfId="24926"/>
    <cellStyle name="Normal 2 3 2 3 2 2 6" xfId="24927"/>
    <cellStyle name="Normal 2 3 2 3 2 3" xfId="24928"/>
    <cellStyle name="Normal 2 3 2 3 2 3 2" xfId="24929"/>
    <cellStyle name="Normal 2 3 2 3 2 3 2 2" xfId="24930"/>
    <cellStyle name="Normal 2 3 2 3 2 3 3" xfId="24931"/>
    <cellStyle name="Normal 2 3 2 3 2 3 4" xfId="24932"/>
    <cellStyle name="Normal 2 3 2 3 2 3 5" xfId="24933"/>
    <cellStyle name="Normal 2 3 2 3 2 4" xfId="24934"/>
    <cellStyle name="Normal 2 3 2 3 2 4 2" xfId="24935"/>
    <cellStyle name="Normal 2 3 2 3 2 4 3" xfId="24936"/>
    <cellStyle name="Normal 2 3 2 3 2 4 4" xfId="24937"/>
    <cellStyle name="Normal 2 3 2 3 2 5" xfId="24938"/>
    <cellStyle name="Normal 2 3 2 3 2 5 2" xfId="24939"/>
    <cellStyle name="Normal 2 3 2 3 2 6" xfId="24940"/>
    <cellStyle name="Normal 2 3 2 3 2 7" xfId="24941"/>
    <cellStyle name="Normal 2 3 2 3 2 8" xfId="24942"/>
    <cellStyle name="Normal 2 3 2 3 2 9" xfId="24943"/>
    <cellStyle name="Normal 2 3 2 3 3" xfId="24944"/>
    <cellStyle name="Normal 2 3 2 3 3 2" xfId="24945"/>
    <cellStyle name="Normal 2 3 2 3 3 2 2" xfId="24946"/>
    <cellStyle name="Normal 2 3 2 3 3 2 2 2" xfId="24947"/>
    <cellStyle name="Normal 2 3 2 3 3 2 2 3" xfId="24948"/>
    <cellStyle name="Normal 2 3 2 3 3 2 3" xfId="24949"/>
    <cellStyle name="Normal 2 3 2 3 3 2 4" xfId="24950"/>
    <cellStyle name="Normal 2 3 2 3 3 2 5" xfId="24951"/>
    <cellStyle name="Normal 2 3 2 3 3 2 6" xfId="24952"/>
    <cellStyle name="Normal 2 3 2 3 3 3" xfId="24953"/>
    <cellStyle name="Normal 2 3 2 3 3 3 2" xfId="24954"/>
    <cellStyle name="Normal 2 3 2 3 3 3 2 2" xfId="24955"/>
    <cellStyle name="Normal 2 3 2 3 3 3 3" xfId="24956"/>
    <cellStyle name="Normal 2 3 2 3 3 3 4" xfId="24957"/>
    <cellStyle name="Normal 2 3 2 3 3 3 5" xfId="24958"/>
    <cellStyle name="Normal 2 3 2 3 3 4" xfId="24959"/>
    <cellStyle name="Normal 2 3 2 3 3 4 2" xfId="24960"/>
    <cellStyle name="Normal 2 3 2 3 3 4 3" xfId="24961"/>
    <cellStyle name="Normal 2 3 2 3 3 4 4" xfId="24962"/>
    <cellStyle name="Normal 2 3 2 3 3 5" xfId="24963"/>
    <cellStyle name="Normal 2 3 2 3 3 5 2" xfId="24964"/>
    <cellStyle name="Normal 2 3 2 3 3 6" xfId="24965"/>
    <cellStyle name="Normal 2 3 2 3 3 7" xfId="24966"/>
    <cellStyle name="Normal 2 3 2 3 3 8" xfId="24967"/>
    <cellStyle name="Normal 2 3 2 3 3 9" xfId="24968"/>
    <cellStyle name="Normal 2 3 2 3 4" xfId="24969"/>
    <cellStyle name="Normal 2 3 2 3 4 2" xfId="24970"/>
    <cellStyle name="Normal 2 3 2 3 4 2 2" xfId="24971"/>
    <cellStyle name="Normal 2 3 2 3 4 2 3" xfId="24972"/>
    <cellStyle name="Normal 2 3 2 3 4 3" xfId="24973"/>
    <cellStyle name="Normal 2 3 2 3 4 4" xfId="24974"/>
    <cellStyle name="Normal 2 3 2 3 4 5" xfId="24975"/>
    <cellStyle name="Normal 2 3 2 3 4 6" xfId="24976"/>
    <cellStyle name="Normal 2 3 2 3 5" xfId="24977"/>
    <cellStyle name="Normal 2 3 2 3 5 2" xfId="24978"/>
    <cellStyle name="Normal 2 3 2 3 5 2 2" xfId="24979"/>
    <cellStyle name="Normal 2 3 2 3 5 3" xfId="24980"/>
    <cellStyle name="Normal 2 3 2 3 5 4" xfId="24981"/>
    <cellStyle name="Normal 2 3 2 3 5 5" xfId="24982"/>
    <cellStyle name="Normal 2 3 2 3 6" xfId="24983"/>
    <cellStyle name="Normal 2 3 2 3 6 2" xfId="24984"/>
    <cellStyle name="Normal 2 3 2 3 6 3" xfId="24985"/>
    <cellStyle name="Normal 2 3 2 3 6 4" xfId="24986"/>
    <cellStyle name="Normal 2 3 2 3 7" xfId="24987"/>
    <cellStyle name="Normal 2 3 2 3 7 2" xfId="24988"/>
    <cellStyle name="Normal 2 3 2 3 8" xfId="24989"/>
    <cellStyle name="Normal 2 3 2 3 9" xfId="24990"/>
    <cellStyle name="Normal 2 3 2 4" xfId="24991"/>
    <cellStyle name="Normal 2 3 2 4 10" xfId="24992"/>
    <cellStyle name="Normal 2 3 2 4 11" xfId="24993"/>
    <cellStyle name="Normal 2 3 2 4 2" xfId="24994"/>
    <cellStyle name="Normal 2 3 2 4 2 2" xfId="24995"/>
    <cellStyle name="Normal 2 3 2 4 2 2 2" xfId="24996"/>
    <cellStyle name="Normal 2 3 2 4 2 2 2 2" xfId="24997"/>
    <cellStyle name="Normal 2 3 2 4 2 2 2 3" xfId="24998"/>
    <cellStyle name="Normal 2 3 2 4 2 2 3" xfId="24999"/>
    <cellStyle name="Normal 2 3 2 4 2 2 4" xfId="25000"/>
    <cellStyle name="Normal 2 3 2 4 2 2 5" xfId="25001"/>
    <cellStyle name="Normal 2 3 2 4 2 2 6" xfId="25002"/>
    <cellStyle name="Normal 2 3 2 4 2 3" xfId="25003"/>
    <cellStyle name="Normal 2 3 2 4 2 3 2" xfId="25004"/>
    <cellStyle name="Normal 2 3 2 4 2 3 2 2" xfId="25005"/>
    <cellStyle name="Normal 2 3 2 4 2 3 3" xfId="25006"/>
    <cellStyle name="Normal 2 3 2 4 2 3 4" xfId="25007"/>
    <cellStyle name="Normal 2 3 2 4 2 3 5" xfId="25008"/>
    <cellStyle name="Normal 2 3 2 4 2 4" xfId="25009"/>
    <cellStyle name="Normal 2 3 2 4 2 4 2" xfId="25010"/>
    <cellStyle name="Normal 2 3 2 4 2 4 3" xfId="25011"/>
    <cellStyle name="Normal 2 3 2 4 2 4 4" xfId="25012"/>
    <cellStyle name="Normal 2 3 2 4 2 5" xfId="25013"/>
    <cellStyle name="Normal 2 3 2 4 2 5 2" xfId="25014"/>
    <cellStyle name="Normal 2 3 2 4 2 6" xfId="25015"/>
    <cellStyle name="Normal 2 3 2 4 2 7" xfId="25016"/>
    <cellStyle name="Normal 2 3 2 4 2 8" xfId="25017"/>
    <cellStyle name="Normal 2 3 2 4 2 9" xfId="25018"/>
    <cellStyle name="Normal 2 3 2 4 3" xfId="25019"/>
    <cellStyle name="Normal 2 3 2 4 3 2" xfId="25020"/>
    <cellStyle name="Normal 2 3 2 4 3 2 2" xfId="25021"/>
    <cellStyle name="Normal 2 3 2 4 3 2 2 2" xfId="25022"/>
    <cellStyle name="Normal 2 3 2 4 3 2 2 3" xfId="25023"/>
    <cellStyle name="Normal 2 3 2 4 3 2 3" xfId="25024"/>
    <cellStyle name="Normal 2 3 2 4 3 2 4" xfId="25025"/>
    <cellStyle name="Normal 2 3 2 4 3 2 5" xfId="25026"/>
    <cellStyle name="Normal 2 3 2 4 3 2 6" xfId="25027"/>
    <cellStyle name="Normal 2 3 2 4 3 3" xfId="25028"/>
    <cellStyle name="Normal 2 3 2 4 3 3 2" xfId="25029"/>
    <cellStyle name="Normal 2 3 2 4 3 3 2 2" xfId="25030"/>
    <cellStyle name="Normal 2 3 2 4 3 3 3" xfId="25031"/>
    <cellStyle name="Normal 2 3 2 4 3 3 4" xfId="25032"/>
    <cellStyle name="Normal 2 3 2 4 3 3 5" xfId="25033"/>
    <cellStyle name="Normal 2 3 2 4 3 4" xfId="25034"/>
    <cellStyle name="Normal 2 3 2 4 3 4 2" xfId="25035"/>
    <cellStyle name="Normal 2 3 2 4 3 4 3" xfId="25036"/>
    <cellStyle name="Normal 2 3 2 4 3 4 4" xfId="25037"/>
    <cellStyle name="Normal 2 3 2 4 3 5" xfId="25038"/>
    <cellStyle name="Normal 2 3 2 4 3 5 2" xfId="25039"/>
    <cellStyle name="Normal 2 3 2 4 3 6" xfId="25040"/>
    <cellStyle name="Normal 2 3 2 4 3 7" xfId="25041"/>
    <cellStyle name="Normal 2 3 2 4 3 8" xfId="25042"/>
    <cellStyle name="Normal 2 3 2 4 3 9" xfId="25043"/>
    <cellStyle name="Normal 2 3 2 4 4" xfId="25044"/>
    <cellStyle name="Normal 2 3 2 4 4 2" xfId="25045"/>
    <cellStyle name="Normal 2 3 2 4 4 2 2" xfId="25046"/>
    <cellStyle name="Normal 2 3 2 4 4 2 3" xfId="25047"/>
    <cellStyle name="Normal 2 3 2 4 4 3" xfId="25048"/>
    <cellStyle name="Normal 2 3 2 4 4 4" xfId="25049"/>
    <cellStyle name="Normal 2 3 2 4 4 5" xfId="25050"/>
    <cellStyle name="Normal 2 3 2 4 4 6" xfId="25051"/>
    <cellStyle name="Normal 2 3 2 4 5" xfId="25052"/>
    <cellStyle name="Normal 2 3 2 4 5 2" xfId="25053"/>
    <cellStyle name="Normal 2 3 2 4 5 2 2" xfId="25054"/>
    <cellStyle name="Normal 2 3 2 4 5 3" xfId="25055"/>
    <cellStyle name="Normal 2 3 2 4 5 4" xfId="25056"/>
    <cellStyle name="Normal 2 3 2 4 5 5" xfId="25057"/>
    <cellStyle name="Normal 2 3 2 4 6" xfId="25058"/>
    <cellStyle name="Normal 2 3 2 4 6 2" xfId="25059"/>
    <cellStyle name="Normal 2 3 2 4 6 3" xfId="25060"/>
    <cellStyle name="Normal 2 3 2 4 6 4" xfId="25061"/>
    <cellStyle name="Normal 2 3 2 4 7" xfId="25062"/>
    <cellStyle name="Normal 2 3 2 4 7 2" xfId="25063"/>
    <cellStyle name="Normal 2 3 2 4 8" xfId="25064"/>
    <cellStyle name="Normal 2 3 2 4 9" xfId="25065"/>
    <cellStyle name="Normal 2 3 2 5" xfId="25066"/>
    <cellStyle name="Normal 2 3 2 5 10" xfId="25067"/>
    <cellStyle name="Normal 2 3 2 5 11" xfId="25068"/>
    <cellStyle name="Normal 2 3 2 5 2" xfId="25069"/>
    <cellStyle name="Normal 2 3 2 5 2 2" xfId="25070"/>
    <cellStyle name="Normal 2 3 2 5 2 2 2" xfId="25071"/>
    <cellStyle name="Normal 2 3 2 5 2 2 2 2" xfId="25072"/>
    <cellStyle name="Normal 2 3 2 5 2 2 2 3" xfId="25073"/>
    <cellStyle name="Normal 2 3 2 5 2 2 3" xfId="25074"/>
    <cellStyle name="Normal 2 3 2 5 2 2 4" xfId="25075"/>
    <cellStyle name="Normal 2 3 2 5 2 2 5" xfId="25076"/>
    <cellStyle name="Normal 2 3 2 5 2 2 6" xfId="25077"/>
    <cellStyle name="Normal 2 3 2 5 2 3" xfId="25078"/>
    <cellStyle name="Normal 2 3 2 5 2 3 2" xfId="25079"/>
    <cellStyle name="Normal 2 3 2 5 2 3 2 2" xfId="25080"/>
    <cellStyle name="Normal 2 3 2 5 2 3 3" xfId="25081"/>
    <cellStyle name="Normal 2 3 2 5 2 3 4" xfId="25082"/>
    <cellStyle name="Normal 2 3 2 5 2 3 5" xfId="25083"/>
    <cellStyle name="Normal 2 3 2 5 2 4" xfId="25084"/>
    <cellStyle name="Normal 2 3 2 5 2 4 2" xfId="25085"/>
    <cellStyle name="Normal 2 3 2 5 2 4 3" xfId="25086"/>
    <cellStyle name="Normal 2 3 2 5 2 4 4" xfId="25087"/>
    <cellStyle name="Normal 2 3 2 5 2 5" xfId="25088"/>
    <cellStyle name="Normal 2 3 2 5 2 5 2" xfId="25089"/>
    <cellStyle name="Normal 2 3 2 5 2 6" xfId="25090"/>
    <cellStyle name="Normal 2 3 2 5 2 7" xfId="25091"/>
    <cellStyle name="Normal 2 3 2 5 2 8" xfId="25092"/>
    <cellStyle name="Normal 2 3 2 5 2 9" xfId="25093"/>
    <cellStyle name="Normal 2 3 2 5 3" xfId="25094"/>
    <cellStyle name="Normal 2 3 2 5 3 2" xfId="25095"/>
    <cellStyle name="Normal 2 3 2 5 3 2 2" xfId="25096"/>
    <cellStyle name="Normal 2 3 2 5 3 2 2 2" xfId="25097"/>
    <cellStyle name="Normal 2 3 2 5 3 2 2 3" xfId="25098"/>
    <cellStyle name="Normal 2 3 2 5 3 2 3" xfId="25099"/>
    <cellStyle name="Normal 2 3 2 5 3 2 4" xfId="25100"/>
    <cellStyle name="Normal 2 3 2 5 3 2 5" xfId="25101"/>
    <cellStyle name="Normal 2 3 2 5 3 2 6" xfId="25102"/>
    <cellStyle name="Normal 2 3 2 5 3 3" xfId="25103"/>
    <cellStyle name="Normal 2 3 2 5 3 3 2" xfId="25104"/>
    <cellStyle name="Normal 2 3 2 5 3 3 2 2" xfId="25105"/>
    <cellStyle name="Normal 2 3 2 5 3 3 3" xfId="25106"/>
    <cellStyle name="Normal 2 3 2 5 3 3 4" xfId="25107"/>
    <cellStyle name="Normal 2 3 2 5 3 3 5" xfId="25108"/>
    <cellStyle name="Normal 2 3 2 5 3 4" xfId="25109"/>
    <cellStyle name="Normal 2 3 2 5 3 4 2" xfId="25110"/>
    <cellStyle name="Normal 2 3 2 5 3 4 3" xfId="25111"/>
    <cellStyle name="Normal 2 3 2 5 3 4 4" xfId="25112"/>
    <cellStyle name="Normal 2 3 2 5 3 5" xfId="25113"/>
    <cellStyle name="Normal 2 3 2 5 3 5 2" xfId="25114"/>
    <cellStyle name="Normal 2 3 2 5 3 6" xfId="25115"/>
    <cellStyle name="Normal 2 3 2 5 3 7" xfId="25116"/>
    <cellStyle name="Normal 2 3 2 5 3 8" xfId="25117"/>
    <cellStyle name="Normal 2 3 2 5 3 9" xfId="25118"/>
    <cellStyle name="Normal 2 3 2 5 4" xfId="25119"/>
    <cellStyle name="Normal 2 3 2 5 4 2" xfId="25120"/>
    <cellStyle name="Normal 2 3 2 5 4 2 2" xfId="25121"/>
    <cellStyle name="Normal 2 3 2 5 4 2 3" xfId="25122"/>
    <cellStyle name="Normal 2 3 2 5 4 3" xfId="25123"/>
    <cellStyle name="Normal 2 3 2 5 4 4" xfId="25124"/>
    <cellStyle name="Normal 2 3 2 5 4 5" xfId="25125"/>
    <cellStyle name="Normal 2 3 2 5 4 6" xfId="25126"/>
    <cellStyle name="Normal 2 3 2 5 5" xfId="25127"/>
    <cellStyle name="Normal 2 3 2 5 5 2" xfId="25128"/>
    <cellStyle name="Normal 2 3 2 5 5 2 2" xfId="25129"/>
    <cellStyle name="Normal 2 3 2 5 5 3" xfId="25130"/>
    <cellStyle name="Normal 2 3 2 5 5 4" xfId="25131"/>
    <cellStyle name="Normal 2 3 2 5 5 5" xfId="25132"/>
    <cellStyle name="Normal 2 3 2 5 6" xfId="25133"/>
    <cellStyle name="Normal 2 3 2 5 6 2" xfId="25134"/>
    <cellStyle name="Normal 2 3 2 5 6 3" xfId="25135"/>
    <cellStyle name="Normal 2 3 2 5 6 4" xfId="25136"/>
    <cellStyle name="Normal 2 3 2 5 7" xfId="25137"/>
    <cellStyle name="Normal 2 3 2 5 7 2" xfId="25138"/>
    <cellStyle name="Normal 2 3 2 5 8" xfId="25139"/>
    <cellStyle name="Normal 2 3 2 5 9" xfId="25140"/>
    <cellStyle name="Normal 2 3 2 6" xfId="25141"/>
    <cellStyle name="Normal 2 3 2 6 10" xfId="25142"/>
    <cellStyle name="Normal 2 3 2 6 11" xfId="25143"/>
    <cellStyle name="Normal 2 3 2 6 2" xfId="25144"/>
    <cellStyle name="Normal 2 3 2 6 2 2" xfId="25145"/>
    <cellStyle name="Normal 2 3 2 6 2 2 2" xfId="25146"/>
    <cellStyle name="Normal 2 3 2 6 2 2 2 2" xfId="25147"/>
    <cellStyle name="Normal 2 3 2 6 2 2 2 3" xfId="25148"/>
    <cellStyle name="Normal 2 3 2 6 2 2 3" xfId="25149"/>
    <cellStyle name="Normal 2 3 2 6 2 2 4" xfId="25150"/>
    <cellStyle name="Normal 2 3 2 6 2 2 5" xfId="25151"/>
    <cellStyle name="Normal 2 3 2 6 2 2 6" xfId="25152"/>
    <cellStyle name="Normal 2 3 2 6 2 3" xfId="25153"/>
    <cellStyle name="Normal 2 3 2 6 2 3 2" xfId="25154"/>
    <cellStyle name="Normal 2 3 2 6 2 3 2 2" xfId="25155"/>
    <cellStyle name="Normal 2 3 2 6 2 3 3" xfId="25156"/>
    <cellStyle name="Normal 2 3 2 6 2 3 4" xfId="25157"/>
    <cellStyle name="Normal 2 3 2 6 2 3 5" xfId="25158"/>
    <cellStyle name="Normal 2 3 2 6 2 4" xfId="25159"/>
    <cellStyle name="Normal 2 3 2 6 2 4 2" xfId="25160"/>
    <cellStyle name="Normal 2 3 2 6 2 4 3" xfId="25161"/>
    <cellStyle name="Normal 2 3 2 6 2 4 4" xfId="25162"/>
    <cellStyle name="Normal 2 3 2 6 2 5" xfId="25163"/>
    <cellStyle name="Normal 2 3 2 6 2 5 2" xfId="25164"/>
    <cellStyle name="Normal 2 3 2 6 2 6" xfId="25165"/>
    <cellStyle name="Normal 2 3 2 6 2 7" xfId="25166"/>
    <cellStyle name="Normal 2 3 2 6 2 8" xfId="25167"/>
    <cellStyle name="Normal 2 3 2 6 2 9" xfId="25168"/>
    <cellStyle name="Normal 2 3 2 6 3" xfId="25169"/>
    <cellStyle name="Normal 2 3 2 6 3 2" xfId="25170"/>
    <cellStyle name="Normal 2 3 2 6 3 2 2" xfId="25171"/>
    <cellStyle name="Normal 2 3 2 6 3 2 2 2" xfId="25172"/>
    <cellStyle name="Normal 2 3 2 6 3 2 2 3" xfId="25173"/>
    <cellStyle name="Normal 2 3 2 6 3 2 3" xfId="25174"/>
    <cellStyle name="Normal 2 3 2 6 3 2 4" xfId="25175"/>
    <cellStyle name="Normal 2 3 2 6 3 2 5" xfId="25176"/>
    <cellStyle name="Normal 2 3 2 6 3 2 6" xfId="25177"/>
    <cellStyle name="Normal 2 3 2 6 3 3" xfId="25178"/>
    <cellStyle name="Normal 2 3 2 6 3 3 2" xfId="25179"/>
    <cellStyle name="Normal 2 3 2 6 3 3 2 2" xfId="25180"/>
    <cellStyle name="Normal 2 3 2 6 3 3 3" xfId="25181"/>
    <cellStyle name="Normal 2 3 2 6 3 3 4" xfId="25182"/>
    <cellStyle name="Normal 2 3 2 6 3 3 5" xfId="25183"/>
    <cellStyle name="Normal 2 3 2 6 3 4" xfId="25184"/>
    <cellStyle name="Normal 2 3 2 6 3 4 2" xfId="25185"/>
    <cellStyle name="Normal 2 3 2 6 3 4 3" xfId="25186"/>
    <cellStyle name="Normal 2 3 2 6 3 4 4" xfId="25187"/>
    <cellStyle name="Normal 2 3 2 6 3 5" xfId="25188"/>
    <cellStyle name="Normal 2 3 2 6 3 5 2" xfId="25189"/>
    <cellStyle name="Normal 2 3 2 6 3 6" xfId="25190"/>
    <cellStyle name="Normal 2 3 2 6 3 7" xfId="25191"/>
    <cellStyle name="Normal 2 3 2 6 3 8" xfId="25192"/>
    <cellStyle name="Normal 2 3 2 6 3 9" xfId="25193"/>
    <cellStyle name="Normal 2 3 2 6 4" xfId="25194"/>
    <cellStyle name="Normal 2 3 2 6 4 2" xfId="25195"/>
    <cellStyle name="Normal 2 3 2 6 4 2 2" xfId="25196"/>
    <cellStyle name="Normal 2 3 2 6 4 2 3" xfId="25197"/>
    <cellStyle name="Normal 2 3 2 6 4 3" xfId="25198"/>
    <cellStyle name="Normal 2 3 2 6 4 4" xfId="25199"/>
    <cellStyle name="Normal 2 3 2 6 4 5" xfId="25200"/>
    <cellStyle name="Normal 2 3 2 6 4 6" xfId="25201"/>
    <cellStyle name="Normal 2 3 2 6 5" xfId="25202"/>
    <cellStyle name="Normal 2 3 2 6 5 2" xfId="25203"/>
    <cellStyle name="Normal 2 3 2 6 5 2 2" xfId="25204"/>
    <cellStyle name="Normal 2 3 2 6 5 3" xfId="25205"/>
    <cellStyle name="Normal 2 3 2 6 5 4" xfId="25206"/>
    <cellStyle name="Normal 2 3 2 6 5 5" xfId="25207"/>
    <cellStyle name="Normal 2 3 2 6 6" xfId="25208"/>
    <cellStyle name="Normal 2 3 2 6 6 2" xfId="25209"/>
    <cellStyle name="Normal 2 3 2 6 6 3" xfId="25210"/>
    <cellStyle name="Normal 2 3 2 6 6 4" xfId="25211"/>
    <cellStyle name="Normal 2 3 2 6 7" xfId="25212"/>
    <cellStyle name="Normal 2 3 2 6 7 2" xfId="25213"/>
    <cellStyle name="Normal 2 3 2 6 8" xfId="25214"/>
    <cellStyle name="Normal 2 3 2 6 9" xfId="25215"/>
    <cellStyle name="Normal 2 3 2 7" xfId="25216"/>
    <cellStyle name="Normal 2 3 2 7 10" xfId="25217"/>
    <cellStyle name="Normal 2 3 2 7 11" xfId="25218"/>
    <cellStyle name="Normal 2 3 2 7 2" xfId="25219"/>
    <cellStyle name="Normal 2 3 2 7 2 2" xfId="25220"/>
    <cellStyle name="Normal 2 3 2 7 2 2 2" xfId="25221"/>
    <cellStyle name="Normal 2 3 2 7 2 2 2 2" xfId="25222"/>
    <cellStyle name="Normal 2 3 2 7 2 2 2 3" xfId="25223"/>
    <cellStyle name="Normal 2 3 2 7 2 2 3" xfId="25224"/>
    <cellStyle name="Normal 2 3 2 7 2 2 4" xfId="25225"/>
    <cellStyle name="Normal 2 3 2 7 2 2 5" xfId="25226"/>
    <cellStyle name="Normal 2 3 2 7 2 2 6" xfId="25227"/>
    <cellStyle name="Normal 2 3 2 7 2 3" xfId="25228"/>
    <cellStyle name="Normal 2 3 2 7 2 3 2" xfId="25229"/>
    <cellStyle name="Normal 2 3 2 7 2 3 2 2" xfId="25230"/>
    <cellStyle name="Normal 2 3 2 7 2 3 3" xfId="25231"/>
    <cellStyle name="Normal 2 3 2 7 2 3 4" xfId="25232"/>
    <cellStyle name="Normal 2 3 2 7 2 3 5" xfId="25233"/>
    <cellStyle name="Normal 2 3 2 7 2 4" xfId="25234"/>
    <cellStyle name="Normal 2 3 2 7 2 4 2" xfId="25235"/>
    <cellStyle name="Normal 2 3 2 7 2 4 3" xfId="25236"/>
    <cellStyle name="Normal 2 3 2 7 2 4 4" xfId="25237"/>
    <cellStyle name="Normal 2 3 2 7 2 5" xfId="25238"/>
    <cellStyle name="Normal 2 3 2 7 2 5 2" xfId="25239"/>
    <cellStyle name="Normal 2 3 2 7 2 6" xfId="25240"/>
    <cellStyle name="Normal 2 3 2 7 2 7" xfId="25241"/>
    <cellStyle name="Normal 2 3 2 7 2 8" xfId="25242"/>
    <cellStyle name="Normal 2 3 2 7 2 9" xfId="25243"/>
    <cellStyle name="Normal 2 3 2 7 3" xfId="25244"/>
    <cellStyle name="Normal 2 3 2 7 3 2" xfId="25245"/>
    <cellStyle name="Normal 2 3 2 7 3 2 2" xfId="25246"/>
    <cellStyle name="Normal 2 3 2 7 3 2 2 2" xfId="25247"/>
    <cellStyle name="Normal 2 3 2 7 3 2 2 3" xfId="25248"/>
    <cellStyle name="Normal 2 3 2 7 3 2 3" xfId="25249"/>
    <cellStyle name="Normal 2 3 2 7 3 2 4" xfId="25250"/>
    <cellStyle name="Normal 2 3 2 7 3 2 5" xfId="25251"/>
    <cellStyle name="Normal 2 3 2 7 3 2 6" xfId="25252"/>
    <cellStyle name="Normal 2 3 2 7 3 3" xfId="25253"/>
    <cellStyle name="Normal 2 3 2 7 3 3 2" xfId="25254"/>
    <cellStyle name="Normal 2 3 2 7 3 3 2 2" xfId="25255"/>
    <cellStyle name="Normal 2 3 2 7 3 3 3" xfId="25256"/>
    <cellStyle name="Normal 2 3 2 7 3 3 4" xfId="25257"/>
    <cellStyle name="Normal 2 3 2 7 3 3 5" xfId="25258"/>
    <cellStyle name="Normal 2 3 2 7 3 4" xfId="25259"/>
    <cellStyle name="Normal 2 3 2 7 3 4 2" xfId="25260"/>
    <cellStyle name="Normal 2 3 2 7 3 4 3" xfId="25261"/>
    <cellStyle name="Normal 2 3 2 7 3 4 4" xfId="25262"/>
    <cellStyle name="Normal 2 3 2 7 3 5" xfId="25263"/>
    <cellStyle name="Normal 2 3 2 7 3 5 2" xfId="25264"/>
    <cellStyle name="Normal 2 3 2 7 3 6" xfId="25265"/>
    <cellStyle name="Normal 2 3 2 7 3 7" xfId="25266"/>
    <cellStyle name="Normal 2 3 2 7 3 8" xfId="25267"/>
    <cellStyle name="Normal 2 3 2 7 3 9" xfId="25268"/>
    <cellStyle name="Normal 2 3 2 7 4" xfId="25269"/>
    <cellStyle name="Normal 2 3 2 7 4 2" xfId="25270"/>
    <cellStyle name="Normal 2 3 2 7 4 2 2" xfId="25271"/>
    <cellStyle name="Normal 2 3 2 7 4 2 3" xfId="25272"/>
    <cellStyle name="Normal 2 3 2 7 4 3" xfId="25273"/>
    <cellStyle name="Normal 2 3 2 7 4 4" xfId="25274"/>
    <cellStyle name="Normal 2 3 2 7 4 5" xfId="25275"/>
    <cellStyle name="Normal 2 3 2 7 4 6" xfId="25276"/>
    <cellStyle name="Normal 2 3 2 7 5" xfId="25277"/>
    <cellStyle name="Normal 2 3 2 7 5 2" xfId="25278"/>
    <cellStyle name="Normal 2 3 2 7 5 2 2" xfId="25279"/>
    <cellStyle name="Normal 2 3 2 7 5 3" xfId="25280"/>
    <cellStyle name="Normal 2 3 2 7 5 4" xfId="25281"/>
    <cellStyle name="Normal 2 3 2 7 5 5" xfId="25282"/>
    <cellStyle name="Normal 2 3 2 7 6" xfId="25283"/>
    <cellStyle name="Normal 2 3 2 7 6 2" xfId="25284"/>
    <cellStyle name="Normal 2 3 2 7 6 3" xfId="25285"/>
    <cellStyle name="Normal 2 3 2 7 6 4" xfId="25286"/>
    <cellStyle name="Normal 2 3 2 7 7" xfId="25287"/>
    <cellStyle name="Normal 2 3 2 7 7 2" xfId="25288"/>
    <cellStyle name="Normal 2 3 2 7 8" xfId="25289"/>
    <cellStyle name="Normal 2 3 2 7 9" xfId="25290"/>
    <cellStyle name="Normal 2 3 2 8" xfId="25291"/>
    <cellStyle name="Normal 2 3 2 8 10" xfId="25292"/>
    <cellStyle name="Normal 2 3 2 8 2" xfId="25293"/>
    <cellStyle name="Normal 2 3 2 8 2 2" xfId="25294"/>
    <cellStyle name="Normal 2 3 2 8 2 2 2" xfId="25295"/>
    <cellStyle name="Normal 2 3 2 8 2 2 3" xfId="25296"/>
    <cellStyle name="Normal 2 3 2 8 2 3" xfId="25297"/>
    <cellStyle name="Normal 2 3 2 8 2 4" xfId="25298"/>
    <cellStyle name="Normal 2 3 2 8 2 5" xfId="25299"/>
    <cellStyle name="Normal 2 3 2 8 2 6" xfId="25300"/>
    <cellStyle name="Normal 2 3 2 8 3" xfId="25301"/>
    <cellStyle name="Normal 2 3 2 8 3 2" xfId="25302"/>
    <cellStyle name="Normal 2 3 2 8 3 2 2" xfId="25303"/>
    <cellStyle name="Normal 2 3 2 8 3 2 3" xfId="25304"/>
    <cellStyle name="Normal 2 3 2 8 3 3" xfId="25305"/>
    <cellStyle name="Normal 2 3 2 8 3 4" xfId="25306"/>
    <cellStyle name="Normal 2 3 2 8 3 5" xfId="25307"/>
    <cellStyle name="Normal 2 3 2 8 3 6" xfId="25308"/>
    <cellStyle name="Normal 2 3 2 8 4" xfId="25309"/>
    <cellStyle name="Normal 2 3 2 8 4 2" xfId="25310"/>
    <cellStyle name="Normal 2 3 2 8 4 2 2" xfId="25311"/>
    <cellStyle name="Normal 2 3 2 8 4 3" xfId="25312"/>
    <cellStyle name="Normal 2 3 2 8 4 4" xfId="25313"/>
    <cellStyle name="Normal 2 3 2 8 4 5" xfId="25314"/>
    <cellStyle name="Normal 2 3 2 8 5" xfId="25315"/>
    <cellStyle name="Normal 2 3 2 8 5 2" xfId="25316"/>
    <cellStyle name="Normal 2 3 2 8 5 3" xfId="25317"/>
    <cellStyle name="Normal 2 3 2 8 5 4" xfId="25318"/>
    <cellStyle name="Normal 2 3 2 8 6" xfId="25319"/>
    <cellStyle name="Normal 2 3 2 8 6 2" xfId="25320"/>
    <cellStyle name="Normal 2 3 2 8 7" xfId="25321"/>
    <cellStyle name="Normal 2 3 2 8 8" xfId="25322"/>
    <cellStyle name="Normal 2 3 2 8 9" xfId="25323"/>
    <cellStyle name="Normal 2 3 2 9" xfId="25324"/>
    <cellStyle name="Normal 2 3 2 9 10" xfId="25325"/>
    <cellStyle name="Normal 2 3 2 9 2" xfId="25326"/>
    <cellStyle name="Normal 2 3 2 9 2 2" xfId="25327"/>
    <cellStyle name="Normal 2 3 2 9 2 2 2" xfId="25328"/>
    <cellStyle name="Normal 2 3 2 9 2 2 3" xfId="25329"/>
    <cellStyle name="Normal 2 3 2 9 2 3" xfId="25330"/>
    <cellStyle name="Normal 2 3 2 9 2 4" xfId="25331"/>
    <cellStyle name="Normal 2 3 2 9 2 5" xfId="25332"/>
    <cellStyle name="Normal 2 3 2 9 2 6" xfId="25333"/>
    <cellStyle name="Normal 2 3 2 9 3" xfId="25334"/>
    <cellStyle name="Normal 2 3 2 9 3 2" xfId="25335"/>
    <cellStyle name="Normal 2 3 2 9 3 2 2" xfId="25336"/>
    <cellStyle name="Normal 2 3 2 9 3 2 3" xfId="25337"/>
    <cellStyle name="Normal 2 3 2 9 3 3" xfId="25338"/>
    <cellStyle name="Normal 2 3 2 9 3 4" xfId="25339"/>
    <cellStyle name="Normal 2 3 2 9 3 5" xfId="25340"/>
    <cellStyle name="Normal 2 3 2 9 3 6" xfId="25341"/>
    <cellStyle name="Normal 2 3 2 9 4" xfId="25342"/>
    <cellStyle name="Normal 2 3 2 9 4 2" xfId="25343"/>
    <cellStyle name="Normal 2 3 2 9 4 2 2" xfId="25344"/>
    <cellStyle name="Normal 2 3 2 9 4 3" xfId="25345"/>
    <cellStyle name="Normal 2 3 2 9 4 4" xfId="25346"/>
    <cellStyle name="Normal 2 3 2 9 4 5" xfId="25347"/>
    <cellStyle name="Normal 2 3 2 9 5" xfId="25348"/>
    <cellStyle name="Normal 2 3 2 9 5 2" xfId="25349"/>
    <cellStyle name="Normal 2 3 2 9 5 3" xfId="25350"/>
    <cellStyle name="Normal 2 3 2 9 5 4" xfId="25351"/>
    <cellStyle name="Normal 2 3 2 9 6" xfId="25352"/>
    <cellStyle name="Normal 2 3 2 9 6 2" xfId="25353"/>
    <cellStyle name="Normal 2 3 2 9 7" xfId="25354"/>
    <cellStyle name="Normal 2 3 2 9 8" xfId="25355"/>
    <cellStyle name="Normal 2 3 2 9 9" xfId="25356"/>
    <cellStyle name="Normal 2 3 3" xfId="25357"/>
    <cellStyle name="Normal 2 3 3 2" xfId="25358"/>
    <cellStyle name="Normal 2 3 4" xfId="25359"/>
    <cellStyle name="Normal 2 3 4 2" xfId="25360"/>
    <cellStyle name="Normal 2 3 5" xfId="25361"/>
    <cellStyle name="Normal 2 3 6" xfId="25362"/>
    <cellStyle name="Normal 2 3 7" xfId="25363"/>
    <cellStyle name="Normal 2 3 8" xfId="25364"/>
    <cellStyle name="Normal 2 3 9" xfId="25365"/>
    <cellStyle name="Normal 2 30" xfId="25366"/>
    <cellStyle name="Normal 2 30 2" xfId="25367"/>
    <cellStyle name="Normal 2 30 2 2" xfId="25368"/>
    <cellStyle name="Normal 2 30 2 2 2" xfId="25369"/>
    <cellStyle name="Normal 2 30 2 3" xfId="25370"/>
    <cellStyle name="Normal 2 30 3" xfId="25371"/>
    <cellStyle name="Normal 2 30 3 2" xfId="25372"/>
    <cellStyle name="Normal 2 30 3 2 2" xfId="25373"/>
    <cellStyle name="Normal 2 30 3 2 2 2" xfId="25374"/>
    <cellStyle name="Normal 2 30 3 2 2 3" xfId="25375"/>
    <cellStyle name="Normal 2 30 3 2 3" xfId="25376"/>
    <cellStyle name="Normal 2 30 3 2 4" xfId="25377"/>
    <cellStyle name="Normal 2 30 3 2 5" xfId="25378"/>
    <cellStyle name="Normal 2 30 3 2 6" xfId="25379"/>
    <cellStyle name="Normal 2 30 3 3" xfId="25380"/>
    <cellStyle name="Normal 2 30 3 3 2" xfId="25381"/>
    <cellStyle name="Normal 2 30 3 3 2 2" xfId="25382"/>
    <cellStyle name="Normal 2 30 3 3 3" xfId="25383"/>
    <cellStyle name="Normal 2 30 3 3 4" xfId="25384"/>
    <cellStyle name="Normal 2 30 3 3 5" xfId="25385"/>
    <cellStyle name="Normal 2 30 3 4" xfId="25386"/>
    <cellStyle name="Normal 2 30 3 4 2" xfId="25387"/>
    <cellStyle name="Normal 2 30 3 4 3" xfId="25388"/>
    <cellStyle name="Normal 2 30 3 4 4" xfId="25389"/>
    <cellStyle name="Normal 2 30 3 5" xfId="25390"/>
    <cellStyle name="Normal 2 30 3 5 2" xfId="25391"/>
    <cellStyle name="Normal 2 30 3 6" xfId="25392"/>
    <cellStyle name="Normal 2 30 3 7" xfId="25393"/>
    <cellStyle name="Normal 2 30 3 8" xfId="25394"/>
    <cellStyle name="Normal 2 30 3 9" xfId="25395"/>
    <cellStyle name="Normal 2 30 4" xfId="25396"/>
    <cellStyle name="Normal 2 30 4 2" xfId="25397"/>
    <cellStyle name="Normal 2 30 4 2 2" xfId="25398"/>
    <cellStyle name="Normal 2 30 4 3" xfId="25399"/>
    <cellStyle name="Normal 2 30 4 4" xfId="25400"/>
    <cellStyle name="Normal 2 30 4 5" xfId="25401"/>
    <cellStyle name="Normal 2 30 4 6" xfId="25402"/>
    <cellStyle name="Normal 2 30 5" xfId="25403"/>
    <cellStyle name="Normal 2 30 5 2" xfId="25404"/>
    <cellStyle name="Normal 2 30 5 3" xfId="25405"/>
    <cellStyle name="Normal 2 30 6" xfId="25406"/>
    <cellStyle name="Normal 2 30 6 2" xfId="25407"/>
    <cellStyle name="Normal 2 30 7" xfId="25408"/>
    <cellStyle name="Normal 2 30 8" xfId="25409"/>
    <cellStyle name="Normal 2 31" xfId="25410"/>
    <cellStyle name="Normal 2 31 2" xfId="25411"/>
    <cellStyle name="Normal 2 31 2 2" xfId="25412"/>
    <cellStyle name="Normal 2 31 2 2 2" xfId="25413"/>
    <cellStyle name="Normal 2 31 2 3" xfId="25414"/>
    <cellStyle name="Normal 2 31 3" xfId="25415"/>
    <cellStyle name="Normal 2 31 3 2" xfId="25416"/>
    <cellStyle name="Normal 2 31 3 2 2" xfId="25417"/>
    <cellStyle name="Normal 2 31 3 2 2 2" xfId="25418"/>
    <cellStyle name="Normal 2 31 3 2 2 3" xfId="25419"/>
    <cellStyle name="Normal 2 31 3 2 3" xfId="25420"/>
    <cellStyle name="Normal 2 31 3 2 4" xfId="25421"/>
    <cellStyle name="Normal 2 31 3 2 5" xfId="25422"/>
    <cellStyle name="Normal 2 31 3 2 6" xfId="25423"/>
    <cellStyle name="Normal 2 31 3 3" xfId="25424"/>
    <cellStyle name="Normal 2 31 3 3 2" xfId="25425"/>
    <cellStyle name="Normal 2 31 3 3 2 2" xfId="25426"/>
    <cellStyle name="Normal 2 31 3 3 3" xfId="25427"/>
    <cellStyle name="Normal 2 31 3 3 4" xfId="25428"/>
    <cellStyle name="Normal 2 31 3 3 5" xfId="25429"/>
    <cellStyle name="Normal 2 31 3 4" xfId="25430"/>
    <cellStyle name="Normal 2 31 3 4 2" xfId="25431"/>
    <cellStyle name="Normal 2 31 3 4 3" xfId="25432"/>
    <cellStyle name="Normal 2 31 3 4 4" xfId="25433"/>
    <cellStyle name="Normal 2 31 3 5" xfId="25434"/>
    <cellStyle name="Normal 2 31 3 5 2" xfId="25435"/>
    <cellStyle name="Normal 2 31 3 6" xfId="25436"/>
    <cellStyle name="Normal 2 31 3 7" xfId="25437"/>
    <cellStyle name="Normal 2 31 3 8" xfId="25438"/>
    <cellStyle name="Normal 2 31 3 9" xfId="25439"/>
    <cellStyle name="Normal 2 31 4" xfId="25440"/>
    <cellStyle name="Normal 2 31 4 2" xfId="25441"/>
    <cellStyle name="Normal 2 31 4 2 2" xfId="25442"/>
    <cellStyle name="Normal 2 31 4 3" xfId="25443"/>
    <cellStyle name="Normal 2 31 4 4" xfId="25444"/>
    <cellStyle name="Normal 2 31 4 5" xfId="25445"/>
    <cellStyle name="Normal 2 31 4 6" xfId="25446"/>
    <cellStyle name="Normal 2 31 5" xfId="25447"/>
    <cellStyle name="Normal 2 31 5 2" xfId="25448"/>
    <cellStyle name="Normal 2 31 5 3" xfId="25449"/>
    <cellStyle name="Normal 2 31 6" xfId="25450"/>
    <cellStyle name="Normal 2 31 6 2" xfId="25451"/>
    <cellStyle name="Normal 2 31 7" xfId="25452"/>
    <cellStyle name="Normal 2 31 8" xfId="25453"/>
    <cellStyle name="Normal 2 32" xfId="25454"/>
    <cellStyle name="Normal 2 32 2" xfId="25455"/>
    <cellStyle name="Normal 2 32 2 2" xfId="25456"/>
    <cellStyle name="Normal 2 32 2 2 2" xfId="25457"/>
    <cellStyle name="Normal 2 32 2 3" xfId="25458"/>
    <cellStyle name="Normal 2 32 3" xfId="25459"/>
    <cellStyle name="Normal 2 32 3 2" xfId="25460"/>
    <cellStyle name="Normal 2 32 3 2 2" xfId="25461"/>
    <cellStyle name="Normal 2 32 3 2 2 2" xfId="25462"/>
    <cellStyle name="Normal 2 32 3 2 2 3" xfId="25463"/>
    <cellStyle name="Normal 2 32 3 2 3" xfId="25464"/>
    <cellStyle name="Normal 2 32 3 2 4" xfId="25465"/>
    <cellStyle name="Normal 2 32 3 2 5" xfId="25466"/>
    <cellStyle name="Normal 2 32 3 2 6" xfId="25467"/>
    <cellStyle name="Normal 2 32 3 3" xfId="25468"/>
    <cellStyle name="Normal 2 32 3 3 2" xfId="25469"/>
    <cellStyle name="Normal 2 32 3 3 2 2" xfId="25470"/>
    <cellStyle name="Normal 2 32 3 3 3" xfId="25471"/>
    <cellStyle name="Normal 2 32 3 3 4" xfId="25472"/>
    <cellStyle name="Normal 2 32 3 3 5" xfId="25473"/>
    <cellStyle name="Normal 2 32 3 4" xfId="25474"/>
    <cellStyle name="Normal 2 32 3 4 2" xfId="25475"/>
    <cellStyle name="Normal 2 32 3 4 3" xfId="25476"/>
    <cellStyle name="Normal 2 32 3 4 4" xfId="25477"/>
    <cellStyle name="Normal 2 32 3 5" xfId="25478"/>
    <cellStyle name="Normal 2 32 3 5 2" xfId="25479"/>
    <cellStyle name="Normal 2 32 3 6" xfId="25480"/>
    <cellStyle name="Normal 2 32 3 7" xfId="25481"/>
    <cellStyle name="Normal 2 32 3 8" xfId="25482"/>
    <cellStyle name="Normal 2 32 3 9" xfId="25483"/>
    <cellStyle name="Normal 2 32 4" xfId="25484"/>
    <cellStyle name="Normal 2 32 4 2" xfId="25485"/>
    <cellStyle name="Normal 2 32 4 2 2" xfId="25486"/>
    <cellStyle name="Normal 2 32 4 3" xfId="25487"/>
    <cellStyle name="Normal 2 32 4 4" xfId="25488"/>
    <cellStyle name="Normal 2 32 4 5" xfId="25489"/>
    <cellStyle name="Normal 2 32 4 6" xfId="25490"/>
    <cellStyle name="Normal 2 32 5" xfId="25491"/>
    <cellStyle name="Normal 2 32 5 2" xfId="25492"/>
    <cellStyle name="Normal 2 32 5 3" xfId="25493"/>
    <cellStyle name="Normal 2 32 6" xfId="25494"/>
    <cellStyle name="Normal 2 32 6 2" xfId="25495"/>
    <cellStyle name="Normal 2 32 7" xfId="25496"/>
    <cellStyle name="Normal 2 32 8" xfId="25497"/>
    <cellStyle name="Normal 2 33" xfId="25498"/>
    <cellStyle name="Normal 2 33 2" xfId="25499"/>
    <cellStyle name="Normal 2 33 2 2" xfId="25500"/>
    <cellStyle name="Normal 2 33 2 2 2" xfId="25501"/>
    <cellStyle name="Normal 2 33 2 3" xfId="25502"/>
    <cellStyle name="Normal 2 33 3" xfId="25503"/>
    <cellStyle name="Normal 2 33 3 2" xfId="25504"/>
    <cellStyle name="Normal 2 33 3 2 2" xfId="25505"/>
    <cellStyle name="Normal 2 33 3 2 2 2" xfId="25506"/>
    <cellStyle name="Normal 2 33 3 2 2 3" xfId="25507"/>
    <cellStyle name="Normal 2 33 3 2 3" xfId="25508"/>
    <cellStyle name="Normal 2 33 3 2 4" xfId="25509"/>
    <cellStyle name="Normal 2 33 3 2 5" xfId="25510"/>
    <cellStyle name="Normal 2 33 3 2 6" xfId="25511"/>
    <cellStyle name="Normal 2 33 3 3" xfId="25512"/>
    <cellStyle name="Normal 2 33 3 3 2" xfId="25513"/>
    <cellStyle name="Normal 2 33 3 3 2 2" xfId="25514"/>
    <cellStyle name="Normal 2 33 3 3 3" xfId="25515"/>
    <cellStyle name="Normal 2 33 3 3 4" xfId="25516"/>
    <cellStyle name="Normal 2 33 3 3 5" xfId="25517"/>
    <cellStyle name="Normal 2 33 3 4" xfId="25518"/>
    <cellStyle name="Normal 2 33 3 4 2" xfId="25519"/>
    <cellStyle name="Normal 2 33 3 4 3" xfId="25520"/>
    <cellStyle name="Normal 2 33 3 4 4" xfId="25521"/>
    <cellStyle name="Normal 2 33 3 5" xfId="25522"/>
    <cellStyle name="Normal 2 33 3 5 2" xfId="25523"/>
    <cellStyle name="Normal 2 33 3 6" xfId="25524"/>
    <cellStyle name="Normal 2 33 3 7" xfId="25525"/>
    <cellStyle name="Normal 2 33 3 8" xfId="25526"/>
    <cellStyle name="Normal 2 33 3 9" xfId="25527"/>
    <cellStyle name="Normal 2 33 4" xfId="25528"/>
    <cellStyle name="Normal 2 33 4 2" xfId="25529"/>
    <cellStyle name="Normal 2 33 4 2 2" xfId="25530"/>
    <cellStyle name="Normal 2 33 4 3" xfId="25531"/>
    <cellStyle name="Normal 2 33 4 4" xfId="25532"/>
    <cellStyle name="Normal 2 33 4 5" xfId="25533"/>
    <cellStyle name="Normal 2 33 4 6" xfId="25534"/>
    <cellStyle name="Normal 2 33 5" xfId="25535"/>
    <cellStyle name="Normal 2 33 5 2" xfId="25536"/>
    <cellStyle name="Normal 2 33 5 3" xfId="25537"/>
    <cellStyle name="Normal 2 33 6" xfId="25538"/>
    <cellStyle name="Normal 2 33 6 2" xfId="25539"/>
    <cellStyle name="Normal 2 33 7" xfId="25540"/>
    <cellStyle name="Normal 2 33 8" xfId="25541"/>
    <cellStyle name="Normal 2 34" xfId="25542"/>
    <cellStyle name="Normal 2 34 2" xfId="25543"/>
    <cellStyle name="Normal 2 34 2 2" xfId="25544"/>
    <cellStyle name="Normal 2 34 2 2 2" xfId="25545"/>
    <cellStyle name="Normal 2 34 2 3" xfId="25546"/>
    <cellStyle name="Normal 2 34 3" xfId="25547"/>
    <cellStyle name="Normal 2 34 3 2" xfId="25548"/>
    <cellStyle name="Normal 2 34 3 2 2" xfId="25549"/>
    <cellStyle name="Normal 2 34 3 2 2 2" xfId="25550"/>
    <cellStyle name="Normal 2 34 3 2 2 3" xfId="25551"/>
    <cellStyle name="Normal 2 34 3 2 3" xfId="25552"/>
    <cellStyle name="Normal 2 34 3 2 4" xfId="25553"/>
    <cellStyle name="Normal 2 34 3 2 5" xfId="25554"/>
    <cellStyle name="Normal 2 34 3 2 6" xfId="25555"/>
    <cellStyle name="Normal 2 34 3 3" xfId="25556"/>
    <cellStyle name="Normal 2 34 3 3 2" xfId="25557"/>
    <cellStyle name="Normal 2 34 3 3 2 2" xfId="25558"/>
    <cellStyle name="Normal 2 34 3 3 3" xfId="25559"/>
    <cellStyle name="Normal 2 34 3 3 4" xfId="25560"/>
    <cellStyle name="Normal 2 34 3 3 5" xfId="25561"/>
    <cellStyle name="Normal 2 34 3 4" xfId="25562"/>
    <cellStyle name="Normal 2 34 3 4 2" xfId="25563"/>
    <cellStyle name="Normal 2 34 3 4 3" xfId="25564"/>
    <cellStyle name="Normal 2 34 3 4 4" xfId="25565"/>
    <cellStyle name="Normal 2 34 3 5" xfId="25566"/>
    <cellStyle name="Normal 2 34 3 5 2" xfId="25567"/>
    <cellStyle name="Normal 2 34 3 6" xfId="25568"/>
    <cellStyle name="Normal 2 34 3 7" xfId="25569"/>
    <cellStyle name="Normal 2 34 3 8" xfId="25570"/>
    <cellStyle name="Normal 2 34 3 9" xfId="25571"/>
    <cellStyle name="Normal 2 34 4" xfId="25572"/>
    <cellStyle name="Normal 2 34 4 2" xfId="25573"/>
    <cellStyle name="Normal 2 34 4 2 2" xfId="25574"/>
    <cellStyle name="Normal 2 34 4 3" xfId="25575"/>
    <cellStyle name="Normal 2 34 4 4" xfId="25576"/>
    <cellStyle name="Normal 2 34 4 5" xfId="25577"/>
    <cellStyle name="Normal 2 34 4 6" xfId="25578"/>
    <cellStyle name="Normal 2 34 5" xfId="25579"/>
    <cellStyle name="Normal 2 34 5 2" xfId="25580"/>
    <cellStyle name="Normal 2 34 5 3" xfId="25581"/>
    <cellStyle name="Normal 2 34 6" xfId="25582"/>
    <cellStyle name="Normal 2 34 6 2" xfId="25583"/>
    <cellStyle name="Normal 2 34 7" xfId="25584"/>
    <cellStyle name="Normal 2 34 8" xfId="25585"/>
    <cellStyle name="Normal 2 35" xfId="25586"/>
    <cellStyle name="Normal 2 35 2" xfId="25587"/>
    <cellStyle name="Normal 2 35 2 2" xfId="25588"/>
    <cellStyle name="Normal 2 35 2 2 2" xfId="25589"/>
    <cellStyle name="Normal 2 35 2 3" xfId="25590"/>
    <cellStyle name="Normal 2 35 3" xfId="25591"/>
    <cellStyle name="Normal 2 35 3 2" xfId="25592"/>
    <cellStyle name="Normal 2 35 3 2 2" xfId="25593"/>
    <cellStyle name="Normal 2 35 3 2 2 2" xfId="25594"/>
    <cellStyle name="Normal 2 35 3 2 2 3" xfId="25595"/>
    <cellStyle name="Normal 2 35 3 2 3" xfId="25596"/>
    <cellStyle name="Normal 2 35 3 2 4" xfId="25597"/>
    <cellStyle name="Normal 2 35 3 2 5" xfId="25598"/>
    <cellStyle name="Normal 2 35 3 2 6" xfId="25599"/>
    <cellStyle name="Normal 2 35 3 3" xfId="25600"/>
    <cellStyle name="Normal 2 35 3 3 2" xfId="25601"/>
    <cellStyle name="Normal 2 35 3 3 2 2" xfId="25602"/>
    <cellStyle name="Normal 2 35 3 3 3" xfId="25603"/>
    <cellStyle name="Normal 2 35 3 3 4" xfId="25604"/>
    <cellStyle name="Normal 2 35 3 3 5" xfId="25605"/>
    <cellStyle name="Normal 2 35 3 4" xfId="25606"/>
    <cellStyle name="Normal 2 35 3 4 2" xfId="25607"/>
    <cellStyle name="Normal 2 35 3 4 3" xfId="25608"/>
    <cellStyle name="Normal 2 35 3 4 4" xfId="25609"/>
    <cellStyle name="Normal 2 35 3 5" xfId="25610"/>
    <cellStyle name="Normal 2 35 3 5 2" xfId="25611"/>
    <cellStyle name="Normal 2 35 3 6" xfId="25612"/>
    <cellStyle name="Normal 2 35 3 7" xfId="25613"/>
    <cellStyle name="Normal 2 35 3 8" xfId="25614"/>
    <cellStyle name="Normal 2 35 3 9" xfId="25615"/>
    <cellStyle name="Normal 2 35 4" xfId="25616"/>
    <cellStyle name="Normal 2 35 4 2" xfId="25617"/>
    <cellStyle name="Normal 2 35 4 2 2" xfId="25618"/>
    <cellStyle name="Normal 2 35 4 3" xfId="25619"/>
    <cellStyle name="Normal 2 35 4 4" xfId="25620"/>
    <cellStyle name="Normal 2 35 4 5" xfId="25621"/>
    <cellStyle name="Normal 2 35 4 6" xfId="25622"/>
    <cellStyle name="Normal 2 35 5" xfId="25623"/>
    <cellStyle name="Normal 2 35 5 2" xfId="25624"/>
    <cellStyle name="Normal 2 35 5 3" xfId="25625"/>
    <cellStyle name="Normal 2 35 6" xfId="25626"/>
    <cellStyle name="Normal 2 35 6 2" xfId="25627"/>
    <cellStyle name="Normal 2 35 7" xfId="25628"/>
    <cellStyle name="Normal 2 35 8" xfId="25629"/>
    <cellStyle name="Normal 2 36" xfId="25630"/>
    <cellStyle name="Normal 2 36 2" xfId="25631"/>
    <cellStyle name="Normal 2 36 2 2" xfId="25632"/>
    <cellStyle name="Normal 2 36 2 2 2" xfId="25633"/>
    <cellStyle name="Normal 2 36 2 3" xfId="25634"/>
    <cellStyle name="Normal 2 36 3" xfId="25635"/>
    <cellStyle name="Normal 2 36 3 2" xfId="25636"/>
    <cellStyle name="Normal 2 36 3 2 2" xfId="25637"/>
    <cellStyle name="Normal 2 36 3 2 2 2" xfId="25638"/>
    <cellStyle name="Normal 2 36 3 2 2 3" xfId="25639"/>
    <cellStyle name="Normal 2 36 3 2 3" xfId="25640"/>
    <cellStyle name="Normal 2 36 3 2 4" xfId="25641"/>
    <cellStyle name="Normal 2 36 3 2 5" xfId="25642"/>
    <cellStyle name="Normal 2 36 3 2 6" xfId="25643"/>
    <cellStyle name="Normal 2 36 3 3" xfId="25644"/>
    <cellStyle name="Normal 2 36 3 3 2" xfId="25645"/>
    <cellStyle name="Normal 2 36 3 3 2 2" xfId="25646"/>
    <cellStyle name="Normal 2 36 3 3 3" xfId="25647"/>
    <cellStyle name="Normal 2 36 3 3 4" xfId="25648"/>
    <cellStyle name="Normal 2 36 3 3 5" xfId="25649"/>
    <cellStyle name="Normal 2 36 3 4" xfId="25650"/>
    <cellStyle name="Normal 2 36 3 4 2" xfId="25651"/>
    <cellStyle name="Normal 2 36 3 4 3" xfId="25652"/>
    <cellStyle name="Normal 2 36 3 4 4" xfId="25653"/>
    <cellStyle name="Normal 2 36 3 5" xfId="25654"/>
    <cellStyle name="Normal 2 36 3 5 2" xfId="25655"/>
    <cellStyle name="Normal 2 36 3 6" xfId="25656"/>
    <cellStyle name="Normal 2 36 3 7" xfId="25657"/>
    <cellStyle name="Normal 2 36 3 8" xfId="25658"/>
    <cellStyle name="Normal 2 36 3 9" xfId="25659"/>
    <cellStyle name="Normal 2 36 4" xfId="25660"/>
    <cellStyle name="Normal 2 36 4 2" xfId="25661"/>
    <cellStyle name="Normal 2 36 4 2 2" xfId="25662"/>
    <cellStyle name="Normal 2 36 4 3" xfId="25663"/>
    <cellStyle name="Normal 2 36 4 4" xfId="25664"/>
    <cellStyle name="Normal 2 36 4 5" xfId="25665"/>
    <cellStyle name="Normal 2 36 4 6" xfId="25666"/>
    <cellStyle name="Normal 2 36 5" xfId="25667"/>
    <cellStyle name="Normal 2 36 5 2" xfId="25668"/>
    <cellStyle name="Normal 2 36 5 3" xfId="25669"/>
    <cellStyle name="Normal 2 36 6" xfId="25670"/>
    <cellStyle name="Normal 2 36 6 2" xfId="25671"/>
    <cellStyle name="Normal 2 36 7" xfId="25672"/>
    <cellStyle name="Normal 2 36 8" xfId="25673"/>
    <cellStyle name="Normal 2 37" xfId="25674"/>
    <cellStyle name="Normal 2 37 2" xfId="25675"/>
    <cellStyle name="Normal 2 37 2 2" xfId="25676"/>
    <cellStyle name="Normal 2 37 2 2 2" xfId="25677"/>
    <cellStyle name="Normal 2 37 2 3" xfId="25678"/>
    <cellStyle name="Normal 2 37 3" xfId="25679"/>
    <cellStyle name="Normal 2 37 3 2" xfId="25680"/>
    <cellStyle name="Normal 2 37 3 2 2" xfId="25681"/>
    <cellStyle name="Normal 2 37 3 2 2 2" xfId="25682"/>
    <cellStyle name="Normal 2 37 3 2 2 3" xfId="25683"/>
    <cellStyle name="Normal 2 37 3 2 3" xfId="25684"/>
    <cellStyle name="Normal 2 37 3 2 4" xfId="25685"/>
    <cellStyle name="Normal 2 37 3 2 5" xfId="25686"/>
    <cellStyle name="Normal 2 37 3 2 6" xfId="25687"/>
    <cellStyle name="Normal 2 37 3 3" xfId="25688"/>
    <cellStyle name="Normal 2 37 3 3 2" xfId="25689"/>
    <cellStyle name="Normal 2 37 3 3 2 2" xfId="25690"/>
    <cellStyle name="Normal 2 37 3 3 3" xfId="25691"/>
    <cellStyle name="Normal 2 37 3 3 4" xfId="25692"/>
    <cellStyle name="Normal 2 37 3 3 5" xfId="25693"/>
    <cellStyle name="Normal 2 37 3 4" xfId="25694"/>
    <cellStyle name="Normal 2 37 3 4 2" xfId="25695"/>
    <cellStyle name="Normal 2 37 3 4 3" xfId="25696"/>
    <cellStyle name="Normal 2 37 3 4 4" xfId="25697"/>
    <cellStyle name="Normal 2 37 3 5" xfId="25698"/>
    <cellStyle name="Normal 2 37 3 5 2" xfId="25699"/>
    <cellStyle name="Normal 2 37 3 6" xfId="25700"/>
    <cellStyle name="Normal 2 37 3 7" xfId="25701"/>
    <cellStyle name="Normal 2 37 3 8" xfId="25702"/>
    <cellStyle name="Normal 2 37 3 9" xfId="25703"/>
    <cellStyle name="Normal 2 37 4" xfId="25704"/>
    <cellStyle name="Normal 2 37 4 2" xfId="25705"/>
    <cellStyle name="Normal 2 37 4 2 2" xfId="25706"/>
    <cellStyle name="Normal 2 37 4 3" xfId="25707"/>
    <cellStyle name="Normal 2 37 4 4" xfId="25708"/>
    <cellStyle name="Normal 2 37 4 5" xfId="25709"/>
    <cellStyle name="Normal 2 37 4 6" xfId="25710"/>
    <cellStyle name="Normal 2 37 5" xfId="25711"/>
    <cellStyle name="Normal 2 37 5 2" xfId="25712"/>
    <cellStyle name="Normal 2 37 5 3" xfId="25713"/>
    <cellStyle name="Normal 2 37 6" xfId="25714"/>
    <cellStyle name="Normal 2 37 6 2" xfId="25715"/>
    <cellStyle name="Normal 2 37 7" xfId="25716"/>
    <cellStyle name="Normal 2 37 8" xfId="25717"/>
    <cellStyle name="Normal 2 38" xfId="25718"/>
    <cellStyle name="Normal 2 38 10" xfId="25719"/>
    <cellStyle name="Normal 2 38 11" xfId="25720"/>
    <cellStyle name="Normal 2 38 2" xfId="25721"/>
    <cellStyle name="Normal 2 38 2 2" xfId="25722"/>
    <cellStyle name="Normal 2 38 2 2 2" xfId="25723"/>
    <cellStyle name="Normal 2 38 2 2 2 2" xfId="25724"/>
    <cellStyle name="Normal 2 38 2 2 2 3" xfId="25725"/>
    <cellStyle name="Normal 2 38 2 2 3" xfId="25726"/>
    <cellStyle name="Normal 2 38 2 2 4" xfId="25727"/>
    <cellStyle name="Normal 2 38 2 2 5" xfId="25728"/>
    <cellStyle name="Normal 2 38 2 2 6" xfId="25729"/>
    <cellStyle name="Normal 2 38 2 3" xfId="25730"/>
    <cellStyle name="Normal 2 38 2 3 2" xfId="25731"/>
    <cellStyle name="Normal 2 38 2 3 2 2" xfId="25732"/>
    <cellStyle name="Normal 2 38 2 3 3" xfId="25733"/>
    <cellStyle name="Normal 2 38 2 3 4" xfId="25734"/>
    <cellStyle name="Normal 2 38 2 3 5" xfId="25735"/>
    <cellStyle name="Normal 2 38 2 4" xfId="25736"/>
    <cellStyle name="Normal 2 38 2 4 2" xfId="25737"/>
    <cellStyle name="Normal 2 38 2 4 3" xfId="25738"/>
    <cellStyle name="Normal 2 38 2 4 4" xfId="25739"/>
    <cellStyle name="Normal 2 38 2 5" xfId="25740"/>
    <cellStyle name="Normal 2 38 2 5 2" xfId="25741"/>
    <cellStyle name="Normal 2 38 2 6" xfId="25742"/>
    <cellStyle name="Normal 2 38 2 7" xfId="25743"/>
    <cellStyle name="Normal 2 38 2 8" xfId="25744"/>
    <cellStyle name="Normal 2 38 2 9" xfId="25745"/>
    <cellStyle name="Normal 2 38 3" xfId="25746"/>
    <cellStyle name="Normal 2 38 3 2" xfId="25747"/>
    <cellStyle name="Normal 2 38 3 2 2" xfId="25748"/>
    <cellStyle name="Normal 2 38 3 2 2 2" xfId="25749"/>
    <cellStyle name="Normal 2 38 3 2 2 3" xfId="25750"/>
    <cellStyle name="Normal 2 38 3 2 3" xfId="25751"/>
    <cellStyle name="Normal 2 38 3 2 4" xfId="25752"/>
    <cellStyle name="Normal 2 38 3 2 5" xfId="25753"/>
    <cellStyle name="Normal 2 38 3 2 6" xfId="25754"/>
    <cellStyle name="Normal 2 38 3 3" xfId="25755"/>
    <cellStyle name="Normal 2 38 3 3 2" xfId="25756"/>
    <cellStyle name="Normal 2 38 3 3 2 2" xfId="25757"/>
    <cellStyle name="Normal 2 38 3 3 3" xfId="25758"/>
    <cellStyle name="Normal 2 38 3 3 4" xfId="25759"/>
    <cellStyle name="Normal 2 38 3 3 5" xfId="25760"/>
    <cellStyle name="Normal 2 38 3 4" xfId="25761"/>
    <cellStyle name="Normal 2 38 3 4 2" xfId="25762"/>
    <cellStyle name="Normal 2 38 3 4 3" xfId="25763"/>
    <cellStyle name="Normal 2 38 3 4 4" xfId="25764"/>
    <cellStyle name="Normal 2 38 3 5" xfId="25765"/>
    <cellStyle name="Normal 2 38 3 5 2" xfId="25766"/>
    <cellStyle name="Normal 2 38 3 6" xfId="25767"/>
    <cellStyle name="Normal 2 38 3 7" xfId="25768"/>
    <cellStyle name="Normal 2 38 3 8" xfId="25769"/>
    <cellStyle name="Normal 2 38 3 9" xfId="25770"/>
    <cellStyle name="Normal 2 38 4" xfId="25771"/>
    <cellStyle name="Normal 2 38 4 2" xfId="25772"/>
    <cellStyle name="Normal 2 38 4 2 2" xfId="25773"/>
    <cellStyle name="Normal 2 38 4 2 3" xfId="25774"/>
    <cellStyle name="Normal 2 38 4 3" xfId="25775"/>
    <cellStyle name="Normal 2 38 4 4" xfId="25776"/>
    <cellStyle name="Normal 2 38 4 5" xfId="25777"/>
    <cellStyle name="Normal 2 38 4 6" xfId="25778"/>
    <cellStyle name="Normal 2 38 5" xfId="25779"/>
    <cellStyle name="Normal 2 38 5 2" xfId="25780"/>
    <cellStyle name="Normal 2 38 5 2 2" xfId="25781"/>
    <cellStyle name="Normal 2 38 5 3" xfId="25782"/>
    <cellStyle name="Normal 2 38 5 4" xfId="25783"/>
    <cellStyle name="Normal 2 38 5 5" xfId="25784"/>
    <cellStyle name="Normal 2 38 5 6" xfId="25785"/>
    <cellStyle name="Normal 2 38 6" xfId="25786"/>
    <cellStyle name="Normal 2 38 6 2" xfId="25787"/>
    <cellStyle name="Normal 2 38 6 3" xfId="25788"/>
    <cellStyle name="Normal 2 38 6 4" xfId="25789"/>
    <cellStyle name="Normal 2 38 6 5" xfId="25790"/>
    <cellStyle name="Normal 2 38 7" xfId="25791"/>
    <cellStyle name="Normal 2 38 7 2" xfId="25792"/>
    <cellStyle name="Normal 2 38 7 3" xfId="25793"/>
    <cellStyle name="Normal 2 38 8" xfId="25794"/>
    <cellStyle name="Normal 2 38 9" xfId="25795"/>
    <cellStyle name="Normal 2 39" xfId="25796"/>
    <cellStyle name="Normal 2 39 10" xfId="25797"/>
    <cellStyle name="Normal 2 39 2" xfId="25798"/>
    <cellStyle name="Normal 2 39 2 2" xfId="25799"/>
    <cellStyle name="Normal 2 39 2 2 2" xfId="25800"/>
    <cellStyle name="Normal 2 39 2 2 3" xfId="25801"/>
    <cellStyle name="Normal 2 39 2 3" xfId="25802"/>
    <cellStyle name="Normal 2 39 2 4" xfId="25803"/>
    <cellStyle name="Normal 2 39 2 5" xfId="25804"/>
    <cellStyle name="Normal 2 39 2 6" xfId="25805"/>
    <cellStyle name="Normal 2 39 3" xfId="25806"/>
    <cellStyle name="Normal 2 39 3 2" xfId="25807"/>
    <cellStyle name="Normal 2 39 3 2 2" xfId="25808"/>
    <cellStyle name="Normal 2 39 3 2 3" xfId="25809"/>
    <cellStyle name="Normal 2 39 3 3" xfId="25810"/>
    <cellStyle name="Normal 2 39 3 4" xfId="25811"/>
    <cellStyle name="Normal 2 39 3 5" xfId="25812"/>
    <cellStyle name="Normal 2 39 3 6" xfId="25813"/>
    <cellStyle name="Normal 2 39 4" xfId="25814"/>
    <cellStyle name="Normal 2 39 4 2" xfId="25815"/>
    <cellStyle name="Normal 2 39 4 2 2" xfId="25816"/>
    <cellStyle name="Normal 2 39 4 3" xfId="25817"/>
    <cellStyle name="Normal 2 39 4 4" xfId="25818"/>
    <cellStyle name="Normal 2 39 4 5" xfId="25819"/>
    <cellStyle name="Normal 2 39 4 6" xfId="25820"/>
    <cellStyle name="Normal 2 39 5" xfId="25821"/>
    <cellStyle name="Normal 2 39 5 2" xfId="25822"/>
    <cellStyle name="Normal 2 39 5 3" xfId="25823"/>
    <cellStyle name="Normal 2 39 5 4" xfId="25824"/>
    <cellStyle name="Normal 2 39 5 5" xfId="25825"/>
    <cellStyle name="Normal 2 39 6" xfId="25826"/>
    <cellStyle name="Normal 2 39 6 2" xfId="25827"/>
    <cellStyle name="Normal 2 39 6 3" xfId="25828"/>
    <cellStyle name="Normal 2 39 7" xfId="25829"/>
    <cellStyle name="Normal 2 39 7 2" xfId="25830"/>
    <cellStyle name="Normal 2 39 8" xfId="25831"/>
    <cellStyle name="Normal 2 39 9" xfId="25832"/>
    <cellStyle name="Normal 2 4" xfId="25833"/>
    <cellStyle name="Normal 2 4 2" xfId="25834"/>
    <cellStyle name="Normal 2 4 2 10" xfId="25835"/>
    <cellStyle name="Normal 2 4 2 10 10" xfId="25836"/>
    <cellStyle name="Normal 2 4 2 10 2" xfId="25837"/>
    <cellStyle name="Normal 2 4 2 10 2 2" xfId="25838"/>
    <cellStyle name="Normal 2 4 2 10 2 2 2" xfId="25839"/>
    <cellStyle name="Normal 2 4 2 10 2 2 3" xfId="25840"/>
    <cellStyle name="Normal 2 4 2 10 2 3" xfId="25841"/>
    <cellStyle name="Normal 2 4 2 10 2 4" xfId="25842"/>
    <cellStyle name="Normal 2 4 2 10 2 5" xfId="25843"/>
    <cellStyle name="Normal 2 4 2 10 2 6" xfId="25844"/>
    <cellStyle name="Normal 2 4 2 10 3" xfId="25845"/>
    <cellStyle name="Normal 2 4 2 10 3 2" xfId="25846"/>
    <cellStyle name="Normal 2 4 2 10 3 2 2" xfId="25847"/>
    <cellStyle name="Normal 2 4 2 10 3 2 3" xfId="25848"/>
    <cellStyle name="Normal 2 4 2 10 3 3" xfId="25849"/>
    <cellStyle name="Normal 2 4 2 10 3 4" xfId="25850"/>
    <cellStyle name="Normal 2 4 2 10 3 5" xfId="25851"/>
    <cellStyle name="Normal 2 4 2 10 3 6" xfId="25852"/>
    <cellStyle name="Normal 2 4 2 10 4" xfId="25853"/>
    <cellStyle name="Normal 2 4 2 10 4 2" xfId="25854"/>
    <cellStyle name="Normal 2 4 2 10 4 2 2" xfId="25855"/>
    <cellStyle name="Normal 2 4 2 10 4 3" xfId="25856"/>
    <cellStyle name="Normal 2 4 2 10 4 4" xfId="25857"/>
    <cellStyle name="Normal 2 4 2 10 4 5" xfId="25858"/>
    <cellStyle name="Normal 2 4 2 10 5" xfId="25859"/>
    <cellStyle name="Normal 2 4 2 10 5 2" xfId="25860"/>
    <cellStyle name="Normal 2 4 2 10 5 3" xfId="25861"/>
    <cellStyle name="Normal 2 4 2 10 5 4" xfId="25862"/>
    <cellStyle name="Normal 2 4 2 10 6" xfId="25863"/>
    <cellStyle name="Normal 2 4 2 10 6 2" xfId="25864"/>
    <cellStyle name="Normal 2 4 2 10 7" xfId="25865"/>
    <cellStyle name="Normal 2 4 2 10 8" xfId="25866"/>
    <cellStyle name="Normal 2 4 2 10 9" xfId="25867"/>
    <cellStyle name="Normal 2 4 2 11" xfId="25868"/>
    <cellStyle name="Normal 2 4 2 11 10" xfId="25869"/>
    <cellStyle name="Normal 2 4 2 11 2" xfId="25870"/>
    <cellStyle name="Normal 2 4 2 11 2 2" xfId="25871"/>
    <cellStyle name="Normal 2 4 2 11 2 2 2" xfId="25872"/>
    <cellStyle name="Normal 2 4 2 11 2 2 3" xfId="25873"/>
    <cellStyle name="Normal 2 4 2 11 2 3" xfId="25874"/>
    <cellStyle name="Normal 2 4 2 11 2 4" xfId="25875"/>
    <cellStyle name="Normal 2 4 2 11 2 5" xfId="25876"/>
    <cellStyle name="Normal 2 4 2 11 2 6" xfId="25877"/>
    <cellStyle name="Normal 2 4 2 11 3" xfId="25878"/>
    <cellStyle name="Normal 2 4 2 11 3 2" xfId="25879"/>
    <cellStyle name="Normal 2 4 2 11 3 2 2" xfId="25880"/>
    <cellStyle name="Normal 2 4 2 11 3 2 3" xfId="25881"/>
    <cellStyle name="Normal 2 4 2 11 3 3" xfId="25882"/>
    <cellStyle name="Normal 2 4 2 11 3 4" xfId="25883"/>
    <cellStyle name="Normal 2 4 2 11 3 5" xfId="25884"/>
    <cellStyle name="Normal 2 4 2 11 3 6" xfId="25885"/>
    <cellStyle name="Normal 2 4 2 11 4" xfId="25886"/>
    <cellStyle name="Normal 2 4 2 11 4 2" xfId="25887"/>
    <cellStyle name="Normal 2 4 2 11 4 2 2" xfId="25888"/>
    <cellStyle name="Normal 2 4 2 11 4 3" xfId="25889"/>
    <cellStyle name="Normal 2 4 2 11 4 4" xfId="25890"/>
    <cellStyle name="Normal 2 4 2 11 4 5" xfId="25891"/>
    <cellStyle name="Normal 2 4 2 11 5" xfId="25892"/>
    <cellStyle name="Normal 2 4 2 11 5 2" xfId="25893"/>
    <cellStyle name="Normal 2 4 2 11 5 3" xfId="25894"/>
    <cellStyle name="Normal 2 4 2 11 5 4" xfId="25895"/>
    <cellStyle name="Normal 2 4 2 11 6" xfId="25896"/>
    <cellStyle name="Normal 2 4 2 11 6 2" xfId="25897"/>
    <cellStyle name="Normal 2 4 2 11 7" xfId="25898"/>
    <cellStyle name="Normal 2 4 2 11 8" xfId="25899"/>
    <cellStyle name="Normal 2 4 2 11 9" xfId="25900"/>
    <cellStyle name="Normal 2 4 2 12" xfId="25901"/>
    <cellStyle name="Normal 2 4 2 12 10" xfId="25902"/>
    <cellStyle name="Normal 2 4 2 12 2" xfId="25903"/>
    <cellStyle name="Normal 2 4 2 12 2 2" xfId="25904"/>
    <cellStyle name="Normal 2 4 2 12 2 2 2" xfId="25905"/>
    <cellStyle name="Normal 2 4 2 12 2 2 3" xfId="25906"/>
    <cellStyle name="Normal 2 4 2 12 2 3" xfId="25907"/>
    <cellStyle name="Normal 2 4 2 12 2 4" xfId="25908"/>
    <cellStyle name="Normal 2 4 2 12 2 5" xfId="25909"/>
    <cellStyle name="Normal 2 4 2 12 2 6" xfId="25910"/>
    <cellStyle name="Normal 2 4 2 12 3" xfId="25911"/>
    <cellStyle name="Normal 2 4 2 12 3 2" xfId="25912"/>
    <cellStyle name="Normal 2 4 2 12 3 2 2" xfId="25913"/>
    <cellStyle name="Normal 2 4 2 12 3 2 3" xfId="25914"/>
    <cellStyle name="Normal 2 4 2 12 3 3" xfId="25915"/>
    <cellStyle name="Normal 2 4 2 12 3 4" xfId="25916"/>
    <cellStyle name="Normal 2 4 2 12 3 5" xfId="25917"/>
    <cellStyle name="Normal 2 4 2 12 3 6" xfId="25918"/>
    <cellStyle name="Normal 2 4 2 12 4" xfId="25919"/>
    <cellStyle name="Normal 2 4 2 12 4 2" xfId="25920"/>
    <cellStyle name="Normal 2 4 2 12 4 2 2" xfId="25921"/>
    <cellStyle name="Normal 2 4 2 12 4 3" xfId="25922"/>
    <cellStyle name="Normal 2 4 2 12 4 4" xfId="25923"/>
    <cellStyle name="Normal 2 4 2 12 4 5" xfId="25924"/>
    <cellStyle name="Normal 2 4 2 12 5" xfId="25925"/>
    <cellStyle name="Normal 2 4 2 12 5 2" xfId="25926"/>
    <cellStyle name="Normal 2 4 2 12 5 3" xfId="25927"/>
    <cellStyle name="Normal 2 4 2 12 5 4" xfId="25928"/>
    <cellStyle name="Normal 2 4 2 12 6" xfId="25929"/>
    <cellStyle name="Normal 2 4 2 12 6 2" xfId="25930"/>
    <cellStyle name="Normal 2 4 2 12 7" xfId="25931"/>
    <cellStyle name="Normal 2 4 2 12 8" xfId="25932"/>
    <cellStyle name="Normal 2 4 2 12 9" xfId="25933"/>
    <cellStyle name="Normal 2 4 2 13" xfId="25934"/>
    <cellStyle name="Normal 2 4 2 13 2" xfId="25935"/>
    <cellStyle name="Normal 2 4 2 13 2 2" xfId="25936"/>
    <cellStyle name="Normal 2 4 2 13 2 2 2" xfId="25937"/>
    <cellStyle name="Normal 2 4 2 13 2 2 3" xfId="25938"/>
    <cellStyle name="Normal 2 4 2 13 2 3" xfId="25939"/>
    <cellStyle name="Normal 2 4 2 13 2 4" xfId="25940"/>
    <cellStyle name="Normal 2 4 2 13 2 5" xfId="25941"/>
    <cellStyle name="Normal 2 4 2 13 2 6" xfId="25942"/>
    <cellStyle name="Normal 2 4 2 13 3" xfId="25943"/>
    <cellStyle name="Normal 2 4 2 13 3 2" xfId="25944"/>
    <cellStyle name="Normal 2 4 2 13 3 2 2" xfId="25945"/>
    <cellStyle name="Normal 2 4 2 13 3 3" xfId="25946"/>
    <cellStyle name="Normal 2 4 2 13 3 4" xfId="25947"/>
    <cellStyle name="Normal 2 4 2 13 3 5" xfId="25948"/>
    <cellStyle name="Normal 2 4 2 13 4" xfId="25949"/>
    <cellStyle name="Normal 2 4 2 13 4 2" xfId="25950"/>
    <cellStyle name="Normal 2 4 2 13 4 3" xfId="25951"/>
    <cellStyle name="Normal 2 4 2 13 4 4" xfId="25952"/>
    <cellStyle name="Normal 2 4 2 13 5" xfId="25953"/>
    <cellStyle name="Normal 2 4 2 13 5 2" xfId="25954"/>
    <cellStyle name="Normal 2 4 2 13 6" xfId="25955"/>
    <cellStyle name="Normal 2 4 2 13 7" xfId="25956"/>
    <cellStyle name="Normal 2 4 2 13 8" xfId="25957"/>
    <cellStyle name="Normal 2 4 2 13 9" xfId="25958"/>
    <cellStyle name="Normal 2 4 2 14" xfId="25959"/>
    <cellStyle name="Normal 2 4 2 14 2" xfId="25960"/>
    <cellStyle name="Normal 2 4 2 14 2 2" xfId="25961"/>
    <cellStyle name="Normal 2 4 2 14 2 2 2" xfId="25962"/>
    <cellStyle name="Normal 2 4 2 14 2 2 3" xfId="25963"/>
    <cellStyle name="Normal 2 4 2 14 2 3" xfId="25964"/>
    <cellStyle name="Normal 2 4 2 14 2 4" xfId="25965"/>
    <cellStyle name="Normal 2 4 2 14 2 5" xfId="25966"/>
    <cellStyle name="Normal 2 4 2 14 2 6" xfId="25967"/>
    <cellStyle name="Normal 2 4 2 14 3" xfId="25968"/>
    <cellStyle name="Normal 2 4 2 14 3 2" xfId="25969"/>
    <cellStyle name="Normal 2 4 2 14 3 2 2" xfId="25970"/>
    <cellStyle name="Normal 2 4 2 14 3 3" xfId="25971"/>
    <cellStyle name="Normal 2 4 2 14 3 4" xfId="25972"/>
    <cellStyle name="Normal 2 4 2 14 3 5" xfId="25973"/>
    <cellStyle name="Normal 2 4 2 14 4" xfId="25974"/>
    <cellStyle name="Normal 2 4 2 14 4 2" xfId="25975"/>
    <cellStyle name="Normal 2 4 2 14 4 3" xfId="25976"/>
    <cellStyle name="Normal 2 4 2 14 4 4" xfId="25977"/>
    <cellStyle name="Normal 2 4 2 14 5" xfId="25978"/>
    <cellStyle name="Normal 2 4 2 14 5 2" xfId="25979"/>
    <cellStyle name="Normal 2 4 2 14 6" xfId="25980"/>
    <cellStyle name="Normal 2 4 2 14 7" xfId="25981"/>
    <cellStyle name="Normal 2 4 2 14 8" xfId="25982"/>
    <cellStyle name="Normal 2 4 2 14 9" xfId="25983"/>
    <cellStyle name="Normal 2 4 2 15" xfId="25984"/>
    <cellStyle name="Normal 2 4 2 15 2" xfId="25985"/>
    <cellStyle name="Normal 2 4 2 15 2 2" xfId="25986"/>
    <cellStyle name="Normal 2 4 2 15 2 3" xfId="25987"/>
    <cellStyle name="Normal 2 4 2 15 3" xfId="25988"/>
    <cellStyle name="Normal 2 4 2 15 4" xfId="25989"/>
    <cellStyle name="Normal 2 4 2 15 5" xfId="25990"/>
    <cellStyle name="Normal 2 4 2 15 6" xfId="25991"/>
    <cellStyle name="Normal 2 4 2 16" xfId="25992"/>
    <cellStyle name="Normal 2 4 2 16 2" xfId="25993"/>
    <cellStyle name="Normal 2 4 2 16 2 2" xfId="25994"/>
    <cellStyle name="Normal 2 4 2 16 3" xfId="25995"/>
    <cellStyle name="Normal 2 4 2 16 4" xfId="25996"/>
    <cellStyle name="Normal 2 4 2 16 5" xfId="25997"/>
    <cellStyle name="Normal 2 4 2 17" xfId="25998"/>
    <cellStyle name="Normal 2 4 2 17 2" xfId="25999"/>
    <cellStyle name="Normal 2 4 2 17 2 2" xfId="26000"/>
    <cellStyle name="Normal 2 4 2 17 3" xfId="26001"/>
    <cellStyle name="Normal 2 4 2 17 4" xfId="26002"/>
    <cellStyle name="Normal 2 4 2 17 5" xfId="26003"/>
    <cellStyle name="Normal 2 4 2 18" xfId="26004"/>
    <cellStyle name="Normal 2 4 2 18 2" xfId="26005"/>
    <cellStyle name="Normal 2 4 2 19" xfId="26006"/>
    <cellStyle name="Normal 2 4 2 2" xfId="26007"/>
    <cellStyle name="Normal 2 4 2 2 10" xfId="26008"/>
    <cellStyle name="Normal 2 4 2 2 11" xfId="26009"/>
    <cellStyle name="Normal 2 4 2 2 2" xfId="26010"/>
    <cellStyle name="Normal 2 4 2 2 2 2" xfId="26011"/>
    <cellStyle name="Normal 2 4 2 2 2 2 2" xfId="26012"/>
    <cellStyle name="Normal 2 4 2 2 2 2 2 2" xfId="26013"/>
    <cellStyle name="Normal 2 4 2 2 2 2 2 3" xfId="26014"/>
    <cellStyle name="Normal 2 4 2 2 2 2 3" xfId="26015"/>
    <cellStyle name="Normal 2 4 2 2 2 2 4" xfId="26016"/>
    <cellStyle name="Normal 2 4 2 2 2 2 5" xfId="26017"/>
    <cellStyle name="Normal 2 4 2 2 2 2 6" xfId="26018"/>
    <cellStyle name="Normal 2 4 2 2 2 3" xfId="26019"/>
    <cellStyle name="Normal 2 4 2 2 2 3 2" xfId="26020"/>
    <cellStyle name="Normal 2 4 2 2 2 3 2 2" xfId="26021"/>
    <cellStyle name="Normal 2 4 2 2 2 3 3" xfId="26022"/>
    <cellStyle name="Normal 2 4 2 2 2 3 4" xfId="26023"/>
    <cellStyle name="Normal 2 4 2 2 2 3 5" xfId="26024"/>
    <cellStyle name="Normal 2 4 2 2 2 4" xfId="26025"/>
    <cellStyle name="Normal 2 4 2 2 2 4 2" xfId="26026"/>
    <cellStyle name="Normal 2 4 2 2 2 4 3" xfId="26027"/>
    <cellStyle name="Normal 2 4 2 2 2 4 4" xfId="26028"/>
    <cellStyle name="Normal 2 4 2 2 2 5" xfId="26029"/>
    <cellStyle name="Normal 2 4 2 2 2 5 2" xfId="26030"/>
    <cellStyle name="Normal 2 4 2 2 2 6" xfId="26031"/>
    <cellStyle name="Normal 2 4 2 2 2 7" xfId="26032"/>
    <cellStyle name="Normal 2 4 2 2 2 8" xfId="26033"/>
    <cellStyle name="Normal 2 4 2 2 2 9" xfId="26034"/>
    <cellStyle name="Normal 2 4 2 2 3" xfId="26035"/>
    <cellStyle name="Normal 2 4 2 2 3 2" xfId="26036"/>
    <cellStyle name="Normal 2 4 2 2 3 2 2" xfId="26037"/>
    <cellStyle name="Normal 2 4 2 2 3 2 2 2" xfId="26038"/>
    <cellStyle name="Normal 2 4 2 2 3 2 2 3" xfId="26039"/>
    <cellStyle name="Normal 2 4 2 2 3 2 3" xfId="26040"/>
    <cellStyle name="Normal 2 4 2 2 3 2 4" xfId="26041"/>
    <cellStyle name="Normal 2 4 2 2 3 2 5" xfId="26042"/>
    <cellStyle name="Normal 2 4 2 2 3 2 6" xfId="26043"/>
    <cellStyle name="Normal 2 4 2 2 3 3" xfId="26044"/>
    <cellStyle name="Normal 2 4 2 2 3 3 2" xfId="26045"/>
    <cellStyle name="Normal 2 4 2 2 3 3 2 2" xfId="26046"/>
    <cellStyle name="Normal 2 4 2 2 3 3 3" xfId="26047"/>
    <cellStyle name="Normal 2 4 2 2 3 3 4" xfId="26048"/>
    <cellStyle name="Normal 2 4 2 2 3 3 5" xfId="26049"/>
    <cellStyle name="Normal 2 4 2 2 3 4" xfId="26050"/>
    <cellStyle name="Normal 2 4 2 2 3 4 2" xfId="26051"/>
    <cellStyle name="Normal 2 4 2 2 3 4 3" xfId="26052"/>
    <cellStyle name="Normal 2 4 2 2 3 4 4" xfId="26053"/>
    <cellStyle name="Normal 2 4 2 2 3 5" xfId="26054"/>
    <cellStyle name="Normal 2 4 2 2 3 5 2" xfId="26055"/>
    <cellStyle name="Normal 2 4 2 2 3 6" xfId="26056"/>
    <cellStyle name="Normal 2 4 2 2 3 7" xfId="26057"/>
    <cellStyle name="Normal 2 4 2 2 3 8" xfId="26058"/>
    <cellStyle name="Normal 2 4 2 2 3 9" xfId="26059"/>
    <cellStyle name="Normal 2 4 2 2 4" xfId="26060"/>
    <cellStyle name="Normal 2 4 2 2 4 2" xfId="26061"/>
    <cellStyle name="Normal 2 4 2 2 4 2 2" xfId="26062"/>
    <cellStyle name="Normal 2 4 2 2 4 2 3" xfId="26063"/>
    <cellStyle name="Normal 2 4 2 2 4 3" xfId="26064"/>
    <cellStyle name="Normal 2 4 2 2 4 4" xfId="26065"/>
    <cellStyle name="Normal 2 4 2 2 4 5" xfId="26066"/>
    <cellStyle name="Normal 2 4 2 2 4 6" xfId="26067"/>
    <cellStyle name="Normal 2 4 2 2 5" xfId="26068"/>
    <cellStyle name="Normal 2 4 2 2 5 2" xfId="26069"/>
    <cellStyle name="Normal 2 4 2 2 5 2 2" xfId="26070"/>
    <cellStyle name="Normal 2 4 2 2 5 3" xfId="26071"/>
    <cellStyle name="Normal 2 4 2 2 5 4" xfId="26072"/>
    <cellStyle name="Normal 2 4 2 2 5 5" xfId="26073"/>
    <cellStyle name="Normal 2 4 2 2 6" xfId="26074"/>
    <cellStyle name="Normal 2 4 2 2 6 2" xfId="26075"/>
    <cellStyle name="Normal 2 4 2 2 6 3" xfId="26076"/>
    <cellStyle name="Normal 2 4 2 2 6 4" xfId="26077"/>
    <cellStyle name="Normal 2 4 2 2 7" xfId="26078"/>
    <cellStyle name="Normal 2 4 2 2 7 2" xfId="26079"/>
    <cellStyle name="Normal 2 4 2 2 8" xfId="26080"/>
    <cellStyle name="Normal 2 4 2 2 9" xfId="26081"/>
    <cellStyle name="Normal 2 4 2 20" xfId="26082"/>
    <cellStyle name="Normal 2 4 2 21" xfId="26083"/>
    <cellStyle name="Normal 2 4 2 22" xfId="26084"/>
    <cellStyle name="Normal 2 4 2 3" xfId="26085"/>
    <cellStyle name="Normal 2 4 2 3 10" xfId="26086"/>
    <cellStyle name="Normal 2 4 2 3 11" xfId="26087"/>
    <cellStyle name="Normal 2 4 2 3 2" xfId="26088"/>
    <cellStyle name="Normal 2 4 2 3 2 2" xfId="26089"/>
    <cellStyle name="Normal 2 4 2 3 2 2 2" xfId="26090"/>
    <cellStyle name="Normal 2 4 2 3 2 2 2 2" xfId="26091"/>
    <cellStyle name="Normal 2 4 2 3 2 2 2 3" xfId="26092"/>
    <cellStyle name="Normal 2 4 2 3 2 2 3" xfId="26093"/>
    <cellStyle name="Normal 2 4 2 3 2 2 4" xfId="26094"/>
    <cellStyle name="Normal 2 4 2 3 2 2 5" xfId="26095"/>
    <cellStyle name="Normal 2 4 2 3 2 2 6" xfId="26096"/>
    <cellStyle name="Normal 2 4 2 3 2 3" xfId="26097"/>
    <cellStyle name="Normal 2 4 2 3 2 3 2" xfId="26098"/>
    <cellStyle name="Normal 2 4 2 3 2 3 2 2" xfId="26099"/>
    <cellStyle name="Normal 2 4 2 3 2 3 3" xfId="26100"/>
    <cellStyle name="Normal 2 4 2 3 2 3 4" xfId="26101"/>
    <cellStyle name="Normal 2 4 2 3 2 3 5" xfId="26102"/>
    <cellStyle name="Normal 2 4 2 3 2 4" xfId="26103"/>
    <cellStyle name="Normal 2 4 2 3 2 4 2" xfId="26104"/>
    <cellStyle name="Normal 2 4 2 3 2 4 3" xfId="26105"/>
    <cellStyle name="Normal 2 4 2 3 2 4 4" xfId="26106"/>
    <cellStyle name="Normal 2 4 2 3 2 5" xfId="26107"/>
    <cellStyle name="Normal 2 4 2 3 2 5 2" xfId="26108"/>
    <cellStyle name="Normal 2 4 2 3 2 6" xfId="26109"/>
    <cellStyle name="Normal 2 4 2 3 2 7" xfId="26110"/>
    <cellStyle name="Normal 2 4 2 3 2 8" xfId="26111"/>
    <cellStyle name="Normal 2 4 2 3 2 9" xfId="26112"/>
    <cellStyle name="Normal 2 4 2 3 3" xfId="26113"/>
    <cellStyle name="Normal 2 4 2 3 3 2" xfId="26114"/>
    <cellStyle name="Normal 2 4 2 3 3 2 2" xfId="26115"/>
    <cellStyle name="Normal 2 4 2 3 3 2 2 2" xfId="26116"/>
    <cellStyle name="Normal 2 4 2 3 3 2 2 3" xfId="26117"/>
    <cellStyle name="Normal 2 4 2 3 3 2 3" xfId="26118"/>
    <cellStyle name="Normal 2 4 2 3 3 2 4" xfId="26119"/>
    <cellStyle name="Normal 2 4 2 3 3 2 5" xfId="26120"/>
    <cellStyle name="Normal 2 4 2 3 3 2 6" xfId="26121"/>
    <cellStyle name="Normal 2 4 2 3 3 3" xfId="26122"/>
    <cellStyle name="Normal 2 4 2 3 3 3 2" xfId="26123"/>
    <cellStyle name="Normal 2 4 2 3 3 3 2 2" xfId="26124"/>
    <cellStyle name="Normal 2 4 2 3 3 3 3" xfId="26125"/>
    <cellStyle name="Normal 2 4 2 3 3 3 4" xfId="26126"/>
    <cellStyle name="Normal 2 4 2 3 3 3 5" xfId="26127"/>
    <cellStyle name="Normal 2 4 2 3 3 4" xfId="26128"/>
    <cellStyle name="Normal 2 4 2 3 3 4 2" xfId="26129"/>
    <cellStyle name="Normal 2 4 2 3 3 4 3" xfId="26130"/>
    <cellStyle name="Normal 2 4 2 3 3 4 4" xfId="26131"/>
    <cellStyle name="Normal 2 4 2 3 3 5" xfId="26132"/>
    <cellStyle name="Normal 2 4 2 3 3 5 2" xfId="26133"/>
    <cellStyle name="Normal 2 4 2 3 3 6" xfId="26134"/>
    <cellStyle name="Normal 2 4 2 3 3 7" xfId="26135"/>
    <cellStyle name="Normal 2 4 2 3 3 8" xfId="26136"/>
    <cellStyle name="Normal 2 4 2 3 3 9" xfId="26137"/>
    <cellStyle name="Normal 2 4 2 3 4" xfId="26138"/>
    <cellStyle name="Normal 2 4 2 3 4 2" xfId="26139"/>
    <cellStyle name="Normal 2 4 2 3 4 2 2" xfId="26140"/>
    <cellStyle name="Normal 2 4 2 3 4 2 3" xfId="26141"/>
    <cellStyle name="Normal 2 4 2 3 4 3" xfId="26142"/>
    <cellStyle name="Normal 2 4 2 3 4 4" xfId="26143"/>
    <cellStyle name="Normal 2 4 2 3 4 5" xfId="26144"/>
    <cellStyle name="Normal 2 4 2 3 4 6" xfId="26145"/>
    <cellStyle name="Normal 2 4 2 3 5" xfId="26146"/>
    <cellStyle name="Normal 2 4 2 3 5 2" xfId="26147"/>
    <cellStyle name="Normal 2 4 2 3 5 2 2" xfId="26148"/>
    <cellStyle name="Normal 2 4 2 3 5 3" xfId="26149"/>
    <cellStyle name="Normal 2 4 2 3 5 4" xfId="26150"/>
    <cellStyle name="Normal 2 4 2 3 5 5" xfId="26151"/>
    <cellStyle name="Normal 2 4 2 3 6" xfId="26152"/>
    <cellStyle name="Normal 2 4 2 3 6 2" xfId="26153"/>
    <cellStyle name="Normal 2 4 2 3 6 3" xfId="26154"/>
    <cellStyle name="Normal 2 4 2 3 6 4" xfId="26155"/>
    <cellStyle name="Normal 2 4 2 3 7" xfId="26156"/>
    <cellStyle name="Normal 2 4 2 3 7 2" xfId="26157"/>
    <cellStyle name="Normal 2 4 2 3 8" xfId="26158"/>
    <cellStyle name="Normal 2 4 2 3 9" xfId="26159"/>
    <cellStyle name="Normal 2 4 2 4" xfId="26160"/>
    <cellStyle name="Normal 2 4 2 4 10" xfId="26161"/>
    <cellStyle name="Normal 2 4 2 4 11" xfId="26162"/>
    <cellStyle name="Normal 2 4 2 4 2" xfId="26163"/>
    <cellStyle name="Normal 2 4 2 4 2 2" xfId="26164"/>
    <cellStyle name="Normal 2 4 2 4 2 2 2" xfId="26165"/>
    <cellStyle name="Normal 2 4 2 4 2 2 2 2" xfId="26166"/>
    <cellStyle name="Normal 2 4 2 4 2 2 2 3" xfId="26167"/>
    <cellStyle name="Normal 2 4 2 4 2 2 3" xfId="26168"/>
    <cellStyle name="Normal 2 4 2 4 2 2 4" xfId="26169"/>
    <cellStyle name="Normal 2 4 2 4 2 2 5" xfId="26170"/>
    <cellStyle name="Normal 2 4 2 4 2 2 6" xfId="26171"/>
    <cellStyle name="Normal 2 4 2 4 2 3" xfId="26172"/>
    <cellStyle name="Normal 2 4 2 4 2 3 2" xfId="26173"/>
    <cellStyle name="Normal 2 4 2 4 2 3 2 2" xfId="26174"/>
    <cellStyle name="Normal 2 4 2 4 2 3 3" xfId="26175"/>
    <cellStyle name="Normal 2 4 2 4 2 3 4" xfId="26176"/>
    <cellStyle name="Normal 2 4 2 4 2 3 5" xfId="26177"/>
    <cellStyle name="Normal 2 4 2 4 2 4" xfId="26178"/>
    <cellStyle name="Normal 2 4 2 4 2 4 2" xfId="26179"/>
    <cellStyle name="Normal 2 4 2 4 2 4 3" xfId="26180"/>
    <cellStyle name="Normal 2 4 2 4 2 4 4" xfId="26181"/>
    <cellStyle name="Normal 2 4 2 4 2 5" xfId="26182"/>
    <cellStyle name="Normal 2 4 2 4 2 5 2" xfId="26183"/>
    <cellStyle name="Normal 2 4 2 4 2 6" xfId="26184"/>
    <cellStyle name="Normal 2 4 2 4 2 7" xfId="26185"/>
    <cellStyle name="Normal 2 4 2 4 2 8" xfId="26186"/>
    <cellStyle name="Normal 2 4 2 4 2 9" xfId="26187"/>
    <cellStyle name="Normal 2 4 2 4 3" xfId="26188"/>
    <cellStyle name="Normal 2 4 2 4 3 2" xfId="26189"/>
    <cellStyle name="Normal 2 4 2 4 3 2 2" xfId="26190"/>
    <cellStyle name="Normal 2 4 2 4 3 2 2 2" xfId="26191"/>
    <cellStyle name="Normal 2 4 2 4 3 2 2 3" xfId="26192"/>
    <cellStyle name="Normal 2 4 2 4 3 2 3" xfId="26193"/>
    <cellStyle name="Normal 2 4 2 4 3 2 4" xfId="26194"/>
    <cellStyle name="Normal 2 4 2 4 3 2 5" xfId="26195"/>
    <cellStyle name="Normal 2 4 2 4 3 2 6" xfId="26196"/>
    <cellStyle name="Normal 2 4 2 4 3 3" xfId="26197"/>
    <cellStyle name="Normal 2 4 2 4 3 3 2" xfId="26198"/>
    <cellStyle name="Normal 2 4 2 4 3 3 2 2" xfId="26199"/>
    <cellStyle name="Normal 2 4 2 4 3 3 3" xfId="26200"/>
    <cellStyle name="Normal 2 4 2 4 3 3 4" xfId="26201"/>
    <cellStyle name="Normal 2 4 2 4 3 3 5" xfId="26202"/>
    <cellStyle name="Normal 2 4 2 4 3 4" xfId="26203"/>
    <cellStyle name="Normal 2 4 2 4 3 4 2" xfId="26204"/>
    <cellStyle name="Normal 2 4 2 4 3 4 3" xfId="26205"/>
    <cellStyle name="Normal 2 4 2 4 3 4 4" xfId="26206"/>
    <cellStyle name="Normal 2 4 2 4 3 5" xfId="26207"/>
    <cellStyle name="Normal 2 4 2 4 3 5 2" xfId="26208"/>
    <cellStyle name="Normal 2 4 2 4 3 6" xfId="26209"/>
    <cellStyle name="Normal 2 4 2 4 3 7" xfId="26210"/>
    <cellStyle name="Normal 2 4 2 4 3 8" xfId="26211"/>
    <cellStyle name="Normal 2 4 2 4 3 9" xfId="26212"/>
    <cellStyle name="Normal 2 4 2 4 4" xfId="26213"/>
    <cellStyle name="Normal 2 4 2 4 4 2" xfId="26214"/>
    <cellStyle name="Normal 2 4 2 4 4 2 2" xfId="26215"/>
    <cellStyle name="Normal 2 4 2 4 4 2 3" xfId="26216"/>
    <cellStyle name="Normal 2 4 2 4 4 3" xfId="26217"/>
    <cellStyle name="Normal 2 4 2 4 4 4" xfId="26218"/>
    <cellStyle name="Normal 2 4 2 4 4 5" xfId="26219"/>
    <cellStyle name="Normal 2 4 2 4 4 6" xfId="26220"/>
    <cellStyle name="Normal 2 4 2 4 5" xfId="26221"/>
    <cellStyle name="Normal 2 4 2 4 5 2" xfId="26222"/>
    <cellStyle name="Normal 2 4 2 4 5 2 2" xfId="26223"/>
    <cellStyle name="Normal 2 4 2 4 5 3" xfId="26224"/>
    <cellStyle name="Normal 2 4 2 4 5 4" xfId="26225"/>
    <cellStyle name="Normal 2 4 2 4 5 5" xfId="26226"/>
    <cellStyle name="Normal 2 4 2 4 6" xfId="26227"/>
    <cellStyle name="Normal 2 4 2 4 6 2" xfId="26228"/>
    <cellStyle name="Normal 2 4 2 4 6 3" xfId="26229"/>
    <cellStyle name="Normal 2 4 2 4 6 4" xfId="26230"/>
    <cellStyle name="Normal 2 4 2 4 7" xfId="26231"/>
    <cellStyle name="Normal 2 4 2 4 7 2" xfId="26232"/>
    <cellStyle name="Normal 2 4 2 4 8" xfId="26233"/>
    <cellStyle name="Normal 2 4 2 4 9" xfId="26234"/>
    <cellStyle name="Normal 2 4 2 5" xfId="26235"/>
    <cellStyle name="Normal 2 4 2 5 10" xfId="26236"/>
    <cellStyle name="Normal 2 4 2 5 11" xfId="26237"/>
    <cellStyle name="Normal 2 4 2 5 2" xfId="26238"/>
    <cellStyle name="Normal 2 4 2 5 2 2" xfId="26239"/>
    <cellStyle name="Normal 2 4 2 5 2 2 2" xfId="26240"/>
    <cellStyle name="Normal 2 4 2 5 2 2 2 2" xfId="26241"/>
    <cellStyle name="Normal 2 4 2 5 2 2 2 3" xfId="26242"/>
    <cellStyle name="Normal 2 4 2 5 2 2 3" xfId="26243"/>
    <cellStyle name="Normal 2 4 2 5 2 2 4" xfId="26244"/>
    <cellStyle name="Normal 2 4 2 5 2 2 5" xfId="26245"/>
    <cellStyle name="Normal 2 4 2 5 2 2 6" xfId="26246"/>
    <cellStyle name="Normal 2 4 2 5 2 3" xfId="26247"/>
    <cellStyle name="Normal 2 4 2 5 2 3 2" xfId="26248"/>
    <cellStyle name="Normal 2 4 2 5 2 3 2 2" xfId="26249"/>
    <cellStyle name="Normal 2 4 2 5 2 3 3" xfId="26250"/>
    <cellStyle name="Normal 2 4 2 5 2 3 4" xfId="26251"/>
    <cellStyle name="Normal 2 4 2 5 2 3 5" xfId="26252"/>
    <cellStyle name="Normal 2 4 2 5 2 4" xfId="26253"/>
    <cellStyle name="Normal 2 4 2 5 2 4 2" xfId="26254"/>
    <cellStyle name="Normal 2 4 2 5 2 4 3" xfId="26255"/>
    <cellStyle name="Normal 2 4 2 5 2 4 4" xfId="26256"/>
    <cellStyle name="Normal 2 4 2 5 2 5" xfId="26257"/>
    <cellStyle name="Normal 2 4 2 5 2 5 2" xfId="26258"/>
    <cellStyle name="Normal 2 4 2 5 2 6" xfId="26259"/>
    <cellStyle name="Normal 2 4 2 5 2 7" xfId="26260"/>
    <cellStyle name="Normal 2 4 2 5 2 8" xfId="26261"/>
    <cellStyle name="Normal 2 4 2 5 2 9" xfId="26262"/>
    <cellStyle name="Normal 2 4 2 5 3" xfId="26263"/>
    <cellStyle name="Normal 2 4 2 5 3 2" xfId="26264"/>
    <cellStyle name="Normal 2 4 2 5 3 2 2" xfId="26265"/>
    <cellStyle name="Normal 2 4 2 5 3 2 2 2" xfId="26266"/>
    <cellStyle name="Normal 2 4 2 5 3 2 2 3" xfId="26267"/>
    <cellStyle name="Normal 2 4 2 5 3 2 3" xfId="26268"/>
    <cellStyle name="Normal 2 4 2 5 3 2 4" xfId="26269"/>
    <cellStyle name="Normal 2 4 2 5 3 2 5" xfId="26270"/>
    <cellStyle name="Normal 2 4 2 5 3 2 6" xfId="26271"/>
    <cellStyle name="Normal 2 4 2 5 3 3" xfId="26272"/>
    <cellStyle name="Normal 2 4 2 5 3 3 2" xfId="26273"/>
    <cellStyle name="Normal 2 4 2 5 3 3 2 2" xfId="26274"/>
    <cellStyle name="Normal 2 4 2 5 3 3 3" xfId="26275"/>
    <cellStyle name="Normal 2 4 2 5 3 3 4" xfId="26276"/>
    <cellStyle name="Normal 2 4 2 5 3 3 5" xfId="26277"/>
    <cellStyle name="Normal 2 4 2 5 3 4" xfId="26278"/>
    <cellStyle name="Normal 2 4 2 5 3 4 2" xfId="26279"/>
    <cellStyle name="Normal 2 4 2 5 3 4 3" xfId="26280"/>
    <cellStyle name="Normal 2 4 2 5 3 4 4" xfId="26281"/>
    <cellStyle name="Normal 2 4 2 5 3 5" xfId="26282"/>
    <cellStyle name="Normal 2 4 2 5 3 5 2" xfId="26283"/>
    <cellStyle name="Normal 2 4 2 5 3 6" xfId="26284"/>
    <cellStyle name="Normal 2 4 2 5 3 7" xfId="26285"/>
    <cellStyle name="Normal 2 4 2 5 3 8" xfId="26286"/>
    <cellStyle name="Normal 2 4 2 5 3 9" xfId="26287"/>
    <cellStyle name="Normal 2 4 2 5 4" xfId="26288"/>
    <cellStyle name="Normal 2 4 2 5 4 2" xfId="26289"/>
    <cellStyle name="Normal 2 4 2 5 4 2 2" xfId="26290"/>
    <cellStyle name="Normal 2 4 2 5 4 2 3" xfId="26291"/>
    <cellStyle name="Normal 2 4 2 5 4 3" xfId="26292"/>
    <cellStyle name="Normal 2 4 2 5 4 4" xfId="26293"/>
    <cellStyle name="Normal 2 4 2 5 4 5" xfId="26294"/>
    <cellStyle name="Normal 2 4 2 5 4 6" xfId="26295"/>
    <cellStyle name="Normal 2 4 2 5 5" xfId="26296"/>
    <cellStyle name="Normal 2 4 2 5 5 2" xfId="26297"/>
    <cellStyle name="Normal 2 4 2 5 5 2 2" xfId="26298"/>
    <cellStyle name="Normal 2 4 2 5 5 3" xfId="26299"/>
    <cellStyle name="Normal 2 4 2 5 5 4" xfId="26300"/>
    <cellStyle name="Normal 2 4 2 5 5 5" xfId="26301"/>
    <cellStyle name="Normal 2 4 2 5 6" xfId="26302"/>
    <cellStyle name="Normal 2 4 2 5 6 2" xfId="26303"/>
    <cellStyle name="Normal 2 4 2 5 6 3" xfId="26304"/>
    <cellStyle name="Normal 2 4 2 5 6 4" xfId="26305"/>
    <cellStyle name="Normal 2 4 2 5 7" xfId="26306"/>
    <cellStyle name="Normal 2 4 2 5 7 2" xfId="26307"/>
    <cellStyle name="Normal 2 4 2 5 8" xfId="26308"/>
    <cellStyle name="Normal 2 4 2 5 9" xfId="26309"/>
    <cellStyle name="Normal 2 4 2 6" xfId="26310"/>
    <cellStyle name="Normal 2 4 2 6 10" xfId="26311"/>
    <cellStyle name="Normal 2 4 2 6 11" xfId="26312"/>
    <cellStyle name="Normal 2 4 2 6 2" xfId="26313"/>
    <cellStyle name="Normal 2 4 2 6 2 2" xfId="26314"/>
    <cellStyle name="Normal 2 4 2 6 2 2 2" xfId="26315"/>
    <cellStyle name="Normal 2 4 2 6 2 2 2 2" xfId="26316"/>
    <cellStyle name="Normal 2 4 2 6 2 2 2 3" xfId="26317"/>
    <cellStyle name="Normal 2 4 2 6 2 2 3" xfId="26318"/>
    <cellStyle name="Normal 2 4 2 6 2 2 4" xfId="26319"/>
    <cellStyle name="Normal 2 4 2 6 2 2 5" xfId="26320"/>
    <cellStyle name="Normal 2 4 2 6 2 2 6" xfId="26321"/>
    <cellStyle name="Normal 2 4 2 6 2 3" xfId="26322"/>
    <cellStyle name="Normal 2 4 2 6 2 3 2" xfId="26323"/>
    <cellStyle name="Normal 2 4 2 6 2 3 2 2" xfId="26324"/>
    <cellStyle name="Normal 2 4 2 6 2 3 3" xfId="26325"/>
    <cellStyle name="Normal 2 4 2 6 2 3 4" xfId="26326"/>
    <cellStyle name="Normal 2 4 2 6 2 3 5" xfId="26327"/>
    <cellStyle name="Normal 2 4 2 6 2 4" xfId="26328"/>
    <cellStyle name="Normal 2 4 2 6 2 4 2" xfId="26329"/>
    <cellStyle name="Normal 2 4 2 6 2 4 3" xfId="26330"/>
    <cellStyle name="Normal 2 4 2 6 2 4 4" xfId="26331"/>
    <cellStyle name="Normal 2 4 2 6 2 5" xfId="26332"/>
    <cellStyle name="Normal 2 4 2 6 2 5 2" xfId="26333"/>
    <cellStyle name="Normal 2 4 2 6 2 6" xfId="26334"/>
    <cellStyle name="Normal 2 4 2 6 2 7" xfId="26335"/>
    <cellStyle name="Normal 2 4 2 6 2 8" xfId="26336"/>
    <cellStyle name="Normal 2 4 2 6 2 9" xfId="26337"/>
    <cellStyle name="Normal 2 4 2 6 3" xfId="26338"/>
    <cellStyle name="Normal 2 4 2 6 3 2" xfId="26339"/>
    <cellStyle name="Normal 2 4 2 6 3 2 2" xfId="26340"/>
    <cellStyle name="Normal 2 4 2 6 3 2 2 2" xfId="26341"/>
    <cellStyle name="Normal 2 4 2 6 3 2 2 3" xfId="26342"/>
    <cellStyle name="Normal 2 4 2 6 3 2 3" xfId="26343"/>
    <cellStyle name="Normal 2 4 2 6 3 2 4" xfId="26344"/>
    <cellStyle name="Normal 2 4 2 6 3 2 5" xfId="26345"/>
    <cellStyle name="Normal 2 4 2 6 3 2 6" xfId="26346"/>
    <cellStyle name="Normal 2 4 2 6 3 3" xfId="26347"/>
    <cellStyle name="Normal 2 4 2 6 3 3 2" xfId="26348"/>
    <cellStyle name="Normal 2 4 2 6 3 3 2 2" xfId="26349"/>
    <cellStyle name="Normal 2 4 2 6 3 3 3" xfId="26350"/>
    <cellStyle name="Normal 2 4 2 6 3 3 4" xfId="26351"/>
    <cellStyle name="Normal 2 4 2 6 3 3 5" xfId="26352"/>
    <cellStyle name="Normal 2 4 2 6 3 4" xfId="26353"/>
    <cellStyle name="Normal 2 4 2 6 3 4 2" xfId="26354"/>
    <cellStyle name="Normal 2 4 2 6 3 4 3" xfId="26355"/>
    <cellStyle name="Normal 2 4 2 6 3 4 4" xfId="26356"/>
    <cellStyle name="Normal 2 4 2 6 3 5" xfId="26357"/>
    <cellStyle name="Normal 2 4 2 6 3 5 2" xfId="26358"/>
    <cellStyle name="Normal 2 4 2 6 3 6" xfId="26359"/>
    <cellStyle name="Normal 2 4 2 6 3 7" xfId="26360"/>
    <cellStyle name="Normal 2 4 2 6 3 8" xfId="26361"/>
    <cellStyle name="Normal 2 4 2 6 3 9" xfId="26362"/>
    <cellStyle name="Normal 2 4 2 6 4" xfId="26363"/>
    <cellStyle name="Normal 2 4 2 6 4 2" xfId="26364"/>
    <cellStyle name="Normal 2 4 2 6 4 2 2" xfId="26365"/>
    <cellStyle name="Normal 2 4 2 6 4 2 3" xfId="26366"/>
    <cellStyle name="Normal 2 4 2 6 4 3" xfId="26367"/>
    <cellStyle name="Normal 2 4 2 6 4 4" xfId="26368"/>
    <cellStyle name="Normal 2 4 2 6 4 5" xfId="26369"/>
    <cellStyle name="Normal 2 4 2 6 4 6" xfId="26370"/>
    <cellStyle name="Normal 2 4 2 6 5" xfId="26371"/>
    <cellStyle name="Normal 2 4 2 6 5 2" xfId="26372"/>
    <cellStyle name="Normal 2 4 2 6 5 2 2" xfId="26373"/>
    <cellStyle name="Normal 2 4 2 6 5 3" xfId="26374"/>
    <cellStyle name="Normal 2 4 2 6 5 4" xfId="26375"/>
    <cellStyle name="Normal 2 4 2 6 5 5" xfId="26376"/>
    <cellStyle name="Normal 2 4 2 6 6" xfId="26377"/>
    <cellStyle name="Normal 2 4 2 6 6 2" xfId="26378"/>
    <cellStyle name="Normal 2 4 2 6 6 3" xfId="26379"/>
    <cellStyle name="Normal 2 4 2 6 6 4" xfId="26380"/>
    <cellStyle name="Normal 2 4 2 6 7" xfId="26381"/>
    <cellStyle name="Normal 2 4 2 6 7 2" xfId="26382"/>
    <cellStyle name="Normal 2 4 2 6 8" xfId="26383"/>
    <cellStyle name="Normal 2 4 2 6 9" xfId="26384"/>
    <cellStyle name="Normal 2 4 2 7" xfId="26385"/>
    <cellStyle name="Normal 2 4 2 7 10" xfId="26386"/>
    <cellStyle name="Normal 2 4 2 7 11" xfId="26387"/>
    <cellStyle name="Normal 2 4 2 7 2" xfId="26388"/>
    <cellStyle name="Normal 2 4 2 7 2 2" xfId="26389"/>
    <cellStyle name="Normal 2 4 2 7 2 2 2" xfId="26390"/>
    <cellStyle name="Normal 2 4 2 7 2 2 2 2" xfId="26391"/>
    <cellStyle name="Normal 2 4 2 7 2 2 2 3" xfId="26392"/>
    <cellStyle name="Normal 2 4 2 7 2 2 3" xfId="26393"/>
    <cellStyle name="Normal 2 4 2 7 2 2 4" xfId="26394"/>
    <cellStyle name="Normal 2 4 2 7 2 2 5" xfId="26395"/>
    <cellStyle name="Normal 2 4 2 7 2 2 6" xfId="26396"/>
    <cellStyle name="Normal 2 4 2 7 2 3" xfId="26397"/>
    <cellStyle name="Normal 2 4 2 7 2 3 2" xfId="26398"/>
    <cellStyle name="Normal 2 4 2 7 2 3 2 2" xfId="26399"/>
    <cellStyle name="Normal 2 4 2 7 2 3 3" xfId="26400"/>
    <cellStyle name="Normal 2 4 2 7 2 3 4" xfId="26401"/>
    <cellStyle name="Normal 2 4 2 7 2 3 5" xfId="26402"/>
    <cellStyle name="Normal 2 4 2 7 2 4" xfId="26403"/>
    <cellStyle name="Normal 2 4 2 7 2 4 2" xfId="26404"/>
    <cellStyle name="Normal 2 4 2 7 2 4 3" xfId="26405"/>
    <cellStyle name="Normal 2 4 2 7 2 4 4" xfId="26406"/>
    <cellStyle name="Normal 2 4 2 7 2 5" xfId="26407"/>
    <cellStyle name="Normal 2 4 2 7 2 5 2" xfId="26408"/>
    <cellStyle name="Normal 2 4 2 7 2 6" xfId="26409"/>
    <cellStyle name="Normal 2 4 2 7 2 7" xfId="26410"/>
    <cellStyle name="Normal 2 4 2 7 2 8" xfId="26411"/>
    <cellStyle name="Normal 2 4 2 7 2 9" xfId="26412"/>
    <cellStyle name="Normal 2 4 2 7 3" xfId="26413"/>
    <cellStyle name="Normal 2 4 2 7 3 2" xfId="26414"/>
    <cellStyle name="Normal 2 4 2 7 3 2 2" xfId="26415"/>
    <cellStyle name="Normal 2 4 2 7 3 2 2 2" xfId="26416"/>
    <cellStyle name="Normal 2 4 2 7 3 2 2 3" xfId="26417"/>
    <cellStyle name="Normal 2 4 2 7 3 2 3" xfId="26418"/>
    <cellStyle name="Normal 2 4 2 7 3 2 4" xfId="26419"/>
    <cellStyle name="Normal 2 4 2 7 3 2 5" xfId="26420"/>
    <cellStyle name="Normal 2 4 2 7 3 2 6" xfId="26421"/>
    <cellStyle name="Normal 2 4 2 7 3 3" xfId="26422"/>
    <cellStyle name="Normal 2 4 2 7 3 3 2" xfId="26423"/>
    <cellStyle name="Normal 2 4 2 7 3 3 2 2" xfId="26424"/>
    <cellStyle name="Normal 2 4 2 7 3 3 3" xfId="26425"/>
    <cellStyle name="Normal 2 4 2 7 3 3 4" xfId="26426"/>
    <cellStyle name="Normal 2 4 2 7 3 3 5" xfId="26427"/>
    <cellStyle name="Normal 2 4 2 7 3 4" xfId="26428"/>
    <cellStyle name="Normal 2 4 2 7 3 4 2" xfId="26429"/>
    <cellStyle name="Normal 2 4 2 7 3 4 3" xfId="26430"/>
    <cellStyle name="Normal 2 4 2 7 3 4 4" xfId="26431"/>
    <cellStyle name="Normal 2 4 2 7 3 5" xfId="26432"/>
    <cellStyle name="Normal 2 4 2 7 3 5 2" xfId="26433"/>
    <cellStyle name="Normal 2 4 2 7 3 6" xfId="26434"/>
    <cellStyle name="Normal 2 4 2 7 3 7" xfId="26435"/>
    <cellStyle name="Normal 2 4 2 7 3 8" xfId="26436"/>
    <cellStyle name="Normal 2 4 2 7 3 9" xfId="26437"/>
    <cellStyle name="Normal 2 4 2 7 4" xfId="26438"/>
    <cellStyle name="Normal 2 4 2 7 4 2" xfId="26439"/>
    <cellStyle name="Normal 2 4 2 7 4 2 2" xfId="26440"/>
    <cellStyle name="Normal 2 4 2 7 4 2 3" xfId="26441"/>
    <cellStyle name="Normal 2 4 2 7 4 3" xfId="26442"/>
    <cellStyle name="Normal 2 4 2 7 4 4" xfId="26443"/>
    <cellStyle name="Normal 2 4 2 7 4 5" xfId="26444"/>
    <cellStyle name="Normal 2 4 2 7 4 6" xfId="26445"/>
    <cellStyle name="Normal 2 4 2 7 5" xfId="26446"/>
    <cellStyle name="Normal 2 4 2 7 5 2" xfId="26447"/>
    <cellStyle name="Normal 2 4 2 7 5 2 2" xfId="26448"/>
    <cellStyle name="Normal 2 4 2 7 5 3" xfId="26449"/>
    <cellStyle name="Normal 2 4 2 7 5 4" xfId="26450"/>
    <cellStyle name="Normal 2 4 2 7 5 5" xfId="26451"/>
    <cellStyle name="Normal 2 4 2 7 6" xfId="26452"/>
    <cellStyle name="Normal 2 4 2 7 6 2" xfId="26453"/>
    <cellStyle name="Normal 2 4 2 7 6 3" xfId="26454"/>
    <cellStyle name="Normal 2 4 2 7 6 4" xfId="26455"/>
    <cellStyle name="Normal 2 4 2 7 7" xfId="26456"/>
    <cellStyle name="Normal 2 4 2 7 7 2" xfId="26457"/>
    <cellStyle name="Normal 2 4 2 7 8" xfId="26458"/>
    <cellStyle name="Normal 2 4 2 7 9" xfId="26459"/>
    <cellStyle name="Normal 2 4 2 8" xfId="26460"/>
    <cellStyle name="Normal 2 4 2 8 10" xfId="26461"/>
    <cellStyle name="Normal 2 4 2 8 2" xfId="26462"/>
    <cellStyle name="Normal 2 4 2 8 2 2" xfId="26463"/>
    <cellStyle name="Normal 2 4 2 8 2 2 2" xfId="26464"/>
    <cellStyle name="Normal 2 4 2 8 2 2 3" xfId="26465"/>
    <cellStyle name="Normal 2 4 2 8 2 3" xfId="26466"/>
    <cellStyle name="Normal 2 4 2 8 2 4" xfId="26467"/>
    <cellStyle name="Normal 2 4 2 8 2 5" xfId="26468"/>
    <cellStyle name="Normal 2 4 2 8 2 6" xfId="26469"/>
    <cellStyle name="Normal 2 4 2 8 3" xfId="26470"/>
    <cellStyle name="Normal 2 4 2 8 3 2" xfId="26471"/>
    <cellStyle name="Normal 2 4 2 8 3 2 2" xfId="26472"/>
    <cellStyle name="Normal 2 4 2 8 3 2 3" xfId="26473"/>
    <cellStyle name="Normal 2 4 2 8 3 3" xfId="26474"/>
    <cellStyle name="Normal 2 4 2 8 3 4" xfId="26475"/>
    <cellStyle name="Normal 2 4 2 8 3 5" xfId="26476"/>
    <cellStyle name="Normal 2 4 2 8 3 6" xfId="26477"/>
    <cellStyle name="Normal 2 4 2 8 4" xfId="26478"/>
    <cellStyle name="Normal 2 4 2 8 4 2" xfId="26479"/>
    <cellStyle name="Normal 2 4 2 8 4 2 2" xfId="26480"/>
    <cellStyle name="Normal 2 4 2 8 4 3" xfId="26481"/>
    <cellStyle name="Normal 2 4 2 8 4 4" xfId="26482"/>
    <cellStyle name="Normal 2 4 2 8 4 5" xfId="26483"/>
    <cellStyle name="Normal 2 4 2 8 5" xfId="26484"/>
    <cellStyle name="Normal 2 4 2 8 5 2" xfId="26485"/>
    <cellStyle name="Normal 2 4 2 8 5 3" xfId="26486"/>
    <cellStyle name="Normal 2 4 2 8 5 4" xfId="26487"/>
    <cellStyle name="Normal 2 4 2 8 6" xfId="26488"/>
    <cellStyle name="Normal 2 4 2 8 6 2" xfId="26489"/>
    <cellStyle name="Normal 2 4 2 8 7" xfId="26490"/>
    <cellStyle name="Normal 2 4 2 8 8" xfId="26491"/>
    <cellStyle name="Normal 2 4 2 8 9" xfId="26492"/>
    <cellStyle name="Normal 2 4 2 9" xfId="26493"/>
    <cellStyle name="Normal 2 4 2 9 10" xfId="26494"/>
    <cellStyle name="Normal 2 4 2 9 2" xfId="26495"/>
    <cellStyle name="Normal 2 4 2 9 2 2" xfId="26496"/>
    <cellStyle name="Normal 2 4 2 9 2 2 2" xfId="26497"/>
    <cellStyle name="Normal 2 4 2 9 2 2 3" xfId="26498"/>
    <cellStyle name="Normal 2 4 2 9 2 3" xfId="26499"/>
    <cellStyle name="Normal 2 4 2 9 2 4" xfId="26500"/>
    <cellStyle name="Normal 2 4 2 9 2 5" xfId="26501"/>
    <cellStyle name="Normal 2 4 2 9 2 6" xfId="26502"/>
    <cellStyle name="Normal 2 4 2 9 3" xfId="26503"/>
    <cellStyle name="Normal 2 4 2 9 3 2" xfId="26504"/>
    <cellStyle name="Normal 2 4 2 9 3 2 2" xfId="26505"/>
    <cellStyle name="Normal 2 4 2 9 3 2 3" xfId="26506"/>
    <cellStyle name="Normal 2 4 2 9 3 3" xfId="26507"/>
    <cellStyle name="Normal 2 4 2 9 3 4" xfId="26508"/>
    <cellStyle name="Normal 2 4 2 9 3 5" xfId="26509"/>
    <cellStyle name="Normal 2 4 2 9 3 6" xfId="26510"/>
    <cellStyle name="Normal 2 4 2 9 4" xfId="26511"/>
    <cellStyle name="Normal 2 4 2 9 4 2" xfId="26512"/>
    <cellStyle name="Normal 2 4 2 9 4 2 2" xfId="26513"/>
    <cellStyle name="Normal 2 4 2 9 4 3" xfId="26514"/>
    <cellStyle name="Normal 2 4 2 9 4 4" xfId="26515"/>
    <cellStyle name="Normal 2 4 2 9 4 5" xfId="26516"/>
    <cellStyle name="Normal 2 4 2 9 5" xfId="26517"/>
    <cellStyle name="Normal 2 4 2 9 5 2" xfId="26518"/>
    <cellStyle name="Normal 2 4 2 9 5 3" xfId="26519"/>
    <cellStyle name="Normal 2 4 2 9 5 4" xfId="26520"/>
    <cellStyle name="Normal 2 4 2 9 6" xfId="26521"/>
    <cellStyle name="Normal 2 4 2 9 6 2" xfId="26522"/>
    <cellStyle name="Normal 2 4 2 9 7" xfId="26523"/>
    <cellStyle name="Normal 2 4 2 9 8" xfId="26524"/>
    <cellStyle name="Normal 2 4 2 9 9" xfId="26525"/>
    <cellStyle name="Normal 2 4 3" xfId="26526"/>
    <cellStyle name="Normal 2 4 3 2" xfId="26527"/>
    <cellStyle name="Normal 2 4 4" xfId="26528"/>
    <cellStyle name="Normal 2 4 4 2" xfId="26529"/>
    <cellStyle name="Normal 2 4 5" xfId="26530"/>
    <cellStyle name="Normal 2 4 6" xfId="26531"/>
    <cellStyle name="Normal 2 4 7" xfId="26532"/>
    <cellStyle name="Normal 2 4 8" xfId="26533"/>
    <cellStyle name="Normal 2 4 9" xfId="26534"/>
    <cellStyle name="Normal 2 40" xfId="26535"/>
    <cellStyle name="Normal 2 40 10" xfId="26536"/>
    <cellStyle name="Normal 2 40 2" xfId="26537"/>
    <cellStyle name="Normal 2 40 2 2" xfId="26538"/>
    <cellStyle name="Normal 2 40 2 2 2" xfId="26539"/>
    <cellStyle name="Normal 2 40 2 2 3" xfId="26540"/>
    <cellStyle name="Normal 2 40 2 3" xfId="26541"/>
    <cellStyle name="Normal 2 40 2 4" xfId="26542"/>
    <cellStyle name="Normal 2 40 2 5" xfId="26543"/>
    <cellStyle name="Normal 2 40 2 6" xfId="26544"/>
    <cellStyle name="Normal 2 40 3" xfId="26545"/>
    <cellStyle name="Normal 2 40 3 2" xfId="26546"/>
    <cellStyle name="Normal 2 40 3 2 2" xfId="26547"/>
    <cellStyle name="Normal 2 40 3 2 3" xfId="26548"/>
    <cellStyle name="Normal 2 40 3 3" xfId="26549"/>
    <cellStyle name="Normal 2 40 3 4" xfId="26550"/>
    <cellStyle name="Normal 2 40 3 5" xfId="26551"/>
    <cellStyle name="Normal 2 40 3 6" xfId="26552"/>
    <cellStyle name="Normal 2 40 4" xfId="26553"/>
    <cellStyle name="Normal 2 40 4 2" xfId="26554"/>
    <cellStyle name="Normal 2 40 4 2 2" xfId="26555"/>
    <cellStyle name="Normal 2 40 4 3" xfId="26556"/>
    <cellStyle name="Normal 2 40 4 4" xfId="26557"/>
    <cellStyle name="Normal 2 40 4 5" xfId="26558"/>
    <cellStyle name="Normal 2 40 4 6" xfId="26559"/>
    <cellStyle name="Normal 2 40 5" xfId="26560"/>
    <cellStyle name="Normal 2 40 5 2" xfId="26561"/>
    <cellStyle name="Normal 2 40 5 3" xfId="26562"/>
    <cellStyle name="Normal 2 40 5 4" xfId="26563"/>
    <cellStyle name="Normal 2 40 5 5" xfId="26564"/>
    <cellStyle name="Normal 2 40 6" xfId="26565"/>
    <cellStyle name="Normal 2 40 6 2" xfId="26566"/>
    <cellStyle name="Normal 2 40 6 3" xfId="26567"/>
    <cellStyle name="Normal 2 40 7" xfId="26568"/>
    <cellStyle name="Normal 2 40 7 2" xfId="26569"/>
    <cellStyle name="Normal 2 40 8" xfId="26570"/>
    <cellStyle name="Normal 2 40 9" xfId="26571"/>
    <cellStyle name="Normal 2 41" xfId="26572"/>
    <cellStyle name="Normal 2 41 10" xfId="26573"/>
    <cellStyle name="Normal 2 41 2" xfId="26574"/>
    <cellStyle name="Normal 2 41 2 2" xfId="26575"/>
    <cellStyle name="Normal 2 41 2 2 2" xfId="26576"/>
    <cellStyle name="Normal 2 41 2 2 3" xfId="26577"/>
    <cellStyle name="Normal 2 41 2 3" xfId="26578"/>
    <cellStyle name="Normal 2 41 2 4" xfId="26579"/>
    <cellStyle name="Normal 2 41 2 5" xfId="26580"/>
    <cellStyle name="Normal 2 41 2 6" xfId="26581"/>
    <cellStyle name="Normal 2 41 3" xfId="26582"/>
    <cellStyle name="Normal 2 41 3 2" xfId="26583"/>
    <cellStyle name="Normal 2 41 3 2 2" xfId="26584"/>
    <cellStyle name="Normal 2 41 3 2 3" xfId="26585"/>
    <cellStyle name="Normal 2 41 3 3" xfId="26586"/>
    <cellStyle name="Normal 2 41 3 4" xfId="26587"/>
    <cellStyle name="Normal 2 41 3 5" xfId="26588"/>
    <cellStyle name="Normal 2 41 3 6" xfId="26589"/>
    <cellStyle name="Normal 2 41 4" xfId="26590"/>
    <cellStyle name="Normal 2 41 4 2" xfId="26591"/>
    <cellStyle name="Normal 2 41 4 2 2" xfId="26592"/>
    <cellStyle name="Normal 2 41 4 3" xfId="26593"/>
    <cellStyle name="Normal 2 41 4 4" xfId="26594"/>
    <cellStyle name="Normal 2 41 4 5" xfId="26595"/>
    <cellStyle name="Normal 2 41 4 6" xfId="26596"/>
    <cellStyle name="Normal 2 41 5" xfId="26597"/>
    <cellStyle name="Normal 2 41 5 2" xfId="26598"/>
    <cellStyle name="Normal 2 41 5 3" xfId="26599"/>
    <cellStyle name="Normal 2 41 5 4" xfId="26600"/>
    <cellStyle name="Normal 2 41 5 5" xfId="26601"/>
    <cellStyle name="Normal 2 41 6" xfId="26602"/>
    <cellStyle name="Normal 2 41 6 2" xfId="26603"/>
    <cellStyle name="Normal 2 41 6 3" xfId="26604"/>
    <cellStyle name="Normal 2 41 7" xfId="26605"/>
    <cellStyle name="Normal 2 41 7 2" xfId="26606"/>
    <cellStyle name="Normal 2 41 8" xfId="26607"/>
    <cellStyle name="Normal 2 41 9" xfId="26608"/>
    <cellStyle name="Normal 2 42" xfId="26609"/>
    <cellStyle name="Normal 2 42 10" xfId="26610"/>
    <cellStyle name="Normal 2 42 2" xfId="26611"/>
    <cellStyle name="Normal 2 42 2 2" xfId="26612"/>
    <cellStyle name="Normal 2 42 2 2 2" xfId="26613"/>
    <cellStyle name="Normal 2 42 2 2 3" xfId="26614"/>
    <cellStyle name="Normal 2 42 2 3" xfId="26615"/>
    <cellStyle name="Normal 2 42 2 4" xfId="26616"/>
    <cellStyle name="Normal 2 42 2 5" xfId="26617"/>
    <cellStyle name="Normal 2 42 2 6" xfId="26618"/>
    <cellStyle name="Normal 2 42 3" xfId="26619"/>
    <cellStyle name="Normal 2 42 3 2" xfId="26620"/>
    <cellStyle name="Normal 2 42 3 2 2" xfId="26621"/>
    <cellStyle name="Normal 2 42 3 2 3" xfId="26622"/>
    <cellStyle name="Normal 2 42 3 3" xfId="26623"/>
    <cellStyle name="Normal 2 42 3 4" xfId="26624"/>
    <cellStyle name="Normal 2 42 3 5" xfId="26625"/>
    <cellStyle name="Normal 2 42 3 6" xfId="26626"/>
    <cellStyle name="Normal 2 42 4" xfId="26627"/>
    <cellStyle name="Normal 2 42 4 2" xfId="26628"/>
    <cellStyle name="Normal 2 42 4 2 2" xfId="26629"/>
    <cellStyle name="Normal 2 42 4 3" xfId="26630"/>
    <cellStyle name="Normal 2 42 4 4" xfId="26631"/>
    <cellStyle name="Normal 2 42 4 5" xfId="26632"/>
    <cellStyle name="Normal 2 42 4 6" xfId="26633"/>
    <cellStyle name="Normal 2 42 5" xfId="26634"/>
    <cellStyle name="Normal 2 42 5 2" xfId="26635"/>
    <cellStyle name="Normal 2 42 5 3" xfId="26636"/>
    <cellStyle name="Normal 2 42 5 4" xfId="26637"/>
    <cellStyle name="Normal 2 42 5 5" xfId="26638"/>
    <cellStyle name="Normal 2 42 6" xfId="26639"/>
    <cellStyle name="Normal 2 42 6 2" xfId="26640"/>
    <cellStyle name="Normal 2 42 6 3" xfId="26641"/>
    <cellStyle name="Normal 2 42 7" xfId="26642"/>
    <cellStyle name="Normal 2 42 7 2" xfId="26643"/>
    <cellStyle name="Normal 2 42 8" xfId="26644"/>
    <cellStyle name="Normal 2 42 9" xfId="26645"/>
    <cellStyle name="Normal 2 43" xfId="26646"/>
    <cellStyle name="Normal 2 43 10" xfId="26647"/>
    <cellStyle name="Normal 2 43 2" xfId="26648"/>
    <cellStyle name="Normal 2 43 2 2" xfId="26649"/>
    <cellStyle name="Normal 2 43 2 2 2" xfId="26650"/>
    <cellStyle name="Normal 2 43 2 2 3" xfId="26651"/>
    <cellStyle name="Normal 2 43 2 3" xfId="26652"/>
    <cellStyle name="Normal 2 43 2 4" xfId="26653"/>
    <cellStyle name="Normal 2 43 2 5" xfId="26654"/>
    <cellStyle name="Normal 2 43 2 6" xfId="26655"/>
    <cellStyle name="Normal 2 43 3" xfId="26656"/>
    <cellStyle name="Normal 2 43 3 2" xfId="26657"/>
    <cellStyle name="Normal 2 43 3 2 2" xfId="26658"/>
    <cellStyle name="Normal 2 43 3 2 3" xfId="26659"/>
    <cellStyle name="Normal 2 43 3 3" xfId="26660"/>
    <cellStyle name="Normal 2 43 3 4" xfId="26661"/>
    <cellStyle name="Normal 2 43 3 5" xfId="26662"/>
    <cellStyle name="Normal 2 43 3 6" xfId="26663"/>
    <cellStyle name="Normal 2 43 4" xfId="26664"/>
    <cellStyle name="Normal 2 43 4 2" xfId="26665"/>
    <cellStyle name="Normal 2 43 4 2 2" xfId="26666"/>
    <cellStyle name="Normal 2 43 4 3" xfId="26667"/>
    <cellStyle name="Normal 2 43 4 4" xfId="26668"/>
    <cellStyle name="Normal 2 43 4 5" xfId="26669"/>
    <cellStyle name="Normal 2 43 4 6" xfId="26670"/>
    <cellStyle name="Normal 2 43 5" xfId="26671"/>
    <cellStyle name="Normal 2 43 5 2" xfId="26672"/>
    <cellStyle name="Normal 2 43 5 3" xfId="26673"/>
    <cellStyle name="Normal 2 43 5 4" xfId="26674"/>
    <cellStyle name="Normal 2 43 5 5" xfId="26675"/>
    <cellStyle name="Normal 2 43 6" xfId="26676"/>
    <cellStyle name="Normal 2 43 6 2" xfId="26677"/>
    <cellStyle name="Normal 2 43 6 3" xfId="26678"/>
    <cellStyle name="Normal 2 43 7" xfId="26679"/>
    <cellStyle name="Normal 2 43 7 2" xfId="26680"/>
    <cellStyle name="Normal 2 43 8" xfId="26681"/>
    <cellStyle name="Normal 2 43 9" xfId="26682"/>
    <cellStyle name="Normal 2 44" xfId="26683"/>
    <cellStyle name="Normal 2 44 10" xfId="26684"/>
    <cellStyle name="Normal 2 44 2" xfId="26685"/>
    <cellStyle name="Normal 2 44 2 2" xfId="26686"/>
    <cellStyle name="Normal 2 44 2 2 2" xfId="26687"/>
    <cellStyle name="Normal 2 44 2 2 3" xfId="26688"/>
    <cellStyle name="Normal 2 44 2 3" xfId="26689"/>
    <cellStyle name="Normal 2 44 2 4" xfId="26690"/>
    <cellStyle name="Normal 2 44 2 5" xfId="26691"/>
    <cellStyle name="Normal 2 44 2 6" xfId="26692"/>
    <cellStyle name="Normal 2 44 3" xfId="26693"/>
    <cellStyle name="Normal 2 44 3 2" xfId="26694"/>
    <cellStyle name="Normal 2 44 3 2 2" xfId="26695"/>
    <cellStyle name="Normal 2 44 3 2 3" xfId="26696"/>
    <cellStyle name="Normal 2 44 3 3" xfId="26697"/>
    <cellStyle name="Normal 2 44 3 4" xfId="26698"/>
    <cellStyle name="Normal 2 44 3 5" xfId="26699"/>
    <cellStyle name="Normal 2 44 3 6" xfId="26700"/>
    <cellStyle name="Normal 2 44 4" xfId="26701"/>
    <cellStyle name="Normal 2 44 4 2" xfId="26702"/>
    <cellStyle name="Normal 2 44 4 2 2" xfId="26703"/>
    <cellStyle name="Normal 2 44 4 3" xfId="26704"/>
    <cellStyle name="Normal 2 44 4 4" xfId="26705"/>
    <cellStyle name="Normal 2 44 4 5" xfId="26706"/>
    <cellStyle name="Normal 2 44 4 6" xfId="26707"/>
    <cellStyle name="Normal 2 44 5" xfId="26708"/>
    <cellStyle name="Normal 2 44 5 2" xfId="26709"/>
    <cellStyle name="Normal 2 44 5 3" xfId="26710"/>
    <cellStyle name="Normal 2 44 5 4" xfId="26711"/>
    <cellStyle name="Normal 2 44 5 5" xfId="26712"/>
    <cellStyle name="Normal 2 44 6" xfId="26713"/>
    <cellStyle name="Normal 2 44 6 2" xfId="26714"/>
    <cellStyle name="Normal 2 44 6 3" xfId="26715"/>
    <cellStyle name="Normal 2 44 7" xfId="26716"/>
    <cellStyle name="Normal 2 44 7 2" xfId="26717"/>
    <cellStyle name="Normal 2 44 8" xfId="26718"/>
    <cellStyle name="Normal 2 44 9" xfId="26719"/>
    <cellStyle name="Normal 2 45" xfId="26720"/>
    <cellStyle name="Normal 2 45 10" xfId="26721"/>
    <cellStyle name="Normal 2 45 2" xfId="26722"/>
    <cellStyle name="Normal 2 45 2 2" xfId="26723"/>
    <cellStyle name="Normal 2 45 2 2 2" xfId="26724"/>
    <cellStyle name="Normal 2 45 2 2 3" xfId="26725"/>
    <cellStyle name="Normal 2 45 2 3" xfId="26726"/>
    <cellStyle name="Normal 2 45 2 4" xfId="26727"/>
    <cellStyle name="Normal 2 45 2 5" xfId="26728"/>
    <cellStyle name="Normal 2 45 2 6" xfId="26729"/>
    <cellStyle name="Normal 2 45 3" xfId="26730"/>
    <cellStyle name="Normal 2 45 3 2" xfId="26731"/>
    <cellStyle name="Normal 2 45 3 2 2" xfId="26732"/>
    <cellStyle name="Normal 2 45 3 2 3" xfId="26733"/>
    <cellStyle name="Normal 2 45 3 3" xfId="26734"/>
    <cellStyle name="Normal 2 45 3 4" xfId="26735"/>
    <cellStyle name="Normal 2 45 3 5" xfId="26736"/>
    <cellStyle name="Normal 2 45 3 6" xfId="26737"/>
    <cellStyle name="Normal 2 45 4" xfId="26738"/>
    <cellStyle name="Normal 2 45 4 2" xfId="26739"/>
    <cellStyle name="Normal 2 45 4 2 2" xfId="26740"/>
    <cellStyle name="Normal 2 45 4 3" xfId="26741"/>
    <cellStyle name="Normal 2 45 4 4" xfId="26742"/>
    <cellStyle name="Normal 2 45 4 5" xfId="26743"/>
    <cellStyle name="Normal 2 45 4 6" xfId="26744"/>
    <cellStyle name="Normal 2 45 5" xfId="26745"/>
    <cellStyle name="Normal 2 45 5 2" xfId="26746"/>
    <cellStyle name="Normal 2 45 5 3" xfId="26747"/>
    <cellStyle name="Normal 2 45 5 4" xfId="26748"/>
    <cellStyle name="Normal 2 45 5 5" xfId="26749"/>
    <cellStyle name="Normal 2 45 6" xfId="26750"/>
    <cellStyle name="Normal 2 45 6 2" xfId="26751"/>
    <cellStyle name="Normal 2 45 6 3" xfId="26752"/>
    <cellStyle name="Normal 2 45 7" xfId="26753"/>
    <cellStyle name="Normal 2 45 7 2" xfId="26754"/>
    <cellStyle name="Normal 2 45 8" xfId="26755"/>
    <cellStyle name="Normal 2 45 9" xfId="26756"/>
    <cellStyle name="Normal 2 46" xfId="26757"/>
    <cellStyle name="Normal 2 46 10" xfId="26758"/>
    <cellStyle name="Normal 2 46 2" xfId="26759"/>
    <cellStyle name="Normal 2 46 2 2" xfId="26760"/>
    <cellStyle name="Normal 2 46 2 2 2" xfId="26761"/>
    <cellStyle name="Normal 2 46 2 2 3" xfId="26762"/>
    <cellStyle name="Normal 2 46 2 3" xfId="26763"/>
    <cellStyle name="Normal 2 46 2 4" xfId="26764"/>
    <cellStyle name="Normal 2 46 2 5" xfId="26765"/>
    <cellStyle name="Normal 2 46 2 6" xfId="26766"/>
    <cellStyle name="Normal 2 46 3" xfId="26767"/>
    <cellStyle name="Normal 2 46 3 2" xfId="26768"/>
    <cellStyle name="Normal 2 46 3 2 2" xfId="26769"/>
    <cellStyle name="Normal 2 46 3 2 3" xfId="26770"/>
    <cellStyle name="Normal 2 46 3 3" xfId="26771"/>
    <cellStyle name="Normal 2 46 3 4" xfId="26772"/>
    <cellStyle name="Normal 2 46 3 5" xfId="26773"/>
    <cellStyle name="Normal 2 46 3 6" xfId="26774"/>
    <cellStyle name="Normal 2 46 4" xfId="26775"/>
    <cellStyle name="Normal 2 46 4 2" xfId="26776"/>
    <cellStyle name="Normal 2 46 4 2 2" xfId="26777"/>
    <cellStyle name="Normal 2 46 4 3" xfId="26778"/>
    <cellStyle name="Normal 2 46 4 4" xfId="26779"/>
    <cellStyle name="Normal 2 46 4 5" xfId="26780"/>
    <cellStyle name="Normal 2 46 4 6" xfId="26781"/>
    <cellStyle name="Normal 2 46 5" xfId="26782"/>
    <cellStyle name="Normal 2 46 5 2" xfId="26783"/>
    <cellStyle name="Normal 2 46 5 3" xfId="26784"/>
    <cellStyle name="Normal 2 46 5 4" xfId="26785"/>
    <cellStyle name="Normal 2 46 5 5" xfId="26786"/>
    <cellStyle name="Normal 2 46 6" xfId="26787"/>
    <cellStyle name="Normal 2 46 6 2" xfId="26788"/>
    <cellStyle name="Normal 2 46 6 3" xfId="26789"/>
    <cellStyle name="Normal 2 46 7" xfId="26790"/>
    <cellStyle name="Normal 2 46 7 2" xfId="26791"/>
    <cellStyle name="Normal 2 46 8" xfId="26792"/>
    <cellStyle name="Normal 2 46 9" xfId="26793"/>
    <cellStyle name="Normal 2 47" xfId="26794"/>
    <cellStyle name="Normal 2 47 10" xfId="26795"/>
    <cellStyle name="Normal 2 47 2" xfId="26796"/>
    <cellStyle name="Normal 2 47 2 2" xfId="26797"/>
    <cellStyle name="Normal 2 47 2 2 2" xfId="26798"/>
    <cellStyle name="Normal 2 47 2 2 3" xfId="26799"/>
    <cellStyle name="Normal 2 47 2 3" xfId="26800"/>
    <cellStyle name="Normal 2 47 2 4" xfId="26801"/>
    <cellStyle name="Normal 2 47 2 5" xfId="26802"/>
    <cellStyle name="Normal 2 47 2 6" xfId="26803"/>
    <cellStyle name="Normal 2 47 3" xfId="26804"/>
    <cellStyle name="Normal 2 47 3 2" xfId="26805"/>
    <cellStyle name="Normal 2 47 3 2 2" xfId="26806"/>
    <cellStyle name="Normal 2 47 3 2 3" xfId="26807"/>
    <cellStyle name="Normal 2 47 3 3" xfId="26808"/>
    <cellStyle name="Normal 2 47 3 4" xfId="26809"/>
    <cellStyle name="Normal 2 47 3 5" xfId="26810"/>
    <cellStyle name="Normal 2 47 3 6" xfId="26811"/>
    <cellStyle name="Normal 2 47 4" xfId="26812"/>
    <cellStyle name="Normal 2 47 4 2" xfId="26813"/>
    <cellStyle name="Normal 2 47 4 2 2" xfId="26814"/>
    <cellStyle name="Normal 2 47 4 3" xfId="26815"/>
    <cellStyle name="Normal 2 47 4 4" xfId="26816"/>
    <cellStyle name="Normal 2 47 4 5" xfId="26817"/>
    <cellStyle name="Normal 2 47 4 6" xfId="26818"/>
    <cellStyle name="Normal 2 47 5" xfId="26819"/>
    <cellStyle name="Normal 2 47 5 2" xfId="26820"/>
    <cellStyle name="Normal 2 47 5 3" xfId="26821"/>
    <cellStyle name="Normal 2 47 5 4" xfId="26822"/>
    <cellStyle name="Normal 2 47 5 5" xfId="26823"/>
    <cellStyle name="Normal 2 47 6" xfId="26824"/>
    <cellStyle name="Normal 2 47 6 2" xfId="26825"/>
    <cellStyle name="Normal 2 47 6 3" xfId="26826"/>
    <cellStyle name="Normal 2 47 7" xfId="26827"/>
    <cellStyle name="Normal 2 47 7 2" xfId="26828"/>
    <cellStyle name="Normal 2 47 8" xfId="26829"/>
    <cellStyle name="Normal 2 47 9" xfId="26830"/>
    <cellStyle name="Normal 2 48" xfId="26831"/>
    <cellStyle name="Normal 2 48 10" xfId="26832"/>
    <cellStyle name="Normal 2 48 2" xfId="26833"/>
    <cellStyle name="Normal 2 48 2 2" xfId="26834"/>
    <cellStyle name="Normal 2 48 2 2 2" xfId="26835"/>
    <cellStyle name="Normal 2 48 2 2 3" xfId="26836"/>
    <cellStyle name="Normal 2 48 2 3" xfId="26837"/>
    <cellStyle name="Normal 2 48 2 4" xfId="26838"/>
    <cellStyle name="Normal 2 48 2 5" xfId="26839"/>
    <cellStyle name="Normal 2 48 2 6" xfId="26840"/>
    <cellStyle name="Normal 2 48 3" xfId="26841"/>
    <cellStyle name="Normal 2 48 3 2" xfId="26842"/>
    <cellStyle name="Normal 2 48 3 2 2" xfId="26843"/>
    <cellStyle name="Normal 2 48 3 2 3" xfId="26844"/>
    <cellStyle name="Normal 2 48 3 3" xfId="26845"/>
    <cellStyle name="Normal 2 48 3 4" xfId="26846"/>
    <cellStyle name="Normal 2 48 3 5" xfId="26847"/>
    <cellStyle name="Normal 2 48 3 6" xfId="26848"/>
    <cellStyle name="Normal 2 48 4" xfId="26849"/>
    <cellStyle name="Normal 2 48 4 2" xfId="26850"/>
    <cellStyle name="Normal 2 48 4 2 2" xfId="26851"/>
    <cellStyle name="Normal 2 48 4 3" xfId="26852"/>
    <cellStyle name="Normal 2 48 4 4" xfId="26853"/>
    <cellStyle name="Normal 2 48 4 5" xfId="26854"/>
    <cellStyle name="Normal 2 48 4 6" xfId="26855"/>
    <cellStyle name="Normal 2 48 5" xfId="26856"/>
    <cellStyle name="Normal 2 48 5 2" xfId="26857"/>
    <cellStyle name="Normal 2 48 5 3" xfId="26858"/>
    <cellStyle name="Normal 2 48 5 4" xfId="26859"/>
    <cellStyle name="Normal 2 48 5 5" xfId="26860"/>
    <cellStyle name="Normal 2 48 6" xfId="26861"/>
    <cellStyle name="Normal 2 48 6 2" xfId="26862"/>
    <cellStyle name="Normal 2 48 6 3" xfId="26863"/>
    <cellStyle name="Normal 2 48 7" xfId="26864"/>
    <cellStyle name="Normal 2 48 7 2" xfId="26865"/>
    <cellStyle name="Normal 2 48 8" xfId="26866"/>
    <cellStyle name="Normal 2 48 9" xfId="26867"/>
    <cellStyle name="Normal 2 49" xfId="26868"/>
    <cellStyle name="Normal 2 49 10" xfId="26869"/>
    <cellStyle name="Normal 2 49 2" xfId="26870"/>
    <cellStyle name="Normal 2 49 2 2" xfId="26871"/>
    <cellStyle name="Normal 2 49 2 2 2" xfId="26872"/>
    <cellStyle name="Normal 2 49 2 2 3" xfId="26873"/>
    <cellStyle name="Normal 2 49 2 3" xfId="26874"/>
    <cellStyle name="Normal 2 49 2 4" xfId="26875"/>
    <cellStyle name="Normal 2 49 2 5" xfId="26876"/>
    <cellStyle name="Normal 2 49 2 6" xfId="26877"/>
    <cellStyle name="Normal 2 49 3" xfId="26878"/>
    <cellStyle name="Normal 2 49 3 2" xfId="26879"/>
    <cellStyle name="Normal 2 49 3 2 2" xfId="26880"/>
    <cellStyle name="Normal 2 49 3 2 3" xfId="26881"/>
    <cellStyle name="Normal 2 49 3 3" xfId="26882"/>
    <cellStyle name="Normal 2 49 3 4" xfId="26883"/>
    <cellStyle name="Normal 2 49 3 5" xfId="26884"/>
    <cellStyle name="Normal 2 49 3 6" xfId="26885"/>
    <cellStyle name="Normal 2 49 4" xfId="26886"/>
    <cellStyle name="Normal 2 49 4 2" xfId="26887"/>
    <cellStyle name="Normal 2 49 4 2 2" xfId="26888"/>
    <cellStyle name="Normal 2 49 4 3" xfId="26889"/>
    <cellStyle name="Normal 2 49 4 4" xfId="26890"/>
    <cellStyle name="Normal 2 49 4 5" xfId="26891"/>
    <cellStyle name="Normal 2 49 4 6" xfId="26892"/>
    <cellStyle name="Normal 2 49 5" xfId="26893"/>
    <cellStyle name="Normal 2 49 5 2" xfId="26894"/>
    <cellStyle name="Normal 2 49 5 3" xfId="26895"/>
    <cellStyle name="Normal 2 49 5 4" xfId="26896"/>
    <cellStyle name="Normal 2 49 5 5" xfId="26897"/>
    <cellStyle name="Normal 2 49 6" xfId="26898"/>
    <cellStyle name="Normal 2 49 6 2" xfId="26899"/>
    <cellStyle name="Normal 2 49 6 3" xfId="26900"/>
    <cellStyle name="Normal 2 49 7" xfId="26901"/>
    <cellStyle name="Normal 2 49 7 2" xfId="26902"/>
    <cellStyle name="Normal 2 49 8" xfId="26903"/>
    <cellStyle name="Normal 2 49 9" xfId="26904"/>
    <cellStyle name="Normal 2 5" xfId="26905"/>
    <cellStyle name="Normal 2 5 2" xfId="26906"/>
    <cellStyle name="Normal 2 5 2 10" xfId="26907"/>
    <cellStyle name="Normal 2 5 2 10 10" xfId="26908"/>
    <cellStyle name="Normal 2 5 2 10 2" xfId="26909"/>
    <cellStyle name="Normal 2 5 2 10 2 2" xfId="26910"/>
    <cellStyle name="Normal 2 5 2 10 2 2 2" xfId="26911"/>
    <cellStyle name="Normal 2 5 2 10 2 2 3" xfId="26912"/>
    <cellStyle name="Normal 2 5 2 10 2 3" xfId="26913"/>
    <cellStyle name="Normal 2 5 2 10 2 4" xfId="26914"/>
    <cellStyle name="Normal 2 5 2 10 2 5" xfId="26915"/>
    <cellStyle name="Normal 2 5 2 10 2 6" xfId="26916"/>
    <cellStyle name="Normal 2 5 2 10 3" xfId="26917"/>
    <cellStyle name="Normal 2 5 2 10 3 2" xfId="26918"/>
    <cellStyle name="Normal 2 5 2 10 3 2 2" xfId="26919"/>
    <cellStyle name="Normal 2 5 2 10 3 2 3" xfId="26920"/>
    <cellStyle name="Normal 2 5 2 10 3 3" xfId="26921"/>
    <cellStyle name="Normal 2 5 2 10 3 4" xfId="26922"/>
    <cellStyle name="Normal 2 5 2 10 3 5" xfId="26923"/>
    <cellStyle name="Normal 2 5 2 10 3 6" xfId="26924"/>
    <cellStyle name="Normal 2 5 2 10 4" xfId="26925"/>
    <cellStyle name="Normal 2 5 2 10 4 2" xfId="26926"/>
    <cellStyle name="Normal 2 5 2 10 4 2 2" xfId="26927"/>
    <cellStyle name="Normal 2 5 2 10 4 3" xfId="26928"/>
    <cellStyle name="Normal 2 5 2 10 4 4" xfId="26929"/>
    <cellStyle name="Normal 2 5 2 10 4 5" xfId="26930"/>
    <cellStyle name="Normal 2 5 2 10 5" xfId="26931"/>
    <cellStyle name="Normal 2 5 2 10 5 2" xfId="26932"/>
    <cellStyle name="Normal 2 5 2 10 5 3" xfId="26933"/>
    <cellStyle name="Normal 2 5 2 10 5 4" xfId="26934"/>
    <cellStyle name="Normal 2 5 2 10 6" xfId="26935"/>
    <cellStyle name="Normal 2 5 2 10 6 2" xfId="26936"/>
    <cellStyle name="Normal 2 5 2 10 7" xfId="26937"/>
    <cellStyle name="Normal 2 5 2 10 8" xfId="26938"/>
    <cellStyle name="Normal 2 5 2 10 9" xfId="26939"/>
    <cellStyle name="Normal 2 5 2 11" xfId="26940"/>
    <cellStyle name="Normal 2 5 2 11 10" xfId="26941"/>
    <cellStyle name="Normal 2 5 2 11 2" xfId="26942"/>
    <cellStyle name="Normal 2 5 2 11 2 2" xfId="26943"/>
    <cellStyle name="Normal 2 5 2 11 2 2 2" xfId="26944"/>
    <cellStyle name="Normal 2 5 2 11 2 2 3" xfId="26945"/>
    <cellStyle name="Normal 2 5 2 11 2 3" xfId="26946"/>
    <cellStyle name="Normal 2 5 2 11 2 4" xfId="26947"/>
    <cellStyle name="Normal 2 5 2 11 2 5" xfId="26948"/>
    <cellStyle name="Normal 2 5 2 11 2 6" xfId="26949"/>
    <cellStyle name="Normal 2 5 2 11 3" xfId="26950"/>
    <cellStyle name="Normal 2 5 2 11 3 2" xfId="26951"/>
    <cellStyle name="Normal 2 5 2 11 3 2 2" xfId="26952"/>
    <cellStyle name="Normal 2 5 2 11 3 2 3" xfId="26953"/>
    <cellStyle name="Normal 2 5 2 11 3 3" xfId="26954"/>
    <cellStyle name="Normal 2 5 2 11 3 4" xfId="26955"/>
    <cellStyle name="Normal 2 5 2 11 3 5" xfId="26956"/>
    <cellStyle name="Normal 2 5 2 11 3 6" xfId="26957"/>
    <cellStyle name="Normal 2 5 2 11 4" xfId="26958"/>
    <cellStyle name="Normal 2 5 2 11 4 2" xfId="26959"/>
    <cellStyle name="Normal 2 5 2 11 4 2 2" xfId="26960"/>
    <cellStyle name="Normal 2 5 2 11 4 3" xfId="26961"/>
    <cellStyle name="Normal 2 5 2 11 4 4" xfId="26962"/>
    <cellStyle name="Normal 2 5 2 11 4 5" xfId="26963"/>
    <cellStyle name="Normal 2 5 2 11 5" xfId="26964"/>
    <cellStyle name="Normal 2 5 2 11 5 2" xfId="26965"/>
    <cellStyle name="Normal 2 5 2 11 5 3" xfId="26966"/>
    <cellStyle name="Normal 2 5 2 11 5 4" xfId="26967"/>
    <cellStyle name="Normal 2 5 2 11 6" xfId="26968"/>
    <cellStyle name="Normal 2 5 2 11 6 2" xfId="26969"/>
    <cellStyle name="Normal 2 5 2 11 7" xfId="26970"/>
    <cellStyle name="Normal 2 5 2 11 8" xfId="26971"/>
    <cellStyle name="Normal 2 5 2 11 9" xfId="26972"/>
    <cellStyle name="Normal 2 5 2 12" xfId="26973"/>
    <cellStyle name="Normal 2 5 2 12 10" xfId="26974"/>
    <cellStyle name="Normal 2 5 2 12 2" xfId="26975"/>
    <cellStyle name="Normal 2 5 2 12 2 2" xfId="26976"/>
    <cellStyle name="Normal 2 5 2 12 2 2 2" xfId="26977"/>
    <cellStyle name="Normal 2 5 2 12 2 2 3" xfId="26978"/>
    <cellStyle name="Normal 2 5 2 12 2 3" xfId="26979"/>
    <cellStyle name="Normal 2 5 2 12 2 4" xfId="26980"/>
    <cellStyle name="Normal 2 5 2 12 2 5" xfId="26981"/>
    <cellStyle name="Normal 2 5 2 12 2 6" xfId="26982"/>
    <cellStyle name="Normal 2 5 2 12 3" xfId="26983"/>
    <cellStyle name="Normal 2 5 2 12 3 2" xfId="26984"/>
    <cellStyle name="Normal 2 5 2 12 3 2 2" xfId="26985"/>
    <cellStyle name="Normal 2 5 2 12 3 2 3" xfId="26986"/>
    <cellStyle name="Normal 2 5 2 12 3 3" xfId="26987"/>
    <cellStyle name="Normal 2 5 2 12 3 4" xfId="26988"/>
    <cellStyle name="Normal 2 5 2 12 3 5" xfId="26989"/>
    <cellStyle name="Normal 2 5 2 12 3 6" xfId="26990"/>
    <cellStyle name="Normal 2 5 2 12 4" xfId="26991"/>
    <cellStyle name="Normal 2 5 2 12 4 2" xfId="26992"/>
    <cellStyle name="Normal 2 5 2 12 4 2 2" xfId="26993"/>
    <cellStyle name="Normal 2 5 2 12 4 3" xfId="26994"/>
    <cellStyle name="Normal 2 5 2 12 4 4" xfId="26995"/>
    <cellStyle name="Normal 2 5 2 12 4 5" xfId="26996"/>
    <cellStyle name="Normal 2 5 2 12 5" xfId="26997"/>
    <cellStyle name="Normal 2 5 2 12 5 2" xfId="26998"/>
    <cellStyle name="Normal 2 5 2 12 5 3" xfId="26999"/>
    <cellStyle name="Normal 2 5 2 12 5 4" xfId="27000"/>
    <cellStyle name="Normal 2 5 2 12 6" xfId="27001"/>
    <cellStyle name="Normal 2 5 2 12 6 2" xfId="27002"/>
    <cellStyle name="Normal 2 5 2 12 7" xfId="27003"/>
    <cellStyle name="Normal 2 5 2 12 8" xfId="27004"/>
    <cellStyle name="Normal 2 5 2 12 9" xfId="27005"/>
    <cellStyle name="Normal 2 5 2 13" xfId="27006"/>
    <cellStyle name="Normal 2 5 2 13 2" xfId="27007"/>
    <cellStyle name="Normal 2 5 2 13 2 2" xfId="27008"/>
    <cellStyle name="Normal 2 5 2 13 2 2 2" xfId="27009"/>
    <cellStyle name="Normal 2 5 2 13 2 2 3" xfId="27010"/>
    <cellStyle name="Normal 2 5 2 13 2 3" xfId="27011"/>
    <cellStyle name="Normal 2 5 2 13 2 4" xfId="27012"/>
    <cellStyle name="Normal 2 5 2 13 2 5" xfId="27013"/>
    <cellStyle name="Normal 2 5 2 13 2 6" xfId="27014"/>
    <cellStyle name="Normal 2 5 2 13 3" xfId="27015"/>
    <cellStyle name="Normal 2 5 2 13 3 2" xfId="27016"/>
    <cellStyle name="Normal 2 5 2 13 3 2 2" xfId="27017"/>
    <cellStyle name="Normal 2 5 2 13 3 3" xfId="27018"/>
    <cellStyle name="Normal 2 5 2 13 3 4" xfId="27019"/>
    <cellStyle name="Normal 2 5 2 13 3 5" xfId="27020"/>
    <cellStyle name="Normal 2 5 2 13 4" xfId="27021"/>
    <cellStyle name="Normal 2 5 2 13 4 2" xfId="27022"/>
    <cellStyle name="Normal 2 5 2 13 4 3" xfId="27023"/>
    <cellStyle name="Normal 2 5 2 13 4 4" xfId="27024"/>
    <cellStyle name="Normal 2 5 2 13 5" xfId="27025"/>
    <cellStyle name="Normal 2 5 2 13 5 2" xfId="27026"/>
    <cellStyle name="Normal 2 5 2 13 6" xfId="27027"/>
    <cellStyle name="Normal 2 5 2 13 7" xfId="27028"/>
    <cellStyle name="Normal 2 5 2 13 8" xfId="27029"/>
    <cellStyle name="Normal 2 5 2 13 9" xfId="27030"/>
    <cellStyle name="Normal 2 5 2 14" xfId="27031"/>
    <cellStyle name="Normal 2 5 2 14 2" xfId="27032"/>
    <cellStyle name="Normal 2 5 2 14 2 2" xfId="27033"/>
    <cellStyle name="Normal 2 5 2 14 2 2 2" xfId="27034"/>
    <cellStyle name="Normal 2 5 2 14 2 2 3" xfId="27035"/>
    <cellStyle name="Normal 2 5 2 14 2 3" xfId="27036"/>
    <cellStyle name="Normal 2 5 2 14 2 4" xfId="27037"/>
    <cellStyle name="Normal 2 5 2 14 2 5" xfId="27038"/>
    <cellStyle name="Normal 2 5 2 14 2 6" xfId="27039"/>
    <cellStyle name="Normal 2 5 2 14 3" xfId="27040"/>
    <cellStyle name="Normal 2 5 2 14 3 2" xfId="27041"/>
    <cellStyle name="Normal 2 5 2 14 3 2 2" xfId="27042"/>
    <cellStyle name="Normal 2 5 2 14 3 3" xfId="27043"/>
    <cellStyle name="Normal 2 5 2 14 3 4" xfId="27044"/>
    <cellStyle name="Normal 2 5 2 14 3 5" xfId="27045"/>
    <cellStyle name="Normal 2 5 2 14 4" xfId="27046"/>
    <cellStyle name="Normal 2 5 2 14 4 2" xfId="27047"/>
    <cellStyle name="Normal 2 5 2 14 4 3" xfId="27048"/>
    <cellStyle name="Normal 2 5 2 14 4 4" xfId="27049"/>
    <cellStyle name="Normal 2 5 2 14 5" xfId="27050"/>
    <cellStyle name="Normal 2 5 2 14 5 2" xfId="27051"/>
    <cellStyle name="Normal 2 5 2 14 6" xfId="27052"/>
    <cellStyle name="Normal 2 5 2 14 7" xfId="27053"/>
    <cellStyle name="Normal 2 5 2 14 8" xfId="27054"/>
    <cellStyle name="Normal 2 5 2 14 9" xfId="27055"/>
    <cellStyle name="Normal 2 5 2 15" xfId="27056"/>
    <cellStyle name="Normal 2 5 2 15 2" xfId="27057"/>
    <cellStyle name="Normal 2 5 2 15 2 2" xfId="27058"/>
    <cellStyle name="Normal 2 5 2 15 2 3" xfId="27059"/>
    <cellStyle name="Normal 2 5 2 15 3" xfId="27060"/>
    <cellStyle name="Normal 2 5 2 15 4" xfId="27061"/>
    <cellStyle name="Normal 2 5 2 15 5" xfId="27062"/>
    <cellStyle name="Normal 2 5 2 15 6" xfId="27063"/>
    <cellStyle name="Normal 2 5 2 16" xfId="27064"/>
    <cellStyle name="Normal 2 5 2 16 2" xfId="27065"/>
    <cellStyle name="Normal 2 5 2 16 2 2" xfId="27066"/>
    <cellStyle name="Normal 2 5 2 16 3" xfId="27067"/>
    <cellStyle name="Normal 2 5 2 16 4" xfId="27068"/>
    <cellStyle name="Normal 2 5 2 16 5" xfId="27069"/>
    <cellStyle name="Normal 2 5 2 17" xfId="27070"/>
    <cellStyle name="Normal 2 5 2 17 2" xfId="27071"/>
    <cellStyle name="Normal 2 5 2 17 2 2" xfId="27072"/>
    <cellStyle name="Normal 2 5 2 17 3" xfId="27073"/>
    <cellStyle name="Normal 2 5 2 17 4" xfId="27074"/>
    <cellStyle name="Normal 2 5 2 17 5" xfId="27075"/>
    <cellStyle name="Normal 2 5 2 18" xfId="27076"/>
    <cellStyle name="Normal 2 5 2 18 2" xfId="27077"/>
    <cellStyle name="Normal 2 5 2 19" xfId="27078"/>
    <cellStyle name="Normal 2 5 2 2" xfId="27079"/>
    <cellStyle name="Normal 2 5 2 2 10" xfId="27080"/>
    <cellStyle name="Normal 2 5 2 2 11" xfId="27081"/>
    <cellStyle name="Normal 2 5 2 2 2" xfId="27082"/>
    <cellStyle name="Normal 2 5 2 2 2 2" xfId="27083"/>
    <cellStyle name="Normal 2 5 2 2 2 2 2" xfId="27084"/>
    <cellStyle name="Normal 2 5 2 2 2 2 2 2" xfId="27085"/>
    <cellStyle name="Normal 2 5 2 2 2 2 2 3" xfId="27086"/>
    <cellStyle name="Normal 2 5 2 2 2 2 3" xfId="27087"/>
    <cellStyle name="Normal 2 5 2 2 2 2 4" xfId="27088"/>
    <cellStyle name="Normal 2 5 2 2 2 2 5" xfId="27089"/>
    <cellStyle name="Normal 2 5 2 2 2 2 6" xfId="27090"/>
    <cellStyle name="Normal 2 5 2 2 2 3" xfId="27091"/>
    <cellStyle name="Normal 2 5 2 2 2 3 2" xfId="27092"/>
    <cellStyle name="Normal 2 5 2 2 2 3 2 2" xfId="27093"/>
    <cellStyle name="Normal 2 5 2 2 2 3 3" xfId="27094"/>
    <cellStyle name="Normal 2 5 2 2 2 3 4" xfId="27095"/>
    <cellStyle name="Normal 2 5 2 2 2 3 5" xfId="27096"/>
    <cellStyle name="Normal 2 5 2 2 2 4" xfId="27097"/>
    <cellStyle name="Normal 2 5 2 2 2 4 2" xfId="27098"/>
    <cellStyle name="Normal 2 5 2 2 2 4 3" xfId="27099"/>
    <cellStyle name="Normal 2 5 2 2 2 4 4" xfId="27100"/>
    <cellStyle name="Normal 2 5 2 2 2 5" xfId="27101"/>
    <cellStyle name="Normal 2 5 2 2 2 5 2" xfId="27102"/>
    <cellStyle name="Normal 2 5 2 2 2 6" xfId="27103"/>
    <cellStyle name="Normal 2 5 2 2 2 7" xfId="27104"/>
    <cellStyle name="Normal 2 5 2 2 2 8" xfId="27105"/>
    <cellStyle name="Normal 2 5 2 2 2 9" xfId="27106"/>
    <cellStyle name="Normal 2 5 2 2 3" xfId="27107"/>
    <cellStyle name="Normal 2 5 2 2 3 2" xfId="27108"/>
    <cellStyle name="Normal 2 5 2 2 3 2 2" xfId="27109"/>
    <cellStyle name="Normal 2 5 2 2 3 2 2 2" xfId="27110"/>
    <cellStyle name="Normal 2 5 2 2 3 2 2 3" xfId="27111"/>
    <cellStyle name="Normal 2 5 2 2 3 2 3" xfId="27112"/>
    <cellStyle name="Normal 2 5 2 2 3 2 4" xfId="27113"/>
    <cellStyle name="Normal 2 5 2 2 3 2 5" xfId="27114"/>
    <cellStyle name="Normal 2 5 2 2 3 2 6" xfId="27115"/>
    <cellStyle name="Normal 2 5 2 2 3 3" xfId="27116"/>
    <cellStyle name="Normal 2 5 2 2 3 3 2" xfId="27117"/>
    <cellStyle name="Normal 2 5 2 2 3 3 2 2" xfId="27118"/>
    <cellStyle name="Normal 2 5 2 2 3 3 3" xfId="27119"/>
    <cellStyle name="Normal 2 5 2 2 3 3 4" xfId="27120"/>
    <cellStyle name="Normal 2 5 2 2 3 3 5" xfId="27121"/>
    <cellStyle name="Normal 2 5 2 2 3 4" xfId="27122"/>
    <cellStyle name="Normal 2 5 2 2 3 4 2" xfId="27123"/>
    <cellStyle name="Normal 2 5 2 2 3 4 3" xfId="27124"/>
    <cellStyle name="Normal 2 5 2 2 3 4 4" xfId="27125"/>
    <cellStyle name="Normal 2 5 2 2 3 5" xfId="27126"/>
    <cellStyle name="Normal 2 5 2 2 3 5 2" xfId="27127"/>
    <cellStyle name="Normal 2 5 2 2 3 6" xfId="27128"/>
    <cellStyle name="Normal 2 5 2 2 3 7" xfId="27129"/>
    <cellStyle name="Normal 2 5 2 2 3 8" xfId="27130"/>
    <cellStyle name="Normal 2 5 2 2 3 9" xfId="27131"/>
    <cellStyle name="Normal 2 5 2 2 4" xfId="27132"/>
    <cellStyle name="Normal 2 5 2 2 4 2" xfId="27133"/>
    <cellStyle name="Normal 2 5 2 2 4 2 2" xfId="27134"/>
    <cellStyle name="Normal 2 5 2 2 4 2 3" xfId="27135"/>
    <cellStyle name="Normal 2 5 2 2 4 3" xfId="27136"/>
    <cellStyle name="Normal 2 5 2 2 4 4" xfId="27137"/>
    <cellStyle name="Normal 2 5 2 2 4 5" xfId="27138"/>
    <cellStyle name="Normal 2 5 2 2 4 6" xfId="27139"/>
    <cellStyle name="Normal 2 5 2 2 5" xfId="27140"/>
    <cellStyle name="Normal 2 5 2 2 5 2" xfId="27141"/>
    <cellStyle name="Normal 2 5 2 2 5 2 2" xfId="27142"/>
    <cellStyle name="Normal 2 5 2 2 5 3" xfId="27143"/>
    <cellStyle name="Normal 2 5 2 2 5 4" xfId="27144"/>
    <cellStyle name="Normal 2 5 2 2 5 5" xfId="27145"/>
    <cellStyle name="Normal 2 5 2 2 6" xfId="27146"/>
    <cellStyle name="Normal 2 5 2 2 6 2" xfId="27147"/>
    <cellStyle name="Normal 2 5 2 2 6 3" xfId="27148"/>
    <cellStyle name="Normal 2 5 2 2 6 4" xfId="27149"/>
    <cellStyle name="Normal 2 5 2 2 7" xfId="27150"/>
    <cellStyle name="Normal 2 5 2 2 7 2" xfId="27151"/>
    <cellStyle name="Normal 2 5 2 2 8" xfId="27152"/>
    <cellStyle name="Normal 2 5 2 2 9" xfId="27153"/>
    <cellStyle name="Normal 2 5 2 20" xfId="27154"/>
    <cellStyle name="Normal 2 5 2 21" xfId="27155"/>
    <cellStyle name="Normal 2 5 2 22" xfId="27156"/>
    <cellStyle name="Normal 2 5 2 3" xfId="27157"/>
    <cellStyle name="Normal 2 5 2 3 10" xfId="27158"/>
    <cellStyle name="Normal 2 5 2 3 11" xfId="27159"/>
    <cellStyle name="Normal 2 5 2 3 2" xfId="27160"/>
    <cellStyle name="Normal 2 5 2 3 2 2" xfId="27161"/>
    <cellStyle name="Normal 2 5 2 3 2 2 2" xfId="27162"/>
    <cellStyle name="Normal 2 5 2 3 2 2 2 2" xfId="27163"/>
    <cellStyle name="Normal 2 5 2 3 2 2 2 3" xfId="27164"/>
    <cellStyle name="Normal 2 5 2 3 2 2 3" xfId="27165"/>
    <cellStyle name="Normal 2 5 2 3 2 2 4" xfId="27166"/>
    <cellStyle name="Normal 2 5 2 3 2 2 5" xfId="27167"/>
    <cellStyle name="Normal 2 5 2 3 2 2 6" xfId="27168"/>
    <cellStyle name="Normal 2 5 2 3 2 3" xfId="27169"/>
    <cellStyle name="Normal 2 5 2 3 2 3 2" xfId="27170"/>
    <cellStyle name="Normal 2 5 2 3 2 3 2 2" xfId="27171"/>
    <cellStyle name="Normal 2 5 2 3 2 3 3" xfId="27172"/>
    <cellStyle name="Normal 2 5 2 3 2 3 4" xfId="27173"/>
    <cellStyle name="Normal 2 5 2 3 2 3 5" xfId="27174"/>
    <cellStyle name="Normal 2 5 2 3 2 4" xfId="27175"/>
    <cellStyle name="Normal 2 5 2 3 2 4 2" xfId="27176"/>
    <cellStyle name="Normal 2 5 2 3 2 4 3" xfId="27177"/>
    <cellStyle name="Normal 2 5 2 3 2 4 4" xfId="27178"/>
    <cellStyle name="Normal 2 5 2 3 2 5" xfId="27179"/>
    <cellStyle name="Normal 2 5 2 3 2 5 2" xfId="27180"/>
    <cellStyle name="Normal 2 5 2 3 2 6" xfId="27181"/>
    <cellStyle name="Normal 2 5 2 3 2 7" xfId="27182"/>
    <cellStyle name="Normal 2 5 2 3 2 8" xfId="27183"/>
    <cellStyle name="Normal 2 5 2 3 2 9" xfId="27184"/>
    <cellStyle name="Normal 2 5 2 3 3" xfId="27185"/>
    <cellStyle name="Normal 2 5 2 3 3 2" xfId="27186"/>
    <cellStyle name="Normal 2 5 2 3 3 2 2" xfId="27187"/>
    <cellStyle name="Normal 2 5 2 3 3 2 2 2" xfId="27188"/>
    <cellStyle name="Normal 2 5 2 3 3 2 2 3" xfId="27189"/>
    <cellStyle name="Normal 2 5 2 3 3 2 3" xfId="27190"/>
    <cellStyle name="Normal 2 5 2 3 3 2 4" xfId="27191"/>
    <cellStyle name="Normal 2 5 2 3 3 2 5" xfId="27192"/>
    <cellStyle name="Normal 2 5 2 3 3 2 6" xfId="27193"/>
    <cellStyle name="Normal 2 5 2 3 3 3" xfId="27194"/>
    <cellStyle name="Normal 2 5 2 3 3 3 2" xfId="27195"/>
    <cellStyle name="Normal 2 5 2 3 3 3 2 2" xfId="27196"/>
    <cellStyle name="Normal 2 5 2 3 3 3 3" xfId="27197"/>
    <cellStyle name="Normal 2 5 2 3 3 3 4" xfId="27198"/>
    <cellStyle name="Normal 2 5 2 3 3 3 5" xfId="27199"/>
    <cellStyle name="Normal 2 5 2 3 3 4" xfId="27200"/>
    <cellStyle name="Normal 2 5 2 3 3 4 2" xfId="27201"/>
    <cellStyle name="Normal 2 5 2 3 3 4 3" xfId="27202"/>
    <cellStyle name="Normal 2 5 2 3 3 4 4" xfId="27203"/>
    <cellStyle name="Normal 2 5 2 3 3 5" xfId="27204"/>
    <cellStyle name="Normal 2 5 2 3 3 5 2" xfId="27205"/>
    <cellStyle name="Normal 2 5 2 3 3 6" xfId="27206"/>
    <cellStyle name="Normal 2 5 2 3 3 7" xfId="27207"/>
    <cellStyle name="Normal 2 5 2 3 3 8" xfId="27208"/>
    <cellStyle name="Normal 2 5 2 3 3 9" xfId="27209"/>
    <cellStyle name="Normal 2 5 2 3 4" xfId="27210"/>
    <cellStyle name="Normal 2 5 2 3 4 2" xfId="27211"/>
    <cellStyle name="Normal 2 5 2 3 4 2 2" xfId="27212"/>
    <cellStyle name="Normal 2 5 2 3 4 2 3" xfId="27213"/>
    <cellStyle name="Normal 2 5 2 3 4 3" xfId="27214"/>
    <cellStyle name="Normal 2 5 2 3 4 4" xfId="27215"/>
    <cellStyle name="Normal 2 5 2 3 4 5" xfId="27216"/>
    <cellStyle name="Normal 2 5 2 3 4 6" xfId="27217"/>
    <cellStyle name="Normal 2 5 2 3 5" xfId="27218"/>
    <cellStyle name="Normal 2 5 2 3 5 2" xfId="27219"/>
    <cellStyle name="Normal 2 5 2 3 5 2 2" xfId="27220"/>
    <cellStyle name="Normal 2 5 2 3 5 3" xfId="27221"/>
    <cellStyle name="Normal 2 5 2 3 5 4" xfId="27222"/>
    <cellStyle name="Normal 2 5 2 3 5 5" xfId="27223"/>
    <cellStyle name="Normal 2 5 2 3 6" xfId="27224"/>
    <cellStyle name="Normal 2 5 2 3 6 2" xfId="27225"/>
    <cellStyle name="Normal 2 5 2 3 6 3" xfId="27226"/>
    <cellStyle name="Normal 2 5 2 3 6 4" xfId="27227"/>
    <cellStyle name="Normal 2 5 2 3 7" xfId="27228"/>
    <cellStyle name="Normal 2 5 2 3 7 2" xfId="27229"/>
    <cellStyle name="Normal 2 5 2 3 8" xfId="27230"/>
    <cellStyle name="Normal 2 5 2 3 9" xfId="27231"/>
    <cellStyle name="Normal 2 5 2 4" xfId="27232"/>
    <cellStyle name="Normal 2 5 2 4 10" xfId="27233"/>
    <cellStyle name="Normal 2 5 2 4 11" xfId="27234"/>
    <cellStyle name="Normal 2 5 2 4 2" xfId="27235"/>
    <cellStyle name="Normal 2 5 2 4 2 2" xfId="27236"/>
    <cellStyle name="Normal 2 5 2 4 2 2 2" xfId="27237"/>
    <cellStyle name="Normal 2 5 2 4 2 2 2 2" xfId="27238"/>
    <cellStyle name="Normal 2 5 2 4 2 2 2 3" xfId="27239"/>
    <cellStyle name="Normal 2 5 2 4 2 2 3" xfId="27240"/>
    <cellStyle name="Normal 2 5 2 4 2 2 4" xfId="27241"/>
    <cellStyle name="Normal 2 5 2 4 2 2 5" xfId="27242"/>
    <cellStyle name="Normal 2 5 2 4 2 2 6" xfId="27243"/>
    <cellStyle name="Normal 2 5 2 4 2 3" xfId="27244"/>
    <cellStyle name="Normal 2 5 2 4 2 3 2" xfId="27245"/>
    <cellStyle name="Normal 2 5 2 4 2 3 2 2" xfId="27246"/>
    <cellStyle name="Normal 2 5 2 4 2 3 3" xfId="27247"/>
    <cellStyle name="Normal 2 5 2 4 2 3 4" xfId="27248"/>
    <cellStyle name="Normal 2 5 2 4 2 3 5" xfId="27249"/>
    <cellStyle name="Normal 2 5 2 4 2 4" xfId="27250"/>
    <cellStyle name="Normal 2 5 2 4 2 4 2" xfId="27251"/>
    <cellStyle name="Normal 2 5 2 4 2 4 3" xfId="27252"/>
    <cellStyle name="Normal 2 5 2 4 2 4 4" xfId="27253"/>
    <cellStyle name="Normal 2 5 2 4 2 5" xfId="27254"/>
    <cellStyle name="Normal 2 5 2 4 2 5 2" xfId="27255"/>
    <cellStyle name="Normal 2 5 2 4 2 6" xfId="27256"/>
    <cellStyle name="Normal 2 5 2 4 2 7" xfId="27257"/>
    <cellStyle name="Normal 2 5 2 4 2 8" xfId="27258"/>
    <cellStyle name="Normal 2 5 2 4 2 9" xfId="27259"/>
    <cellStyle name="Normal 2 5 2 4 3" xfId="27260"/>
    <cellStyle name="Normal 2 5 2 4 3 2" xfId="27261"/>
    <cellStyle name="Normal 2 5 2 4 3 2 2" xfId="27262"/>
    <cellStyle name="Normal 2 5 2 4 3 2 2 2" xfId="27263"/>
    <cellStyle name="Normal 2 5 2 4 3 2 2 3" xfId="27264"/>
    <cellStyle name="Normal 2 5 2 4 3 2 3" xfId="27265"/>
    <cellStyle name="Normal 2 5 2 4 3 2 4" xfId="27266"/>
    <cellStyle name="Normal 2 5 2 4 3 2 5" xfId="27267"/>
    <cellStyle name="Normal 2 5 2 4 3 2 6" xfId="27268"/>
    <cellStyle name="Normal 2 5 2 4 3 3" xfId="27269"/>
    <cellStyle name="Normal 2 5 2 4 3 3 2" xfId="27270"/>
    <cellStyle name="Normal 2 5 2 4 3 3 2 2" xfId="27271"/>
    <cellStyle name="Normal 2 5 2 4 3 3 3" xfId="27272"/>
    <cellStyle name="Normal 2 5 2 4 3 3 4" xfId="27273"/>
    <cellStyle name="Normal 2 5 2 4 3 3 5" xfId="27274"/>
    <cellStyle name="Normal 2 5 2 4 3 4" xfId="27275"/>
    <cellStyle name="Normal 2 5 2 4 3 4 2" xfId="27276"/>
    <cellStyle name="Normal 2 5 2 4 3 4 3" xfId="27277"/>
    <cellStyle name="Normal 2 5 2 4 3 4 4" xfId="27278"/>
    <cellStyle name="Normal 2 5 2 4 3 5" xfId="27279"/>
    <cellStyle name="Normal 2 5 2 4 3 5 2" xfId="27280"/>
    <cellStyle name="Normal 2 5 2 4 3 6" xfId="27281"/>
    <cellStyle name="Normal 2 5 2 4 3 7" xfId="27282"/>
    <cellStyle name="Normal 2 5 2 4 3 8" xfId="27283"/>
    <cellStyle name="Normal 2 5 2 4 3 9" xfId="27284"/>
    <cellStyle name="Normal 2 5 2 4 4" xfId="27285"/>
    <cellStyle name="Normal 2 5 2 4 4 2" xfId="27286"/>
    <cellStyle name="Normal 2 5 2 4 4 2 2" xfId="27287"/>
    <cellStyle name="Normal 2 5 2 4 4 2 3" xfId="27288"/>
    <cellStyle name="Normal 2 5 2 4 4 3" xfId="27289"/>
    <cellStyle name="Normal 2 5 2 4 4 4" xfId="27290"/>
    <cellStyle name="Normal 2 5 2 4 4 5" xfId="27291"/>
    <cellStyle name="Normal 2 5 2 4 4 6" xfId="27292"/>
    <cellStyle name="Normal 2 5 2 4 5" xfId="27293"/>
    <cellStyle name="Normal 2 5 2 4 5 2" xfId="27294"/>
    <cellStyle name="Normal 2 5 2 4 5 2 2" xfId="27295"/>
    <cellStyle name="Normal 2 5 2 4 5 3" xfId="27296"/>
    <cellStyle name="Normal 2 5 2 4 5 4" xfId="27297"/>
    <cellStyle name="Normal 2 5 2 4 5 5" xfId="27298"/>
    <cellStyle name="Normal 2 5 2 4 6" xfId="27299"/>
    <cellStyle name="Normal 2 5 2 4 6 2" xfId="27300"/>
    <cellStyle name="Normal 2 5 2 4 6 3" xfId="27301"/>
    <cellStyle name="Normal 2 5 2 4 6 4" xfId="27302"/>
    <cellStyle name="Normal 2 5 2 4 7" xfId="27303"/>
    <cellStyle name="Normal 2 5 2 4 7 2" xfId="27304"/>
    <cellStyle name="Normal 2 5 2 4 8" xfId="27305"/>
    <cellStyle name="Normal 2 5 2 4 9" xfId="27306"/>
    <cellStyle name="Normal 2 5 2 5" xfId="27307"/>
    <cellStyle name="Normal 2 5 2 5 10" xfId="27308"/>
    <cellStyle name="Normal 2 5 2 5 11" xfId="27309"/>
    <cellStyle name="Normal 2 5 2 5 2" xfId="27310"/>
    <cellStyle name="Normal 2 5 2 5 2 2" xfId="27311"/>
    <cellStyle name="Normal 2 5 2 5 2 2 2" xfId="27312"/>
    <cellStyle name="Normal 2 5 2 5 2 2 2 2" xfId="27313"/>
    <cellStyle name="Normal 2 5 2 5 2 2 2 3" xfId="27314"/>
    <cellStyle name="Normal 2 5 2 5 2 2 3" xfId="27315"/>
    <cellStyle name="Normal 2 5 2 5 2 2 4" xfId="27316"/>
    <cellStyle name="Normal 2 5 2 5 2 2 5" xfId="27317"/>
    <cellStyle name="Normal 2 5 2 5 2 2 6" xfId="27318"/>
    <cellStyle name="Normal 2 5 2 5 2 3" xfId="27319"/>
    <cellStyle name="Normal 2 5 2 5 2 3 2" xfId="27320"/>
    <cellStyle name="Normal 2 5 2 5 2 3 2 2" xfId="27321"/>
    <cellStyle name="Normal 2 5 2 5 2 3 3" xfId="27322"/>
    <cellStyle name="Normal 2 5 2 5 2 3 4" xfId="27323"/>
    <cellStyle name="Normal 2 5 2 5 2 3 5" xfId="27324"/>
    <cellStyle name="Normal 2 5 2 5 2 4" xfId="27325"/>
    <cellStyle name="Normal 2 5 2 5 2 4 2" xfId="27326"/>
    <cellStyle name="Normal 2 5 2 5 2 4 3" xfId="27327"/>
    <cellStyle name="Normal 2 5 2 5 2 4 4" xfId="27328"/>
    <cellStyle name="Normal 2 5 2 5 2 5" xfId="27329"/>
    <cellStyle name="Normal 2 5 2 5 2 5 2" xfId="27330"/>
    <cellStyle name="Normal 2 5 2 5 2 6" xfId="27331"/>
    <cellStyle name="Normal 2 5 2 5 2 7" xfId="27332"/>
    <cellStyle name="Normal 2 5 2 5 2 8" xfId="27333"/>
    <cellStyle name="Normal 2 5 2 5 2 9" xfId="27334"/>
    <cellStyle name="Normal 2 5 2 5 3" xfId="27335"/>
    <cellStyle name="Normal 2 5 2 5 3 2" xfId="27336"/>
    <cellStyle name="Normal 2 5 2 5 3 2 2" xfId="27337"/>
    <cellStyle name="Normal 2 5 2 5 3 2 2 2" xfId="27338"/>
    <cellStyle name="Normal 2 5 2 5 3 2 2 3" xfId="27339"/>
    <cellStyle name="Normal 2 5 2 5 3 2 3" xfId="27340"/>
    <cellStyle name="Normal 2 5 2 5 3 2 4" xfId="27341"/>
    <cellStyle name="Normal 2 5 2 5 3 2 5" xfId="27342"/>
    <cellStyle name="Normal 2 5 2 5 3 2 6" xfId="27343"/>
    <cellStyle name="Normal 2 5 2 5 3 3" xfId="27344"/>
    <cellStyle name="Normal 2 5 2 5 3 3 2" xfId="27345"/>
    <cellStyle name="Normal 2 5 2 5 3 3 2 2" xfId="27346"/>
    <cellStyle name="Normal 2 5 2 5 3 3 3" xfId="27347"/>
    <cellStyle name="Normal 2 5 2 5 3 3 4" xfId="27348"/>
    <cellStyle name="Normal 2 5 2 5 3 3 5" xfId="27349"/>
    <cellStyle name="Normal 2 5 2 5 3 4" xfId="27350"/>
    <cellStyle name="Normal 2 5 2 5 3 4 2" xfId="27351"/>
    <cellStyle name="Normal 2 5 2 5 3 4 3" xfId="27352"/>
    <cellStyle name="Normal 2 5 2 5 3 4 4" xfId="27353"/>
    <cellStyle name="Normal 2 5 2 5 3 5" xfId="27354"/>
    <cellStyle name="Normal 2 5 2 5 3 5 2" xfId="27355"/>
    <cellStyle name="Normal 2 5 2 5 3 6" xfId="27356"/>
    <cellStyle name="Normal 2 5 2 5 3 7" xfId="27357"/>
    <cellStyle name="Normal 2 5 2 5 3 8" xfId="27358"/>
    <cellStyle name="Normal 2 5 2 5 3 9" xfId="27359"/>
    <cellStyle name="Normal 2 5 2 5 4" xfId="27360"/>
    <cellStyle name="Normal 2 5 2 5 4 2" xfId="27361"/>
    <cellStyle name="Normal 2 5 2 5 4 2 2" xfId="27362"/>
    <cellStyle name="Normal 2 5 2 5 4 2 3" xfId="27363"/>
    <cellStyle name="Normal 2 5 2 5 4 3" xfId="27364"/>
    <cellStyle name="Normal 2 5 2 5 4 4" xfId="27365"/>
    <cellStyle name="Normal 2 5 2 5 4 5" xfId="27366"/>
    <cellStyle name="Normal 2 5 2 5 4 6" xfId="27367"/>
    <cellStyle name="Normal 2 5 2 5 5" xfId="27368"/>
    <cellStyle name="Normal 2 5 2 5 5 2" xfId="27369"/>
    <cellStyle name="Normal 2 5 2 5 5 2 2" xfId="27370"/>
    <cellStyle name="Normal 2 5 2 5 5 3" xfId="27371"/>
    <cellStyle name="Normal 2 5 2 5 5 4" xfId="27372"/>
    <cellStyle name="Normal 2 5 2 5 5 5" xfId="27373"/>
    <cellStyle name="Normal 2 5 2 5 6" xfId="27374"/>
    <cellStyle name="Normal 2 5 2 5 6 2" xfId="27375"/>
    <cellStyle name="Normal 2 5 2 5 6 3" xfId="27376"/>
    <cellStyle name="Normal 2 5 2 5 6 4" xfId="27377"/>
    <cellStyle name="Normal 2 5 2 5 7" xfId="27378"/>
    <cellStyle name="Normal 2 5 2 5 7 2" xfId="27379"/>
    <cellStyle name="Normal 2 5 2 5 8" xfId="27380"/>
    <cellStyle name="Normal 2 5 2 5 9" xfId="27381"/>
    <cellStyle name="Normal 2 5 2 6" xfId="27382"/>
    <cellStyle name="Normal 2 5 2 6 10" xfId="27383"/>
    <cellStyle name="Normal 2 5 2 6 11" xfId="27384"/>
    <cellStyle name="Normal 2 5 2 6 2" xfId="27385"/>
    <cellStyle name="Normal 2 5 2 6 2 2" xfId="27386"/>
    <cellStyle name="Normal 2 5 2 6 2 2 2" xfId="27387"/>
    <cellStyle name="Normal 2 5 2 6 2 2 2 2" xfId="27388"/>
    <cellStyle name="Normal 2 5 2 6 2 2 2 3" xfId="27389"/>
    <cellStyle name="Normal 2 5 2 6 2 2 3" xfId="27390"/>
    <cellStyle name="Normal 2 5 2 6 2 2 4" xfId="27391"/>
    <cellStyle name="Normal 2 5 2 6 2 2 5" xfId="27392"/>
    <cellStyle name="Normal 2 5 2 6 2 2 6" xfId="27393"/>
    <cellStyle name="Normal 2 5 2 6 2 3" xfId="27394"/>
    <cellStyle name="Normal 2 5 2 6 2 3 2" xfId="27395"/>
    <cellStyle name="Normal 2 5 2 6 2 3 2 2" xfId="27396"/>
    <cellStyle name="Normal 2 5 2 6 2 3 3" xfId="27397"/>
    <cellStyle name="Normal 2 5 2 6 2 3 4" xfId="27398"/>
    <cellStyle name="Normal 2 5 2 6 2 3 5" xfId="27399"/>
    <cellStyle name="Normal 2 5 2 6 2 4" xfId="27400"/>
    <cellStyle name="Normal 2 5 2 6 2 4 2" xfId="27401"/>
    <cellStyle name="Normal 2 5 2 6 2 4 3" xfId="27402"/>
    <cellStyle name="Normal 2 5 2 6 2 4 4" xfId="27403"/>
    <cellStyle name="Normal 2 5 2 6 2 5" xfId="27404"/>
    <cellStyle name="Normal 2 5 2 6 2 5 2" xfId="27405"/>
    <cellStyle name="Normal 2 5 2 6 2 6" xfId="27406"/>
    <cellStyle name="Normal 2 5 2 6 2 7" xfId="27407"/>
    <cellStyle name="Normal 2 5 2 6 2 8" xfId="27408"/>
    <cellStyle name="Normal 2 5 2 6 2 9" xfId="27409"/>
    <cellStyle name="Normal 2 5 2 6 3" xfId="27410"/>
    <cellStyle name="Normal 2 5 2 6 3 2" xfId="27411"/>
    <cellStyle name="Normal 2 5 2 6 3 2 2" xfId="27412"/>
    <cellStyle name="Normal 2 5 2 6 3 2 2 2" xfId="27413"/>
    <cellStyle name="Normal 2 5 2 6 3 2 2 3" xfId="27414"/>
    <cellStyle name="Normal 2 5 2 6 3 2 3" xfId="27415"/>
    <cellStyle name="Normal 2 5 2 6 3 2 4" xfId="27416"/>
    <cellStyle name="Normal 2 5 2 6 3 2 5" xfId="27417"/>
    <cellStyle name="Normal 2 5 2 6 3 2 6" xfId="27418"/>
    <cellStyle name="Normal 2 5 2 6 3 3" xfId="27419"/>
    <cellStyle name="Normal 2 5 2 6 3 3 2" xfId="27420"/>
    <cellStyle name="Normal 2 5 2 6 3 3 2 2" xfId="27421"/>
    <cellStyle name="Normal 2 5 2 6 3 3 3" xfId="27422"/>
    <cellStyle name="Normal 2 5 2 6 3 3 4" xfId="27423"/>
    <cellStyle name="Normal 2 5 2 6 3 3 5" xfId="27424"/>
    <cellStyle name="Normal 2 5 2 6 3 4" xfId="27425"/>
    <cellStyle name="Normal 2 5 2 6 3 4 2" xfId="27426"/>
    <cellStyle name="Normal 2 5 2 6 3 4 3" xfId="27427"/>
    <cellStyle name="Normal 2 5 2 6 3 4 4" xfId="27428"/>
    <cellStyle name="Normal 2 5 2 6 3 5" xfId="27429"/>
    <cellStyle name="Normal 2 5 2 6 3 5 2" xfId="27430"/>
    <cellStyle name="Normal 2 5 2 6 3 6" xfId="27431"/>
    <cellStyle name="Normal 2 5 2 6 3 7" xfId="27432"/>
    <cellStyle name="Normal 2 5 2 6 3 8" xfId="27433"/>
    <cellStyle name="Normal 2 5 2 6 3 9" xfId="27434"/>
    <cellStyle name="Normal 2 5 2 6 4" xfId="27435"/>
    <cellStyle name="Normal 2 5 2 6 4 2" xfId="27436"/>
    <cellStyle name="Normal 2 5 2 6 4 2 2" xfId="27437"/>
    <cellStyle name="Normal 2 5 2 6 4 2 3" xfId="27438"/>
    <cellStyle name="Normal 2 5 2 6 4 3" xfId="27439"/>
    <cellStyle name="Normal 2 5 2 6 4 4" xfId="27440"/>
    <cellStyle name="Normal 2 5 2 6 4 5" xfId="27441"/>
    <cellStyle name="Normal 2 5 2 6 4 6" xfId="27442"/>
    <cellStyle name="Normal 2 5 2 6 5" xfId="27443"/>
    <cellStyle name="Normal 2 5 2 6 5 2" xfId="27444"/>
    <cellStyle name="Normal 2 5 2 6 5 2 2" xfId="27445"/>
    <cellStyle name="Normal 2 5 2 6 5 3" xfId="27446"/>
    <cellStyle name="Normal 2 5 2 6 5 4" xfId="27447"/>
    <cellStyle name="Normal 2 5 2 6 5 5" xfId="27448"/>
    <cellStyle name="Normal 2 5 2 6 6" xfId="27449"/>
    <cellStyle name="Normal 2 5 2 6 6 2" xfId="27450"/>
    <cellStyle name="Normal 2 5 2 6 6 3" xfId="27451"/>
    <cellStyle name="Normal 2 5 2 6 6 4" xfId="27452"/>
    <cellStyle name="Normal 2 5 2 6 7" xfId="27453"/>
    <cellStyle name="Normal 2 5 2 6 7 2" xfId="27454"/>
    <cellStyle name="Normal 2 5 2 6 8" xfId="27455"/>
    <cellStyle name="Normal 2 5 2 6 9" xfId="27456"/>
    <cellStyle name="Normal 2 5 2 7" xfId="27457"/>
    <cellStyle name="Normal 2 5 2 7 10" xfId="27458"/>
    <cellStyle name="Normal 2 5 2 7 11" xfId="27459"/>
    <cellStyle name="Normal 2 5 2 7 2" xfId="27460"/>
    <cellStyle name="Normal 2 5 2 7 2 2" xfId="27461"/>
    <cellStyle name="Normal 2 5 2 7 2 2 2" xfId="27462"/>
    <cellStyle name="Normal 2 5 2 7 2 2 2 2" xfId="27463"/>
    <cellStyle name="Normal 2 5 2 7 2 2 2 3" xfId="27464"/>
    <cellStyle name="Normal 2 5 2 7 2 2 3" xfId="27465"/>
    <cellStyle name="Normal 2 5 2 7 2 2 4" xfId="27466"/>
    <cellStyle name="Normal 2 5 2 7 2 2 5" xfId="27467"/>
    <cellStyle name="Normal 2 5 2 7 2 2 6" xfId="27468"/>
    <cellStyle name="Normal 2 5 2 7 2 3" xfId="27469"/>
    <cellStyle name="Normal 2 5 2 7 2 3 2" xfId="27470"/>
    <cellStyle name="Normal 2 5 2 7 2 3 2 2" xfId="27471"/>
    <cellStyle name="Normal 2 5 2 7 2 3 3" xfId="27472"/>
    <cellStyle name="Normal 2 5 2 7 2 3 4" xfId="27473"/>
    <cellStyle name="Normal 2 5 2 7 2 3 5" xfId="27474"/>
    <cellStyle name="Normal 2 5 2 7 2 4" xfId="27475"/>
    <cellStyle name="Normal 2 5 2 7 2 4 2" xfId="27476"/>
    <cellStyle name="Normal 2 5 2 7 2 4 3" xfId="27477"/>
    <cellStyle name="Normal 2 5 2 7 2 4 4" xfId="27478"/>
    <cellStyle name="Normal 2 5 2 7 2 5" xfId="27479"/>
    <cellStyle name="Normal 2 5 2 7 2 5 2" xfId="27480"/>
    <cellStyle name="Normal 2 5 2 7 2 6" xfId="27481"/>
    <cellStyle name="Normal 2 5 2 7 2 7" xfId="27482"/>
    <cellStyle name="Normal 2 5 2 7 2 8" xfId="27483"/>
    <cellStyle name="Normal 2 5 2 7 2 9" xfId="27484"/>
    <cellStyle name="Normal 2 5 2 7 3" xfId="27485"/>
    <cellStyle name="Normal 2 5 2 7 3 2" xfId="27486"/>
    <cellStyle name="Normal 2 5 2 7 3 2 2" xfId="27487"/>
    <cellStyle name="Normal 2 5 2 7 3 2 2 2" xfId="27488"/>
    <cellStyle name="Normal 2 5 2 7 3 2 2 3" xfId="27489"/>
    <cellStyle name="Normal 2 5 2 7 3 2 3" xfId="27490"/>
    <cellStyle name="Normal 2 5 2 7 3 2 4" xfId="27491"/>
    <cellStyle name="Normal 2 5 2 7 3 2 5" xfId="27492"/>
    <cellStyle name="Normal 2 5 2 7 3 2 6" xfId="27493"/>
    <cellStyle name="Normal 2 5 2 7 3 3" xfId="27494"/>
    <cellStyle name="Normal 2 5 2 7 3 3 2" xfId="27495"/>
    <cellStyle name="Normal 2 5 2 7 3 3 2 2" xfId="27496"/>
    <cellStyle name="Normal 2 5 2 7 3 3 3" xfId="27497"/>
    <cellStyle name="Normal 2 5 2 7 3 3 4" xfId="27498"/>
    <cellStyle name="Normal 2 5 2 7 3 3 5" xfId="27499"/>
    <cellStyle name="Normal 2 5 2 7 3 4" xfId="27500"/>
    <cellStyle name="Normal 2 5 2 7 3 4 2" xfId="27501"/>
    <cellStyle name="Normal 2 5 2 7 3 4 3" xfId="27502"/>
    <cellStyle name="Normal 2 5 2 7 3 4 4" xfId="27503"/>
    <cellStyle name="Normal 2 5 2 7 3 5" xfId="27504"/>
    <cellStyle name="Normal 2 5 2 7 3 5 2" xfId="27505"/>
    <cellStyle name="Normal 2 5 2 7 3 6" xfId="27506"/>
    <cellStyle name="Normal 2 5 2 7 3 7" xfId="27507"/>
    <cellStyle name="Normal 2 5 2 7 3 8" xfId="27508"/>
    <cellStyle name="Normal 2 5 2 7 3 9" xfId="27509"/>
    <cellStyle name="Normal 2 5 2 7 4" xfId="27510"/>
    <cellStyle name="Normal 2 5 2 7 4 2" xfId="27511"/>
    <cellStyle name="Normal 2 5 2 7 4 2 2" xfId="27512"/>
    <cellStyle name="Normal 2 5 2 7 4 2 3" xfId="27513"/>
    <cellStyle name="Normal 2 5 2 7 4 3" xfId="27514"/>
    <cellStyle name="Normal 2 5 2 7 4 4" xfId="27515"/>
    <cellStyle name="Normal 2 5 2 7 4 5" xfId="27516"/>
    <cellStyle name="Normal 2 5 2 7 4 6" xfId="27517"/>
    <cellStyle name="Normal 2 5 2 7 5" xfId="27518"/>
    <cellStyle name="Normal 2 5 2 7 5 2" xfId="27519"/>
    <cellStyle name="Normal 2 5 2 7 5 2 2" xfId="27520"/>
    <cellStyle name="Normal 2 5 2 7 5 3" xfId="27521"/>
    <cellStyle name="Normal 2 5 2 7 5 4" xfId="27522"/>
    <cellStyle name="Normal 2 5 2 7 5 5" xfId="27523"/>
    <cellStyle name="Normal 2 5 2 7 6" xfId="27524"/>
    <cellStyle name="Normal 2 5 2 7 6 2" xfId="27525"/>
    <cellStyle name="Normal 2 5 2 7 6 3" xfId="27526"/>
    <cellStyle name="Normal 2 5 2 7 6 4" xfId="27527"/>
    <cellStyle name="Normal 2 5 2 7 7" xfId="27528"/>
    <cellStyle name="Normal 2 5 2 7 7 2" xfId="27529"/>
    <cellStyle name="Normal 2 5 2 7 8" xfId="27530"/>
    <cellStyle name="Normal 2 5 2 7 9" xfId="27531"/>
    <cellStyle name="Normal 2 5 2 8" xfId="27532"/>
    <cellStyle name="Normal 2 5 2 8 10" xfId="27533"/>
    <cellStyle name="Normal 2 5 2 8 2" xfId="27534"/>
    <cellStyle name="Normal 2 5 2 8 2 2" xfId="27535"/>
    <cellStyle name="Normal 2 5 2 8 2 2 2" xfId="27536"/>
    <cellStyle name="Normal 2 5 2 8 2 2 3" xfId="27537"/>
    <cellStyle name="Normal 2 5 2 8 2 3" xfId="27538"/>
    <cellStyle name="Normal 2 5 2 8 2 4" xfId="27539"/>
    <cellStyle name="Normal 2 5 2 8 2 5" xfId="27540"/>
    <cellStyle name="Normal 2 5 2 8 2 6" xfId="27541"/>
    <cellStyle name="Normal 2 5 2 8 3" xfId="27542"/>
    <cellStyle name="Normal 2 5 2 8 3 2" xfId="27543"/>
    <cellStyle name="Normal 2 5 2 8 3 2 2" xfId="27544"/>
    <cellStyle name="Normal 2 5 2 8 3 2 3" xfId="27545"/>
    <cellStyle name="Normal 2 5 2 8 3 3" xfId="27546"/>
    <cellStyle name="Normal 2 5 2 8 3 4" xfId="27547"/>
    <cellStyle name="Normal 2 5 2 8 3 5" xfId="27548"/>
    <cellStyle name="Normal 2 5 2 8 3 6" xfId="27549"/>
    <cellStyle name="Normal 2 5 2 8 4" xfId="27550"/>
    <cellStyle name="Normal 2 5 2 8 4 2" xfId="27551"/>
    <cellStyle name="Normal 2 5 2 8 4 2 2" xfId="27552"/>
    <cellStyle name="Normal 2 5 2 8 4 3" xfId="27553"/>
    <cellStyle name="Normal 2 5 2 8 4 4" xfId="27554"/>
    <cellStyle name="Normal 2 5 2 8 4 5" xfId="27555"/>
    <cellStyle name="Normal 2 5 2 8 5" xfId="27556"/>
    <cellStyle name="Normal 2 5 2 8 5 2" xfId="27557"/>
    <cellStyle name="Normal 2 5 2 8 5 3" xfId="27558"/>
    <cellStyle name="Normal 2 5 2 8 5 4" xfId="27559"/>
    <cellStyle name="Normal 2 5 2 8 6" xfId="27560"/>
    <cellStyle name="Normal 2 5 2 8 6 2" xfId="27561"/>
    <cellStyle name="Normal 2 5 2 8 7" xfId="27562"/>
    <cellStyle name="Normal 2 5 2 8 8" xfId="27563"/>
    <cellStyle name="Normal 2 5 2 8 9" xfId="27564"/>
    <cellStyle name="Normal 2 5 2 9" xfId="27565"/>
    <cellStyle name="Normal 2 5 2 9 10" xfId="27566"/>
    <cellStyle name="Normal 2 5 2 9 2" xfId="27567"/>
    <cellStyle name="Normal 2 5 2 9 2 2" xfId="27568"/>
    <cellStyle name="Normal 2 5 2 9 2 2 2" xfId="27569"/>
    <cellStyle name="Normal 2 5 2 9 2 2 3" xfId="27570"/>
    <cellStyle name="Normal 2 5 2 9 2 3" xfId="27571"/>
    <cellStyle name="Normal 2 5 2 9 2 4" xfId="27572"/>
    <cellStyle name="Normal 2 5 2 9 2 5" xfId="27573"/>
    <cellStyle name="Normal 2 5 2 9 2 6" xfId="27574"/>
    <cellStyle name="Normal 2 5 2 9 3" xfId="27575"/>
    <cellStyle name="Normal 2 5 2 9 3 2" xfId="27576"/>
    <cellStyle name="Normal 2 5 2 9 3 2 2" xfId="27577"/>
    <cellStyle name="Normal 2 5 2 9 3 2 3" xfId="27578"/>
    <cellStyle name="Normal 2 5 2 9 3 3" xfId="27579"/>
    <cellStyle name="Normal 2 5 2 9 3 4" xfId="27580"/>
    <cellStyle name="Normal 2 5 2 9 3 5" xfId="27581"/>
    <cellStyle name="Normal 2 5 2 9 3 6" xfId="27582"/>
    <cellStyle name="Normal 2 5 2 9 4" xfId="27583"/>
    <cellStyle name="Normal 2 5 2 9 4 2" xfId="27584"/>
    <cellStyle name="Normal 2 5 2 9 4 2 2" xfId="27585"/>
    <cellStyle name="Normal 2 5 2 9 4 3" xfId="27586"/>
    <cellStyle name="Normal 2 5 2 9 4 4" xfId="27587"/>
    <cellStyle name="Normal 2 5 2 9 4 5" xfId="27588"/>
    <cellStyle name="Normal 2 5 2 9 5" xfId="27589"/>
    <cellStyle name="Normal 2 5 2 9 5 2" xfId="27590"/>
    <cellStyle name="Normal 2 5 2 9 5 3" xfId="27591"/>
    <cellStyle name="Normal 2 5 2 9 5 4" xfId="27592"/>
    <cellStyle name="Normal 2 5 2 9 6" xfId="27593"/>
    <cellStyle name="Normal 2 5 2 9 6 2" xfId="27594"/>
    <cellStyle name="Normal 2 5 2 9 7" xfId="27595"/>
    <cellStyle name="Normal 2 5 2 9 8" xfId="27596"/>
    <cellStyle name="Normal 2 5 2 9 9" xfId="27597"/>
    <cellStyle name="Normal 2 5 3" xfId="27598"/>
    <cellStyle name="Normal 2 5 3 2" xfId="27599"/>
    <cellStyle name="Normal 2 5 4" xfId="27600"/>
    <cellStyle name="Normal 2 5 4 2" xfId="27601"/>
    <cellStyle name="Normal 2 5 5" xfId="27602"/>
    <cellStyle name="Normal 2 5 6" xfId="27603"/>
    <cellStyle name="Normal 2 5 7" xfId="27604"/>
    <cellStyle name="Normal 2 5 8" xfId="27605"/>
    <cellStyle name="Normal 2 5 9" xfId="27606"/>
    <cellStyle name="Normal 2 50" xfId="27607"/>
    <cellStyle name="Normal 2 50 10" xfId="27608"/>
    <cellStyle name="Normal 2 50 2" xfId="27609"/>
    <cellStyle name="Normal 2 50 2 2" xfId="27610"/>
    <cellStyle name="Normal 2 50 2 2 2" xfId="27611"/>
    <cellStyle name="Normal 2 50 2 2 3" xfId="27612"/>
    <cellStyle name="Normal 2 50 2 3" xfId="27613"/>
    <cellStyle name="Normal 2 50 2 4" xfId="27614"/>
    <cellStyle name="Normal 2 50 2 5" xfId="27615"/>
    <cellStyle name="Normal 2 50 2 6" xfId="27616"/>
    <cellStyle name="Normal 2 50 3" xfId="27617"/>
    <cellStyle name="Normal 2 50 3 2" xfId="27618"/>
    <cellStyle name="Normal 2 50 3 2 2" xfId="27619"/>
    <cellStyle name="Normal 2 50 3 2 3" xfId="27620"/>
    <cellStyle name="Normal 2 50 3 3" xfId="27621"/>
    <cellStyle name="Normal 2 50 3 4" xfId="27622"/>
    <cellStyle name="Normal 2 50 3 5" xfId="27623"/>
    <cellStyle name="Normal 2 50 3 6" xfId="27624"/>
    <cellStyle name="Normal 2 50 4" xfId="27625"/>
    <cellStyle name="Normal 2 50 4 2" xfId="27626"/>
    <cellStyle name="Normal 2 50 4 2 2" xfId="27627"/>
    <cellStyle name="Normal 2 50 4 3" xfId="27628"/>
    <cellStyle name="Normal 2 50 4 4" xfId="27629"/>
    <cellStyle name="Normal 2 50 4 5" xfId="27630"/>
    <cellStyle name="Normal 2 50 5" xfId="27631"/>
    <cellStyle name="Normal 2 50 5 2" xfId="27632"/>
    <cellStyle name="Normal 2 50 5 3" xfId="27633"/>
    <cellStyle name="Normal 2 50 5 4" xfId="27634"/>
    <cellStyle name="Normal 2 50 6" xfId="27635"/>
    <cellStyle name="Normal 2 50 6 2" xfId="27636"/>
    <cellStyle name="Normal 2 50 7" xfId="27637"/>
    <cellStyle name="Normal 2 50 8" xfId="27638"/>
    <cellStyle name="Normal 2 50 9" xfId="27639"/>
    <cellStyle name="Normal 2 51" xfId="27640"/>
    <cellStyle name="Normal 2 51 10" xfId="27641"/>
    <cellStyle name="Normal 2 51 2" xfId="27642"/>
    <cellStyle name="Normal 2 51 2 2" xfId="27643"/>
    <cellStyle name="Normal 2 51 2 2 2" xfId="27644"/>
    <cellStyle name="Normal 2 51 2 2 3" xfId="27645"/>
    <cellStyle name="Normal 2 51 2 3" xfId="27646"/>
    <cellStyle name="Normal 2 51 2 4" xfId="27647"/>
    <cellStyle name="Normal 2 51 2 5" xfId="27648"/>
    <cellStyle name="Normal 2 51 2 6" xfId="27649"/>
    <cellStyle name="Normal 2 51 3" xfId="27650"/>
    <cellStyle name="Normal 2 51 3 2" xfId="27651"/>
    <cellStyle name="Normal 2 51 3 2 2" xfId="27652"/>
    <cellStyle name="Normal 2 51 3 2 3" xfId="27653"/>
    <cellStyle name="Normal 2 51 3 3" xfId="27654"/>
    <cellStyle name="Normal 2 51 3 4" xfId="27655"/>
    <cellStyle name="Normal 2 51 3 5" xfId="27656"/>
    <cellStyle name="Normal 2 51 3 6" xfId="27657"/>
    <cellStyle name="Normal 2 51 4" xfId="27658"/>
    <cellStyle name="Normal 2 51 4 2" xfId="27659"/>
    <cellStyle name="Normal 2 51 4 2 2" xfId="27660"/>
    <cellStyle name="Normal 2 51 4 3" xfId="27661"/>
    <cellStyle name="Normal 2 51 4 4" xfId="27662"/>
    <cellStyle name="Normal 2 51 4 5" xfId="27663"/>
    <cellStyle name="Normal 2 51 5" xfId="27664"/>
    <cellStyle name="Normal 2 51 5 2" xfId="27665"/>
    <cellStyle name="Normal 2 51 5 3" xfId="27666"/>
    <cellStyle name="Normal 2 51 5 4" xfId="27667"/>
    <cellStyle name="Normal 2 51 6" xfId="27668"/>
    <cellStyle name="Normal 2 51 6 2" xfId="27669"/>
    <cellStyle name="Normal 2 51 7" xfId="27670"/>
    <cellStyle name="Normal 2 51 8" xfId="27671"/>
    <cellStyle name="Normal 2 51 9" xfId="27672"/>
    <cellStyle name="Normal 2 52" xfId="27673"/>
    <cellStyle name="Normal 2 52 10" xfId="27674"/>
    <cellStyle name="Normal 2 52 2" xfId="27675"/>
    <cellStyle name="Normal 2 52 2 2" xfId="27676"/>
    <cellStyle name="Normal 2 52 2 2 2" xfId="27677"/>
    <cellStyle name="Normal 2 52 2 2 3" xfId="27678"/>
    <cellStyle name="Normal 2 52 2 3" xfId="27679"/>
    <cellStyle name="Normal 2 52 2 4" xfId="27680"/>
    <cellStyle name="Normal 2 52 2 5" xfId="27681"/>
    <cellStyle name="Normal 2 52 2 6" xfId="27682"/>
    <cellStyle name="Normal 2 52 3" xfId="27683"/>
    <cellStyle name="Normal 2 52 3 2" xfId="27684"/>
    <cellStyle name="Normal 2 52 3 2 2" xfId="27685"/>
    <cellStyle name="Normal 2 52 3 2 3" xfId="27686"/>
    <cellStyle name="Normal 2 52 3 3" xfId="27687"/>
    <cellStyle name="Normal 2 52 3 4" xfId="27688"/>
    <cellStyle name="Normal 2 52 3 5" xfId="27689"/>
    <cellStyle name="Normal 2 52 3 6" xfId="27690"/>
    <cellStyle name="Normal 2 52 4" xfId="27691"/>
    <cellStyle name="Normal 2 52 4 2" xfId="27692"/>
    <cellStyle name="Normal 2 52 4 2 2" xfId="27693"/>
    <cellStyle name="Normal 2 52 4 3" xfId="27694"/>
    <cellStyle name="Normal 2 52 4 4" xfId="27695"/>
    <cellStyle name="Normal 2 52 4 5" xfId="27696"/>
    <cellStyle name="Normal 2 52 5" xfId="27697"/>
    <cellStyle name="Normal 2 52 5 2" xfId="27698"/>
    <cellStyle name="Normal 2 52 5 3" xfId="27699"/>
    <cellStyle name="Normal 2 52 5 4" xfId="27700"/>
    <cellStyle name="Normal 2 52 6" xfId="27701"/>
    <cellStyle name="Normal 2 52 6 2" xfId="27702"/>
    <cellStyle name="Normal 2 52 7" xfId="27703"/>
    <cellStyle name="Normal 2 52 8" xfId="27704"/>
    <cellStyle name="Normal 2 52 9" xfId="27705"/>
    <cellStyle name="Normal 2 53" xfId="27706"/>
    <cellStyle name="Normal 2 53 10" xfId="27707"/>
    <cellStyle name="Normal 2 53 2" xfId="27708"/>
    <cellStyle name="Normal 2 53 2 2" xfId="27709"/>
    <cellStyle name="Normal 2 53 2 2 2" xfId="27710"/>
    <cellStyle name="Normal 2 53 2 2 3" xfId="27711"/>
    <cellStyle name="Normal 2 53 2 3" xfId="27712"/>
    <cellStyle name="Normal 2 53 2 4" xfId="27713"/>
    <cellStyle name="Normal 2 53 2 5" xfId="27714"/>
    <cellStyle name="Normal 2 53 2 6" xfId="27715"/>
    <cellStyle name="Normal 2 53 3" xfId="27716"/>
    <cellStyle name="Normal 2 53 3 2" xfId="27717"/>
    <cellStyle name="Normal 2 53 3 2 2" xfId="27718"/>
    <cellStyle name="Normal 2 53 3 2 3" xfId="27719"/>
    <cellStyle name="Normal 2 53 3 3" xfId="27720"/>
    <cellStyle name="Normal 2 53 3 4" xfId="27721"/>
    <cellStyle name="Normal 2 53 3 5" xfId="27722"/>
    <cellStyle name="Normal 2 53 3 6" xfId="27723"/>
    <cellStyle name="Normal 2 53 4" xfId="27724"/>
    <cellStyle name="Normal 2 53 4 2" xfId="27725"/>
    <cellStyle name="Normal 2 53 4 2 2" xfId="27726"/>
    <cellStyle name="Normal 2 53 4 3" xfId="27727"/>
    <cellStyle name="Normal 2 53 4 4" xfId="27728"/>
    <cellStyle name="Normal 2 53 4 5" xfId="27729"/>
    <cellStyle name="Normal 2 53 5" xfId="27730"/>
    <cellStyle name="Normal 2 53 5 2" xfId="27731"/>
    <cellStyle name="Normal 2 53 5 3" xfId="27732"/>
    <cellStyle name="Normal 2 53 5 4" xfId="27733"/>
    <cellStyle name="Normal 2 53 6" xfId="27734"/>
    <cellStyle name="Normal 2 53 6 2" xfId="27735"/>
    <cellStyle name="Normal 2 53 7" xfId="27736"/>
    <cellStyle name="Normal 2 53 8" xfId="27737"/>
    <cellStyle name="Normal 2 53 9" xfId="27738"/>
    <cellStyle name="Normal 2 54" xfId="27739"/>
    <cellStyle name="Normal 2 54 10" xfId="27740"/>
    <cellStyle name="Normal 2 54 2" xfId="27741"/>
    <cellStyle name="Normal 2 54 2 2" xfId="27742"/>
    <cellStyle name="Normal 2 54 2 2 2" xfId="27743"/>
    <cellStyle name="Normal 2 54 2 2 3" xfId="27744"/>
    <cellStyle name="Normal 2 54 2 3" xfId="27745"/>
    <cellStyle name="Normal 2 54 2 4" xfId="27746"/>
    <cellStyle name="Normal 2 54 2 5" xfId="27747"/>
    <cellStyle name="Normal 2 54 2 6" xfId="27748"/>
    <cellStyle name="Normal 2 54 3" xfId="27749"/>
    <cellStyle name="Normal 2 54 3 2" xfId="27750"/>
    <cellStyle name="Normal 2 54 3 2 2" xfId="27751"/>
    <cellStyle name="Normal 2 54 3 2 3" xfId="27752"/>
    <cellStyle name="Normal 2 54 3 3" xfId="27753"/>
    <cellStyle name="Normal 2 54 3 4" xfId="27754"/>
    <cellStyle name="Normal 2 54 3 5" xfId="27755"/>
    <cellStyle name="Normal 2 54 3 6" xfId="27756"/>
    <cellStyle name="Normal 2 54 4" xfId="27757"/>
    <cellStyle name="Normal 2 54 4 2" xfId="27758"/>
    <cellStyle name="Normal 2 54 4 2 2" xfId="27759"/>
    <cellStyle name="Normal 2 54 4 3" xfId="27760"/>
    <cellStyle name="Normal 2 54 4 4" xfId="27761"/>
    <cellStyle name="Normal 2 54 4 5" xfId="27762"/>
    <cellStyle name="Normal 2 54 5" xfId="27763"/>
    <cellStyle name="Normal 2 54 5 2" xfId="27764"/>
    <cellStyle name="Normal 2 54 5 3" xfId="27765"/>
    <cellStyle name="Normal 2 54 5 4" xfId="27766"/>
    <cellStyle name="Normal 2 54 6" xfId="27767"/>
    <cellStyle name="Normal 2 54 6 2" xfId="27768"/>
    <cellStyle name="Normal 2 54 7" xfId="27769"/>
    <cellStyle name="Normal 2 54 8" xfId="27770"/>
    <cellStyle name="Normal 2 54 9" xfId="27771"/>
    <cellStyle name="Normal 2 55" xfId="27772"/>
    <cellStyle name="Normal 2 55 10" xfId="27773"/>
    <cellStyle name="Normal 2 55 2" xfId="27774"/>
    <cellStyle name="Normal 2 55 2 2" xfId="27775"/>
    <cellStyle name="Normal 2 55 2 2 2" xfId="27776"/>
    <cellStyle name="Normal 2 55 2 2 3" xfId="27777"/>
    <cellStyle name="Normal 2 55 2 3" xfId="27778"/>
    <cellStyle name="Normal 2 55 2 4" xfId="27779"/>
    <cellStyle name="Normal 2 55 2 5" xfId="27780"/>
    <cellStyle name="Normal 2 55 2 6" xfId="27781"/>
    <cellStyle name="Normal 2 55 3" xfId="27782"/>
    <cellStyle name="Normal 2 55 3 2" xfId="27783"/>
    <cellStyle name="Normal 2 55 3 2 2" xfId="27784"/>
    <cellStyle name="Normal 2 55 3 2 3" xfId="27785"/>
    <cellStyle name="Normal 2 55 3 3" xfId="27786"/>
    <cellStyle name="Normal 2 55 3 4" xfId="27787"/>
    <cellStyle name="Normal 2 55 3 5" xfId="27788"/>
    <cellStyle name="Normal 2 55 3 6" xfId="27789"/>
    <cellStyle name="Normal 2 55 4" xfId="27790"/>
    <cellStyle name="Normal 2 55 4 2" xfId="27791"/>
    <cellStyle name="Normal 2 55 4 2 2" xfId="27792"/>
    <cellStyle name="Normal 2 55 4 3" xfId="27793"/>
    <cellStyle name="Normal 2 55 4 4" xfId="27794"/>
    <cellStyle name="Normal 2 55 4 5" xfId="27795"/>
    <cellStyle name="Normal 2 55 5" xfId="27796"/>
    <cellStyle name="Normal 2 55 5 2" xfId="27797"/>
    <cellStyle name="Normal 2 55 5 3" xfId="27798"/>
    <cellStyle name="Normal 2 55 5 4" xfId="27799"/>
    <cellStyle name="Normal 2 55 6" xfId="27800"/>
    <cellStyle name="Normal 2 55 6 2" xfId="27801"/>
    <cellStyle name="Normal 2 55 7" xfId="27802"/>
    <cellStyle name="Normal 2 55 8" xfId="27803"/>
    <cellStyle name="Normal 2 55 9" xfId="27804"/>
    <cellStyle name="Normal 2 56" xfId="27805"/>
    <cellStyle name="Normal 2 56 10" xfId="27806"/>
    <cellStyle name="Normal 2 56 2" xfId="27807"/>
    <cellStyle name="Normal 2 56 2 2" xfId="27808"/>
    <cellStyle name="Normal 2 56 2 2 2" xfId="27809"/>
    <cellStyle name="Normal 2 56 2 2 3" xfId="27810"/>
    <cellStyle name="Normal 2 56 2 3" xfId="27811"/>
    <cellStyle name="Normal 2 56 2 4" xfId="27812"/>
    <cellStyle name="Normal 2 56 2 5" xfId="27813"/>
    <cellStyle name="Normal 2 56 2 6" xfId="27814"/>
    <cellStyle name="Normal 2 56 3" xfId="27815"/>
    <cellStyle name="Normal 2 56 3 2" xfId="27816"/>
    <cellStyle name="Normal 2 56 3 2 2" xfId="27817"/>
    <cellStyle name="Normal 2 56 3 2 3" xfId="27818"/>
    <cellStyle name="Normal 2 56 3 3" xfId="27819"/>
    <cellStyle name="Normal 2 56 3 4" xfId="27820"/>
    <cellStyle name="Normal 2 56 3 5" xfId="27821"/>
    <cellStyle name="Normal 2 56 3 6" xfId="27822"/>
    <cellStyle name="Normal 2 56 4" xfId="27823"/>
    <cellStyle name="Normal 2 56 4 2" xfId="27824"/>
    <cellStyle name="Normal 2 56 4 2 2" xfId="27825"/>
    <cellStyle name="Normal 2 56 4 3" xfId="27826"/>
    <cellStyle name="Normal 2 56 4 4" xfId="27827"/>
    <cellStyle name="Normal 2 56 4 5" xfId="27828"/>
    <cellStyle name="Normal 2 56 5" xfId="27829"/>
    <cellStyle name="Normal 2 56 5 2" xfId="27830"/>
    <cellStyle name="Normal 2 56 5 3" xfId="27831"/>
    <cellStyle name="Normal 2 56 5 4" xfId="27832"/>
    <cellStyle name="Normal 2 56 6" xfId="27833"/>
    <cellStyle name="Normal 2 56 6 2" xfId="27834"/>
    <cellStyle name="Normal 2 56 7" xfId="27835"/>
    <cellStyle name="Normal 2 56 8" xfId="27836"/>
    <cellStyle name="Normal 2 56 9" xfId="27837"/>
    <cellStyle name="Normal 2 57" xfId="27838"/>
    <cellStyle name="Normal 2 57 10" xfId="27839"/>
    <cellStyle name="Normal 2 57 2" xfId="27840"/>
    <cellStyle name="Normal 2 57 2 2" xfId="27841"/>
    <cellStyle name="Normal 2 57 2 2 2" xfId="27842"/>
    <cellStyle name="Normal 2 57 2 2 3" xfId="27843"/>
    <cellStyle name="Normal 2 57 2 3" xfId="27844"/>
    <cellStyle name="Normal 2 57 2 4" xfId="27845"/>
    <cellStyle name="Normal 2 57 2 5" xfId="27846"/>
    <cellStyle name="Normal 2 57 2 6" xfId="27847"/>
    <cellStyle name="Normal 2 57 3" xfId="27848"/>
    <cellStyle name="Normal 2 57 3 2" xfId="27849"/>
    <cellStyle name="Normal 2 57 3 2 2" xfId="27850"/>
    <cellStyle name="Normal 2 57 3 2 3" xfId="27851"/>
    <cellStyle name="Normal 2 57 3 3" xfId="27852"/>
    <cellStyle name="Normal 2 57 3 4" xfId="27853"/>
    <cellStyle name="Normal 2 57 3 5" xfId="27854"/>
    <cellStyle name="Normal 2 57 3 6" xfId="27855"/>
    <cellStyle name="Normal 2 57 4" xfId="27856"/>
    <cellStyle name="Normal 2 57 4 2" xfId="27857"/>
    <cellStyle name="Normal 2 57 4 2 2" xfId="27858"/>
    <cellStyle name="Normal 2 57 4 3" xfId="27859"/>
    <cellStyle name="Normal 2 57 4 4" xfId="27860"/>
    <cellStyle name="Normal 2 57 4 5" xfId="27861"/>
    <cellStyle name="Normal 2 57 5" xfId="27862"/>
    <cellStyle name="Normal 2 57 5 2" xfId="27863"/>
    <cellStyle name="Normal 2 57 5 3" xfId="27864"/>
    <cellStyle name="Normal 2 57 5 4" xfId="27865"/>
    <cellStyle name="Normal 2 57 6" xfId="27866"/>
    <cellStyle name="Normal 2 57 6 2" xfId="27867"/>
    <cellStyle name="Normal 2 57 7" xfId="27868"/>
    <cellStyle name="Normal 2 57 8" xfId="27869"/>
    <cellStyle name="Normal 2 57 9" xfId="27870"/>
    <cellStyle name="Normal 2 58" xfId="27871"/>
    <cellStyle name="Normal 2 58 10" xfId="27872"/>
    <cellStyle name="Normal 2 58 2" xfId="27873"/>
    <cellStyle name="Normal 2 58 2 2" xfId="27874"/>
    <cellStyle name="Normal 2 58 2 2 2" xfId="27875"/>
    <cellStyle name="Normal 2 58 2 2 3" xfId="27876"/>
    <cellStyle name="Normal 2 58 2 3" xfId="27877"/>
    <cellStyle name="Normal 2 58 2 4" xfId="27878"/>
    <cellStyle name="Normal 2 58 2 5" xfId="27879"/>
    <cellStyle name="Normal 2 58 2 6" xfId="27880"/>
    <cellStyle name="Normal 2 58 3" xfId="27881"/>
    <cellStyle name="Normal 2 58 3 2" xfId="27882"/>
    <cellStyle name="Normal 2 58 3 2 2" xfId="27883"/>
    <cellStyle name="Normal 2 58 3 2 3" xfId="27884"/>
    <cellStyle name="Normal 2 58 3 3" xfId="27885"/>
    <cellStyle name="Normal 2 58 3 4" xfId="27886"/>
    <cellStyle name="Normal 2 58 3 5" xfId="27887"/>
    <cellStyle name="Normal 2 58 3 6" xfId="27888"/>
    <cellStyle name="Normal 2 58 4" xfId="27889"/>
    <cellStyle name="Normal 2 58 4 2" xfId="27890"/>
    <cellStyle name="Normal 2 58 4 2 2" xfId="27891"/>
    <cellStyle name="Normal 2 58 4 3" xfId="27892"/>
    <cellStyle name="Normal 2 58 4 4" xfId="27893"/>
    <cellStyle name="Normal 2 58 4 5" xfId="27894"/>
    <cellStyle name="Normal 2 58 5" xfId="27895"/>
    <cellStyle name="Normal 2 58 5 2" xfId="27896"/>
    <cellStyle name="Normal 2 58 5 3" xfId="27897"/>
    <cellStyle name="Normal 2 58 5 4" xfId="27898"/>
    <cellStyle name="Normal 2 58 6" xfId="27899"/>
    <cellStyle name="Normal 2 58 6 2" xfId="27900"/>
    <cellStyle name="Normal 2 58 7" xfId="27901"/>
    <cellStyle name="Normal 2 58 8" xfId="27902"/>
    <cellStyle name="Normal 2 58 9" xfId="27903"/>
    <cellStyle name="Normal 2 59" xfId="27904"/>
    <cellStyle name="Normal 2 59 10" xfId="27905"/>
    <cellStyle name="Normal 2 59 2" xfId="27906"/>
    <cellStyle name="Normal 2 59 2 2" xfId="27907"/>
    <cellStyle name="Normal 2 59 2 2 2" xfId="27908"/>
    <cellStyle name="Normal 2 59 2 2 3" xfId="27909"/>
    <cellStyle name="Normal 2 59 2 3" xfId="27910"/>
    <cellStyle name="Normal 2 59 2 4" xfId="27911"/>
    <cellStyle name="Normal 2 59 2 5" xfId="27912"/>
    <cellStyle name="Normal 2 59 2 6" xfId="27913"/>
    <cellStyle name="Normal 2 59 3" xfId="27914"/>
    <cellStyle name="Normal 2 59 3 2" xfId="27915"/>
    <cellStyle name="Normal 2 59 3 2 2" xfId="27916"/>
    <cellStyle name="Normal 2 59 3 2 3" xfId="27917"/>
    <cellStyle name="Normal 2 59 3 3" xfId="27918"/>
    <cellStyle name="Normal 2 59 3 4" xfId="27919"/>
    <cellStyle name="Normal 2 59 3 5" xfId="27920"/>
    <cellStyle name="Normal 2 59 3 6" xfId="27921"/>
    <cellStyle name="Normal 2 59 4" xfId="27922"/>
    <cellStyle name="Normal 2 59 4 2" xfId="27923"/>
    <cellStyle name="Normal 2 59 4 2 2" xfId="27924"/>
    <cellStyle name="Normal 2 59 4 3" xfId="27925"/>
    <cellStyle name="Normal 2 59 4 4" xfId="27926"/>
    <cellStyle name="Normal 2 59 4 5" xfId="27927"/>
    <cellStyle name="Normal 2 59 5" xfId="27928"/>
    <cellStyle name="Normal 2 59 5 2" xfId="27929"/>
    <cellStyle name="Normal 2 59 5 3" xfId="27930"/>
    <cellStyle name="Normal 2 59 5 4" xfId="27931"/>
    <cellStyle name="Normal 2 59 6" xfId="27932"/>
    <cellStyle name="Normal 2 59 6 2" xfId="27933"/>
    <cellStyle name="Normal 2 59 7" xfId="27934"/>
    <cellStyle name="Normal 2 59 8" xfId="27935"/>
    <cellStyle name="Normal 2 59 9" xfId="27936"/>
    <cellStyle name="Normal 2 6" xfId="27937"/>
    <cellStyle name="Normal 2 6 10" xfId="27938"/>
    <cellStyle name="Normal 2 6 10 10" xfId="27939"/>
    <cellStyle name="Normal 2 6 10 11" xfId="27940"/>
    <cellStyle name="Normal 2 6 10 2" xfId="27941"/>
    <cellStyle name="Normal 2 6 10 2 2" xfId="27942"/>
    <cellStyle name="Normal 2 6 10 2 2 2" xfId="27943"/>
    <cellStyle name="Normal 2 6 10 2 2 2 2" xfId="27944"/>
    <cellStyle name="Normal 2 6 10 2 2 2 3" xfId="27945"/>
    <cellStyle name="Normal 2 6 10 2 2 3" xfId="27946"/>
    <cellStyle name="Normal 2 6 10 2 2 4" xfId="27947"/>
    <cellStyle name="Normal 2 6 10 2 2 5" xfId="27948"/>
    <cellStyle name="Normal 2 6 10 2 2 6" xfId="27949"/>
    <cellStyle name="Normal 2 6 10 2 3" xfId="27950"/>
    <cellStyle name="Normal 2 6 10 2 3 2" xfId="27951"/>
    <cellStyle name="Normal 2 6 10 2 3 2 2" xfId="27952"/>
    <cellStyle name="Normal 2 6 10 2 3 3" xfId="27953"/>
    <cellStyle name="Normal 2 6 10 2 3 4" xfId="27954"/>
    <cellStyle name="Normal 2 6 10 2 3 5" xfId="27955"/>
    <cellStyle name="Normal 2 6 10 2 4" xfId="27956"/>
    <cellStyle name="Normal 2 6 10 2 4 2" xfId="27957"/>
    <cellStyle name="Normal 2 6 10 2 4 3" xfId="27958"/>
    <cellStyle name="Normal 2 6 10 2 4 4" xfId="27959"/>
    <cellStyle name="Normal 2 6 10 2 5" xfId="27960"/>
    <cellStyle name="Normal 2 6 10 2 5 2" xfId="27961"/>
    <cellStyle name="Normal 2 6 10 2 6" xfId="27962"/>
    <cellStyle name="Normal 2 6 10 2 7" xfId="27963"/>
    <cellStyle name="Normal 2 6 10 2 8" xfId="27964"/>
    <cellStyle name="Normal 2 6 10 2 9" xfId="27965"/>
    <cellStyle name="Normal 2 6 10 3" xfId="27966"/>
    <cellStyle name="Normal 2 6 10 3 2" xfId="27967"/>
    <cellStyle name="Normal 2 6 10 3 2 2" xfId="27968"/>
    <cellStyle name="Normal 2 6 10 3 2 2 2" xfId="27969"/>
    <cellStyle name="Normal 2 6 10 3 2 2 3" xfId="27970"/>
    <cellStyle name="Normal 2 6 10 3 2 3" xfId="27971"/>
    <cellStyle name="Normal 2 6 10 3 2 4" xfId="27972"/>
    <cellStyle name="Normal 2 6 10 3 2 5" xfId="27973"/>
    <cellStyle name="Normal 2 6 10 3 2 6" xfId="27974"/>
    <cellStyle name="Normal 2 6 10 3 3" xfId="27975"/>
    <cellStyle name="Normal 2 6 10 3 3 2" xfId="27976"/>
    <cellStyle name="Normal 2 6 10 3 3 2 2" xfId="27977"/>
    <cellStyle name="Normal 2 6 10 3 3 3" xfId="27978"/>
    <cellStyle name="Normal 2 6 10 3 3 4" xfId="27979"/>
    <cellStyle name="Normal 2 6 10 3 3 5" xfId="27980"/>
    <cellStyle name="Normal 2 6 10 3 4" xfId="27981"/>
    <cellStyle name="Normal 2 6 10 3 4 2" xfId="27982"/>
    <cellStyle name="Normal 2 6 10 3 4 3" xfId="27983"/>
    <cellStyle name="Normal 2 6 10 3 4 4" xfId="27984"/>
    <cellStyle name="Normal 2 6 10 3 5" xfId="27985"/>
    <cellStyle name="Normal 2 6 10 3 5 2" xfId="27986"/>
    <cellStyle name="Normal 2 6 10 3 6" xfId="27987"/>
    <cellStyle name="Normal 2 6 10 3 7" xfId="27988"/>
    <cellStyle name="Normal 2 6 10 3 8" xfId="27989"/>
    <cellStyle name="Normal 2 6 10 3 9" xfId="27990"/>
    <cellStyle name="Normal 2 6 10 4" xfId="27991"/>
    <cellStyle name="Normal 2 6 10 4 2" xfId="27992"/>
    <cellStyle name="Normal 2 6 10 4 2 2" xfId="27993"/>
    <cellStyle name="Normal 2 6 10 4 2 3" xfId="27994"/>
    <cellStyle name="Normal 2 6 10 4 3" xfId="27995"/>
    <cellStyle name="Normal 2 6 10 4 4" xfId="27996"/>
    <cellStyle name="Normal 2 6 10 4 5" xfId="27997"/>
    <cellStyle name="Normal 2 6 10 4 6" xfId="27998"/>
    <cellStyle name="Normal 2 6 10 5" xfId="27999"/>
    <cellStyle name="Normal 2 6 10 5 2" xfId="28000"/>
    <cellStyle name="Normal 2 6 10 5 2 2" xfId="28001"/>
    <cellStyle name="Normal 2 6 10 5 3" xfId="28002"/>
    <cellStyle name="Normal 2 6 10 5 4" xfId="28003"/>
    <cellStyle name="Normal 2 6 10 5 5" xfId="28004"/>
    <cellStyle name="Normal 2 6 10 6" xfId="28005"/>
    <cellStyle name="Normal 2 6 10 6 2" xfId="28006"/>
    <cellStyle name="Normal 2 6 10 6 3" xfId="28007"/>
    <cellStyle name="Normal 2 6 10 6 4" xfId="28008"/>
    <cellStyle name="Normal 2 6 10 7" xfId="28009"/>
    <cellStyle name="Normal 2 6 10 7 2" xfId="28010"/>
    <cellStyle name="Normal 2 6 10 8" xfId="28011"/>
    <cellStyle name="Normal 2 6 10 9" xfId="28012"/>
    <cellStyle name="Normal 2 6 11" xfId="28013"/>
    <cellStyle name="Normal 2 6 11 10" xfId="28014"/>
    <cellStyle name="Normal 2 6 11 2" xfId="28015"/>
    <cellStyle name="Normal 2 6 11 2 2" xfId="28016"/>
    <cellStyle name="Normal 2 6 11 2 2 2" xfId="28017"/>
    <cellStyle name="Normal 2 6 11 2 2 3" xfId="28018"/>
    <cellStyle name="Normal 2 6 11 2 3" xfId="28019"/>
    <cellStyle name="Normal 2 6 11 2 4" xfId="28020"/>
    <cellStyle name="Normal 2 6 11 2 5" xfId="28021"/>
    <cellStyle name="Normal 2 6 11 2 6" xfId="28022"/>
    <cellStyle name="Normal 2 6 11 3" xfId="28023"/>
    <cellStyle name="Normal 2 6 11 3 2" xfId="28024"/>
    <cellStyle name="Normal 2 6 11 3 2 2" xfId="28025"/>
    <cellStyle name="Normal 2 6 11 3 2 3" xfId="28026"/>
    <cellStyle name="Normal 2 6 11 3 3" xfId="28027"/>
    <cellStyle name="Normal 2 6 11 3 4" xfId="28028"/>
    <cellStyle name="Normal 2 6 11 3 5" xfId="28029"/>
    <cellStyle name="Normal 2 6 11 3 6" xfId="28030"/>
    <cellStyle name="Normal 2 6 11 4" xfId="28031"/>
    <cellStyle name="Normal 2 6 11 4 2" xfId="28032"/>
    <cellStyle name="Normal 2 6 11 4 2 2" xfId="28033"/>
    <cellStyle name="Normal 2 6 11 4 3" xfId="28034"/>
    <cellStyle name="Normal 2 6 11 4 4" xfId="28035"/>
    <cellStyle name="Normal 2 6 11 4 5" xfId="28036"/>
    <cellStyle name="Normal 2 6 11 5" xfId="28037"/>
    <cellStyle name="Normal 2 6 11 5 2" xfId="28038"/>
    <cellStyle name="Normal 2 6 11 5 3" xfId="28039"/>
    <cellStyle name="Normal 2 6 11 5 4" xfId="28040"/>
    <cellStyle name="Normal 2 6 11 6" xfId="28041"/>
    <cellStyle name="Normal 2 6 11 6 2" xfId="28042"/>
    <cellStyle name="Normal 2 6 11 7" xfId="28043"/>
    <cellStyle name="Normal 2 6 11 8" xfId="28044"/>
    <cellStyle name="Normal 2 6 11 9" xfId="28045"/>
    <cellStyle name="Normal 2 6 12" xfId="28046"/>
    <cellStyle name="Normal 2 6 12 10" xfId="28047"/>
    <cellStyle name="Normal 2 6 12 2" xfId="28048"/>
    <cellStyle name="Normal 2 6 12 2 2" xfId="28049"/>
    <cellStyle name="Normal 2 6 12 2 2 2" xfId="28050"/>
    <cellStyle name="Normal 2 6 12 2 2 3" xfId="28051"/>
    <cellStyle name="Normal 2 6 12 2 3" xfId="28052"/>
    <cellStyle name="Normal 2 6 12 2 4" xfId="28053"/>
    <cellStyle name="Normal 2 6 12 2 5" xfId="28054"/>
    <cellStyle name="Normal 2 6 12 2 6" xfId="28055"/>
    <cellStyle name="Normal 2 6 12 3" xfId="28056"/>
    <cellStyle name="Normal 2 6 12 3 2" xfId="28057"/>
    <cellStyle name="Normal 2 6 12 3 2 2" xfId="28058"/>
    <cellStyle name="Normal 2 6 12 3 2 3" xfId="28059"/>
    <cellStyle name="Normal 2 6 12 3 3" xfId="28060"/>
    <cellStyle name="Normal 2 6 12 3 4" xfId="28061"/>
    <cellStyle name="Normal 2 6 12 3 5" xfId="28062"/>
    <cellStyle name="Normal 2 6 12 3 6" xfId="28063"/>
    <cellStyle name="Normal 2 6 12 4" xfId="28064"/>
    <cellStyle name="Normal 2 6 12 4 2" xfId="28065"/>
    <cellStyle name="Normal 2 6 12 4 2 2" xfId="28066"/>
    <cellStyle name="Normal 2 6 12 4 3" xfId="28067"/>
    <cellStyle name="Normal 2 6 12 4 4" xfId="28068"/>
    <cellStyle name="Normal 2 6 12 4 5" xfId="28069"/>
    <cellStyle name="Normal 2 6 12 5" xfId="28070"/>
    <cellStyle name="Normal 2 6 12 5 2" xfId="28071"/>
    <cellStyle name="Normal 2 6 12 5 3" xfId="28072"/>
    <cellStyle name="Normal 2 6 12 5 4" xfId="28073"/>
    <cellStyle name="Normal 2 6 12 6" xfId="28074"/>
    <cellStyle name="Normal 2 6 12 6 2" xfId="28075"/>
    <cellStyle name="Normal 2 6 12 7" xfId="28076"/>
    <cellStyle name="Normal 2 6 12 8" xfId="28077"/>
    <cellStyle name="Normal 2 6 12 9" xfId="28078"/>
    <cellStyle name="Normal 2 6 13" xfId="28079"/>
    <cellStyle name="Normal 2 6 13 10" xfId="28080"/>
    <cellStyle name="Normal 2 6 13 2" xfId="28081"/>
    <cellStyle name="Normal 2 6 13 2 2" xfId="28082"/>
    <cellStyle name="Normal 2 6 13 2 2 2" xfId="28083"/>
    <cellStyle name="Normal 2 6 13 2 2 3" xfId="28084"/>
    <cellStyle name="Normal 2 6 13 2 3" xfId="28085"/>
    <cellStyle name="Normal 2 6 13 2 4" xfId="28086"/>
    <cellStyle name="Normal 2 6 13 2 5" xfId="28087"/>
    <cellStyle name="Normal 2 6 13 2 6" xfId="28088"/>
    <cellStyle name="Normal 2 6 13 3" xfId="28089"/>
    <cellStyle name="Normal 2 6 13 3 2" xfId="28090"/>
    <cellStyle name="Normal 2 6 13 3 2 2" xfId="28091"/>
    <cellStyle name="Normal 2 6 13 3 2 3" xfId="28092"/>
    <cellStyle name="Normal 2 6 13 3 3" xfId="28093"/>
    <cellStyle name="Normal 2 6 13 3 4" xfId="28094"/>
    <cellStyle name="Normal 2 6 13 3 5" xfId="28095"/>
    <cellStyle name="Normal 2 6 13 3 6" xfId="28096"/>
    <cellStyle name="Normal 2 6 13 4" xfId="28097"/>
    <cellStyle name="Normal 2 6 13 4 2" xfId="28098"/>
    <cellStyle name="Normal 2 6 13 4 2 2" xfId="28099"/>
    <cellStyle name="Normal 2 6 13 4 3" xfId="28100"/>
    <cellStyle name="Normal 2 6 13 4 4" xfId="28101"/>
    <cellStyle name="Normal 2 6 13 4 5" xfId="28102"/>
    <cellStyle name="Normal 2 6 13 5" xfId="28103"/>
    <cellStyle name="Normal 2 6 13 5 2" xfId="28104"/>
    <cellStyle name="Normal 2 6 13 5 3" xfId="28105"/>
    <cellStyle name="Normal 2 6 13 5 4" xfId="28106"/>
    <cellStyle name="Normal 2 6 13 6" xfId="28107"/>
    <cellStyle name="Normal 2 6 13 6 2" xfId="28108"/>
    <cellStyle name="Normal 2 6 13 7" xfId="28109"/>
    <cellStyle name="Normal 2 6 13 8" xfId="28110"/>
    <cellStyle name="Normal 2 6 13 9" xfId="28111"/>
    <cellStyle name="Normal 2 6 14" xfId="28112"/>
    <cellStyle name="Normal 2 6 14 10" xfId="28113"/>
    <cellStyle name="Normal 2 6 14 2" xfId="28114"/>
    <cellStyle name="Normal 2 6 14 2 2" xfId="28115"/>
    <cellStyle name="Normal 2 6 14 2 2 2" xfId="28116"/>
    <cellStyle name="Normal 2 6 14 2 2 3" xfId="28117"/>
    <cellStyle name="Normal 2 6 14 2 3" xfId="28118"/>
    <cellStyle name="Normal 2 6 14 2 4" xfId="28119"/>
    <cellStyle name="Normal 2 6 14 2 5" xfId="28120"/>
    <cellStyle name="Normal 2 6 14 2 6" xfId="28121"/>
    <cellStyle name="Normal 2 6 14 3" xfId="28122"/>
    <cellStyle name="Normal 2 6 14 3 2" xfId="28123"/>
    <cellStyle name="Normal 2 6 14 3 2 2" xfId="28124"/>
    <cellStyle name="Normal 2 6 14 3 2 3" xfId="28125"/>
    <cellStyle name="Normal 2 6 14 3 3" xfId="28126"/>
    <cellStyle name="Normal 2 6 14 3 4" xfId="28127"/>
    <cellStyle name="Normal 2 6 14 3 5" xfId="28128"/>
    <cellStyle name="Normal 2 6 14 3 6" xfId="28129"/>
    <cellStyle name="Normal 2 6 14 4" xfId="28130"/>
    <cellStyle name="Normal 2 6 14 4 2" xfId="28131"/>
    <cellStyle name="Normal 2 6 14 4 2 2" xfId="28132"/>
    <cellStyle name="Normal 2 6 14 4 3" xfId="28133"/>
    <cellStyle name="Normal 2 6 14 4 4" xfId="28134"/>
    <cellStyle name="Normal 2 6 14 4 5" xfId="28135"/>
    <cellStyle name="Normal 2 6 14 5" xfId="28136"/>
    <cellStyle name="Normal 2 6 14 5 2" xfId="28137"/>
    <cellStyle name="Normal 2 6 14 5 3" xfId="28138"/>
    <cellStyle name="Normal 2 6 14 5 4" xfId="28139"/>
    <cellStyle name="Normal 2 6 14 6" xfId="28140"/>
    <cellStyle name="Normal 2 6 14 6 2" xfId="28141"/>
    <cellStyle name="Normal 2 6 14 7" xfId="28142"/>
    <cellStyle name="Normal 2 6 14 8" xfId="28143"/>
    <cellStyle name="Normal 2 6 14 9" xfId="28144"/>
    <cellStyle name="Normal 2 6 15" xfId="28145"/>
    <cellStyle name="Normal 2 6 15 10" xfId="28146"/>
    <cellStyle name="Normal 2 6 15 2" xfId="28147"/>
    <cellStyle name="Normal 2 6 15 2 2" xfId="28148"/>
    <cellStyle name="Normal 2 6 15 2 2 2" xfId="28149"/>
    <cellStyle name="Normal 2 6 15 2 2 3" xfId="28150"/>
    <cellStyle name="Normal 2 6 15 2 3" xfId="28151"/>
    <cellStyle name="Normal 2 6 15 2 4" xfId="28152"/>
    <cellStyle name="Normal 2 6 15 2 5" xfId="28153"/>
    <cellStyle name="Normal 2 6 15 2 6" xfId="28154"/>
    <cellStyle name="Normal 2 6 15 3" xfId="28155"/>
    <cellStyle name="Normal 2 6 15 3 2" xfId="28156"/>
    <cellStyle name="Normal 2 6 15 3 2 2" xfId="28157"/>
    <cellStyle name="Normal 2 6 15 3 2 3" xfId="28158"/>
    <cellStyle name="Normal 2 6 15 3 3" xfId="28159"/>
    <cellStyle name="Normal 2 6 15 3 4" xfId="28160"/>
    <cellStyle name="Normal 2 6 15 3 5" xfId="28161"/>
    <cellStyle name="Normal 2 6 15 3 6" xfId="28162"/>
    <cellStyle name="Normal 2 6 15 4" xfId="28163"/>
    <cellStyle name="Normal 2 6 15 4 2" xfId="28164"/>
    <cellStyle name="Normal 2 6 15 4 2 2" xfId="28165"/>
    <cellStyle name="Normal 2 6 15 4 3" xfId="28166"/>
    <cellStyle name="Normal 2 6 15 4 4" xfId="28167"/>
    <cellStyle name="Normal 2 6 15 4 5" xfId="28168"/>
    <cellStyle name="Normal 2 6 15 5" xfId="28169"/>
    <cellStyle name="Normal 2 6 15 5 2" xfId="28170"/>
    <cellStyle name="Normal 2 6 15 5 3" xfId="28171"/>
    <cellStyle name="Normal 2 6 15 5 4" xfId="28172"/>
    <cellStyle name="Normal 2 6 15 6" xfId="28173"/>
    <cellStyle name="Normal 2 6 15 6 2" xfId="28174"/>
    <cellStyle name="Normal 2 6 15 7" xfId="28175"/>
    <cellStyle name="Normal 2 6 15 8" xfId="28176"/>
    <cellStyle name="Normal 2 6 15 9" xfId="28177"/>
    <cellStyle name="Normal 2 6 16" xfId="28178"/>
    <cellStyle name="Normal 2 6 16 10" xfId="28179"/>
    <cellStyle name="Normal 2 6 16 2" xfId="28180"/>
    <cellStyle name="Normal 2 6 16 2 2" xfId="28181"/>
    <cellStyle name="Normal 2 6 16 2 2 2" xfId="28182"/>
    <cellStyle name="Normal 2 6 16 2 2 3" xfId="28183"/>
    <cellStyle name="Normal 2 6 16 2 3" xfId="28184"/>
    <cellStyle name="Normal 2 6 16 2 4" xfId="28185"/>
    <cellStyle name="Normal 2 6 16 2 5" xfId="28186"/>
    <cellStyle name="Normal 2 6 16 2 6" xfId="28187"/>
    <cellStyle name="Normal 2 6 16 3" xfId="28188"/>
    <cellStyle name="Normal 2 6 16 3 2" xfId="28189"/>
    <cellStyle name="Normal 2 6 16 3 2 2" xfId="28190"/>
    <cellStyle name="Normal 2 6 16 3 2 3" xfId="28191"/>
    <cellStyle name="Normal 2 6 16 3 3" xfId="28192"/>
    <cellStyle name="Normal 2 6 16 3 4" xfId="28193"/>
    <cellStyle name="Normal 2 6 16 3 5" xfId="28194"/>
    <cellStyle name="Normal 2 6 16 3 6" xfId="28195"/>
    <cellStyle name="Normal 2 6 16 4" xfId="28196"/>
    <cellStyle name="Normal 2 6 16 4 2" xfId="28197"/>
    <cellStyle name="Normal 2 6 16 4 2 2" xfId="28198"/>
    <cellStyle name="Normal 2 6 16 4 3" xfId="28199"/>
    <cellStyle name="Normal 2 6 16 4 4" xfId="28200"/>
    <cellStyle name="Normal 2 6 16 4 5" xfId="28201"/>
    <cellStyle name="Normal 2 6 16 5" xfId="28202"/>
    <cellStyle name="Normal 2 6 16 5 2" xfId="28203"/>
    <cellStyle name="Normal 2 6 16 5 3" xfId="28204"/>
    <cellStyle name="Normal 2 6 16 5 4" xfId="28205"/>
    <cellStyle name="Normal 2 6 16 6" xfId="28206"/>
    <cellStyle name="Normal 2 6 16 6 2" xfId="28207"/>
    <cellStyle name="Normal 2 6 16 7" xfId="28208"/>
    <cellStyle name="Normal 2 6 16 8" xfId="28209"/>
    <cellStyle name="Normal 2 6 16 9" xfId="28210"/>
    <cellStyle name="Normal 2 6 17" xfId="28211"/>
    <cellStyle name="Normal 2 6 17 10" xfId="28212"/>
    <cellStyle name="Normal 2 6 17 2" xfId="28213"/>
    <cellStyle name="Normal 2 6 17 2 2" xfId="28214"/>
    <cellStyle name="Normal 2 6 17 2 2 2" xfId="28215"/>
    <cellStyle name="Normal 2 6 17 2 2 3" xfId="28216"/>
    <cellStyle name="Normal 2 6 17 2 3" xfId="28217"/>
    <cellStyle name="Normal 2 6 17 2 4" xfId="28218"/>
    <cellStyle name="Normal 2 6 17 2 5" xfId="28219"/>
    <cellStyle name="Normal 2 6 17 2 6" xfId="28220"/>
    <cellStyle name="Normal 2 6 17 3" xfId="28221"/>
    <cellStyle name="Normal 2 6 17 3 2" xfId="28222"/>
    <cellStyle name="Normal 2 6 17 3 2 2" xfId="28223"/>
    <cellStyle name="Normal 2 6 17 3 2 3" xfId="28224"/>
    <cellStyle name="Normal 2 6 17 3 3" xfId="28225"/>
    <cellStyle name="Normal 2 6 17 3 4" xfId="28226"/>
    <cellStyle name="Normal 2 6 17 3 5" xfId="28227"/>
    <cellStyle name="Normal 2 6 17 3 6" xfId="28228"/>
    <cellStyle name="Normal 2 6 17 4" xfId="28229"/>
    <cellStyle name="Normal 2 6 17 4 2" xfId="28230"/>
    <cellStyle name="Normal 2 6 17 4 2 2" xfId="28231"/>
    <cellStyle name="Normal 2 6 17 4 3" xfId="28232"/>
    <cellStyle name="Normal 2 6 17 4 4" xfId="28233"/>
    <cellStyle name="Normal 2 6 17 4 5" xfId="28234"/>
    <cellStyle name="Normal 2 6 17 5" xfId="28235"/>
    <cellStyle name="Normal 2 6 17 5 2" xfId="28236"/>
    <cellStyle name="Normal 2 6 17 5 3" xfId="28237"/>
    <cellStyle name="Normal 2 6 17 5 4" xfId="28238"/>
    <cellStyle name="Normal 2 6 17 6" xfId="28239"/>
    <cellStyle name="Normal 2 6 17 6 2" xfId="28240"/>
    <cellStyle name="Normal 2 6 17 7" xfId="28241"/>
    <cellStyle name="Normal 2 6 17 8" xfId="28242"/>
    <cellStyle name="Normal 2 6 17 9" xfId="28243"/>
    <cellStyle name="Normal 2 6 18" xfId="28244"/>
    <cellStyle name="Normal 2 6 18 10" xfId="28245"/>
    <cellStyle name="Normal 2 6 18 2" xfId="28246"/>
    <cellStyle name="Normal 2 6 18 2 2" xfId="28247"/>
    <cellStyle name="Normal 2 6 18 2 2 2" xfId="28248"/>
    <cellStyle name="Normal 2 6 18 2 2 3" xfId="28249"/>
    <cellStyle name="Normal 2 6 18 2 3" xfId="28250"/>
    <cellStyle name="Normal 2 6 18 2 4" xfId="28251"/>
    <cellStyle name="Normal 2 6 18 2 5" xfId="28252"/>
    <cellStyle name="Normal 2 6 18 2 6" xfId="28253"/>
    <cellStyle name="Normal 2 6 18 3" xfId="28254"/>
    <cellStyle name="Normal 2 6 18 3 2" xfId="28255"/>
    <cellStyle name="Normal 2 6 18 3 2 2" xfId="28256"/>
    <cellStyle name="Normal 2 6 18 3 2 3" xfId="28257"/>
    <cellStyle name="Normal 2 6 18 3 3" xfId="28258"/>
    <cellStyle name="Normal 2 6 18 3 4" xfId="28259"/>
    <cellStyle name="Normal 2 6 18 3 5" xfId="28260"/>
    <cellStyle name="Normal 2 6 18 3 6" xfId="28261"/>
    <cellStyle name="Normal 2 6 18 4" xfId="28262"/>
    <cellStyle name="Normal 2 6 18 4 2" xfId="28263"/>
    <cellStyle name="Normal 2 6 18 4 2 2" xfId="28264"/>
    <cellStyle name="Normal 2 6 18 4 3" xfId="28265"/>
    <cellStyle name="Normal 2 6 18 4 4" xfId="28266"/>
    <cellStyle name="Normal 2 6 18 4 5" xfId="28267"/>
    <cellStyle name="Normal 2 6 18 5" xfId="28268"/>
    <cellStyle name="Normal 2 6 18 5 2" xfId="28269"/>
    <cellStyle name="Normal 2 6 18 5 3" xfId="28270"/>
    <cellStyle name="Normal 2 6 18 5 4" xfId="28271"/>
    <cellStyle name="Normal 2 6 18 6" xfId="28272"/>
    <cellStyle name="Normal 2 6 18 6 2" xfId="28273"/>
    <cellStyle name="Normal 2 6 18 7" xfId="28274"/>
    <cellStyle name="Normal 2 6 18 8" xfId="28275"/>
    <cellStyle name="Normal 2 6 18 9" xfId="28276"/>
    <cellStyle name="Normal 2 6 19" xfId="28277"/>
    <cellStyle name="Normal 2 6 19 10" xfId="28278"/>
    <cellStyle name="Normal 2 6 19 2" xfId="28279"/>
    <cellStyle name="Normal 2 6 19 2 2" xfId="28280"/>
    <cellStyle name="Normal 2 6 19 2 2 2" xfId="28281"/>
    <cellStyle name="Normal 2 6 19 2 2 3" xfId="28282"/>
    <cellStyle name="Normal 2 6 19 2 3" xfId="28283"/>
    <cellStyle name="Normal 2 6 19 2 4" xfId="28284"/>
    <cellStyle name="Normal 2 6 19 2 5" xfId="28285"/>
    <cellStyle name="Normal 2 6 19 2 6" xfId="28286"/>
    <cellStyle name="Normal 2 6 19 3" xfId="28287"/>
    <cellStyle name="Normal 2 6 19 3 2" xfId="28288"/>
    <cellStyle name="Normal 2 6 19 3 2 2" xfId="28289"/>
    <cellStyle name="Normal 2 6 19 3 2 3" xfId="28290"/>
    <cellStyle name="Normal 2 6 19 3 3" xfId="28291"/>
    <cellStyle name="Normal 2 6 19 3 4" xfId="28292"/>
    <cellStyle name="Normal 2 6 19 3 5" xfId="28293"/>
    <cellStyle name="Normal 2 6 19 3 6" xfId="28294"/>
    <cellStyle name="Normal 2 6 19 4" xfId="28295"/>
    <cellStyle name="Normal 2 6 19 4 2" xfId="28296"/>
    <cellStyle name="Normal 2 6 19 4 2 2" xfId="28297"/>
    <cellStyle name="Normal 2 6 19 4 3" xfId="28298"/>
    <cellStyle name="Normal 2 6 19 4 4" xfId="28299"/>
    <cellStyle name="Normal 2 6 19 4 5" xfId="28300"/>
    <cellStyle name="Normal 2 6 19 5" xfId="28301"/>
    <cellStyle name="Normal 2 6 19 5 2" xfId="28302"/>
    <cellStyle name="Normal 2 6 19 5 3" xfId="28303"/>
    <cellStyle name="Normal 2 6 19 5 4" xfId="28304"/>
    <cellStyle name="Normal 2 6 19 6" xfId="28305"/>
    <cellStyle name="Normal 2 6 19 6 2" xfId="28306"/>
    <cellStyle name="Normal 2 6 19 7" xfId="28307"/>
    <cellStyle name="Normal 2 6 19 8" xfId="28308"/>
    <cellStyle name="Normal 2 6 19 9" xfId="28309"/>
    <cellStyle name="Normal 2 6 2" xfId="28310"/>
    <cellStyle name="Normal 2 6 2 10" xfId="28311"/>
    <cellStyle name="Normal 2 6 2 10 10" xfId="28312"/>
    <cellStyle name="Normal 2 6 2 10 2" xfId="28313"/>
    <cellStyle name="Normal 2 6 2 10 2 2" xfId="28314"/>
    <cellStyle name="Normal 2 6 2 10 2 2 2" xfId="28315"/>
    <cellStyle name="Normal 2 6 2 10 2 2 3" xfId="28316"/>
    <cellStyle name="Normal 2 6 2 10 2 3" xfId="28317"/>
    <cellStyle name="Normal 2 6 2 10 2 4" xfId="28318"/>
    <cellStyle name="Normal 2 6 2 10 2 5" xfId="28319"/>
    <cellStyle name="Normal 2 6 2 10 2 6" xfId="28320"/>
    <cellStyle name="Normal 2 6 2 10 3" xfId="28321"/>
    <cellStyle name="Normal 2 6 2 10 3 2" xfId="28322"/>
    <cellStyle name="Normal 2 6 2 10 3 2 2" xfId="28323"/>
    <cellStyle name="Normal 2 6 2 10 3 2 3" xfId="28324"/>
    <cellStyle name="Normal 2 6 2 10 3 3" xfId="28325"/>
    <cellStyle name="Normal 2 6 2 10 3 4" xfId="28326"/>
    <cellStyle name="Normal 2 6 2 10 3 5" xfId="28327"/>
    <cellStyle name="Normal 2 6 2 10 3 6" xfId="28328"/>
    <cellStyle name="Normal 2 6 2 10 4" xfId="28329"/>
    <cellStyle name="Normal 2 6 2 10 4 2" xfId="28330"/>
    <cellStyle name="Normal 2 6 2 10 4 2 2" xfId="28331"/>
    <cellStyle name="Normal 2 6 2 10 4 3" xfId="28332"/>
    <cellStyle name="Normal 2 6 2 10 4 4" xfId="28333"/>
    <cellStyle name="Normal 2 6 2 10 4 5" xfId="28334"/>
    <cellStyle name="Normal 2 6 2 10 5" xfId="28335"/>
    <cellStyle name="Normal 2 6 2 10 5 2" xfId="28336"/>
    <cellStyle name="Normal 2 6 2 10 5 3" xfId="28337"/>
    <cellStyle name="Normal 2 6 2 10 5 4" xfId="28338"/>
    <cellStyle name="Normal 2 6 2 10 6" xfId="28339"/>
    <cellStyle name="Normal 2 6 2 10 6 2" xfId="28340"/>
    <cellStyle name="Normal 2 6 2 10 7" xfId="28341"/>
    <cellStyle name="Normal 2 6 2 10 8" xfId="28342"/>
    <cellStyle name="Normal 2 6 2 10 9" xfId="28343"/>
    <cellStyle name="Normal 2 6 2 11" xfId="28344"/>
    <cellStyle name="Normal 2 6 2 11 10" xfId="28345"/>
    <cellStyle name="Normal 2 6 2 11 2" xfId="28346"/>
    <cellStyle name="Normal 2 6 2 11 2 2" xfId="28347"/>
    <cellStyle name="Normal 2 6 2 11 2 2 2" xfId="28348"/>
    <cellStyle name="Normal 2 6 2 11 2 2 3" xfId="28349"/>
    <cellStyle name="Normal 2 6 2 11 2 3" xfId="28350"/>
    <cellStyle name="Normal 2 6 2 11 2 4" xfId="28351"/>
    <cellStyle name="Normal 2 6 2 11 2 5" xfId="28352"/>
    <cellStyle name="Normal 2 6 2 11 2 6" xfId="28353"/>
    <cellStyle name="Normal 2 6 2 11 3" xfId="28354"/>
    <cellStyle name="Normal 2 6 2 11 3 2" xfId="28355"/>
    <cellStyle name="Normal 2 6 2 11 3 2 2" xfId="28356"/>
    <cellStyle name="Normal 2 6 2 11 3 2 3" xfId="28357"/>
    <cellStyle name="Normal 2 6 2 11 3 3" xfId="28358"/>
    <cellStyle name="Normal 2 6 2 11 3 4" xfId="28359"/>
    <cellStyle name="Normal 2 6 2 11 3 5" xfId="28360"/>
    <cellStyle name="Normal 2 6 2 11 3 6" xfId="28361"/>
    <cellStyle name="Normal 2 6 2 11 4" xfId="28362"/>
    <cellStyle name="Normal 2 6 2 11 4 2" xfId="28363"/>
    <cellStyle name="Normal 2 6 2 11 4 2 2" xfId="28364"/>
    <cellStyle name="Normal 2 6 2 11 4 3" xfId="28365"/>
    <cellStyle name="Normal 2 6 2 11 4 4" xfId="28366"/>
    <cellStyle name="Normal 2 6 2 11 4 5" xfId="28367"/>
    <cellStyle name="Normal 2 6 2 11 5" xfId="28368"/>
    <cellStyle name="Normal 2 6 2 11 5 2" xfId="28369"/>
    <cellStyle name="Normal 2 6 2 11 5 3" xfId="28370"/>
    <cellStyle name="Normal 2 6 2 11 5 4" xfId="28371"/>
    <cellStyle name="Normal 2 6 2 11 6" xfId="28372"/>
    <cellStyle name="Normal 2 6 2 11 6 2" xfId="28373"/>
    <cellStyle name="Normal 2 6 2 11 7" xfId="28374"/>
    <cellStyle name="Normal 2 6 2 11 8" xfId="28375"/>
    <cellStyle name="Normal 2 6 2 11 9" xfId="28376"/>
    <cellStyle name="Normal 2 6 2 12" xfId="28377"/>
    <cellStyle name="Normal 2 6 2 12 10" xfId="28378"/>
    <cellStyle name="Normal 2 6 2 12 2" xfId="28379"/>
    <cellStyle name="Normal 2 6 2 12 2 2" xfId="28380"/>
    <cellStyle name="Normal 2 6 2 12 2 2 2" xfId="28381"/>
    <cellStyle name="Normal 2 6 2 12 2 2 3" xfId="28382"/>
    <cellStyle name="Normal 2 6 2 12 2 3" xfId="28383"/>
    <cellStyle name="Normal 2 6 2 12 2 4" xfId="28384"/>
    <cellStyle name="Normal 2 6 2 12 2 5" xfId="28385"/>
    <cellStyle name="Normal 2 6 2 12 2 6" xfId="28386"/>
    <cellStyle name="Normal 2 6 2 12 3" xfId="28387"/>
    <cellStyle name="Normal 2 6 2 12 3 2" xfId="28388"/>
    <cellStyle name="Normal 2 6 2 12 3 2 2" xfId="28389"/>
    <cellStyle name="Normal 2 6 2 12 3 2 3" xfId="28390"/>
    <cellStyle name="Normal 2 6 2 12 3 3" xfId="28391"/>
    <cellStyle name="Normal 2 6 2 12 3 4" xfId="28392"/>
    <cellStyle name="Normal 2 6 2 12 3 5" xfId="28393"/>
    <cellStyle name="Normal 2 6 2 12 3 6" xfId="28394"/>
    <cellStyle name="Normal 2 6 2 12 4" xfId="28395"/>
    <cellStyle name="Normal 2 6 2 12 4 2" xfId="28396"/>
    <cellStyle name="Normal 2 6 2 12 4 2 2" xfId="28397"/>
    <cellStyle name="Normal 2 6 2 12 4 3" xfId="28398"/>
    <cellStyle name="Normal 2 6 2 12 4 4" xfId="28399"/>
    <cellStyle name="Normal 2 6 2 12 4 5" xfId="28400"/>
    <cellStyle name="Normal 2 6 2 12 5" xfId="28401"/>
    <cellStyle name="Normal 2 6 2 12 5 2" xfId="28402"/>
    <cellStyle name="Normal 2 6 2 12 5 3" xfId="28403"/>
    <cellStyle name="Normal 2 6 2 12 5 4" xfId="28404"/>
    <cellStyle name="Normal 2 6 2 12 6" xfId="28405"/>
    <cellStyle name="Normal 2 6 2 12 6 2" xfId="28406"/>
    <cellStyle name="Normal 2 6 2 12 7" xfId="28407"/>
    <cellStyle name="Normal 2 6 2 12 8" xfId="28408"/>
    <cellStyle name="Normal 2 6 2 12 9" xfId="28409"/>
    <cellStyle name="Normal 2 6 2 13" xfId="28410"/>
    <cellStyle name="Normal 2 6 2 13 2" xfId="28411"/>
    <cellStyle name="Normal 2 6 2 13 2 2" xfId="28412"/>
    <cellStyle name="Normal 2 6 2 13 2 2 2" xfId="28413"/>
    <cellStyle name="Normal 2 6 2 13 2 2 3" xfId="28414"/>
    <cellStyle name="Normal 2 6 2 13 2 3" xfId="28415"/>
    <cellStyle name="Normal 2 6 2 13 2 4" xfId="28416"/>
    <cellStyle name="Normal 2 6 2 13 2 5" xfId="28417"/>
    <cellStyle name="Normal 2 6 2 13 2 6" xfId="28418"/>
    <cellStyle name="Normal 2 6 2 13 3" xfId="28419"/>
    <cellStyle name="Normal 2 6 2 13 3 2" xfId="28420"/>
    <cellStyle name="Normal 2 6 2 13 3 2 2" xfId="28421"/>
    <cellStyle name="Normal 2 6 2 13 3 3" xfId="28422"/>
    <cellStyle name="Normal 2 6 2 13 3 4" xfId="28423"/>
    <cellStyle name="Normal 2 6 2 13 3 5" xfId="28424"/>
    <cellStyle name="Normal 2 6 2 13 4" xfId="28425"/>
    <cellStyle name="Normal 2 6 2 13 4 2" xfId="28426"/>
    <cellStyle name="Normal 2 6 2 13 4 3" xfId="28427"/>
    <cellStyle name="Normal 2 6 2 13 4 4" xfId="28428"/>
    <cellStyle name="Normal 2 6 2 13 5" xfId="28429"/>
    <cellStyle name="Normal 2 6 2 13 5 2" xfId="28430"/>
    <cellStyle name="Normal 2 6 2 13 6" xfId="28431"/>
    <cellStyle name="Normal 2 6 2 13 7" xfId="28432"/>
    <cellStyle name="Normal 2 6 2 13 8" xfId="28433"/>
    <cellStyle name="Normal 2 6 2 13 9" xfId="28434"/>
    <cellStyle name="Normal 2 6 2 14" xfId="28435"/>
    <cellStyle name="Normal 2 6 2 14 2" xfId="28436"/>
    <cellStyle name="Normal 2 6 2 14 2 2" xfId="28437"/>
    <cellStyle name="Normal 2 6 2 14 2 2 2" xfId="28438"/>
    <cellStyle name="Normal 2 6 2 14 2 2 3" xfId="28439"/>
    <cellStyle name="Normal 2 6 2 14 2 3" xfId="28440"/>
    <cellStyle name="Normal 2 6 2 14 2 4" xfId="28441"/>
    <cellStyle name="Normal 2 6 2 14 2 5" xfId="28442"/>
    <cellStyle name="Normal 2 6 2 14 2 6" xfId="28443"/>
    <cellStyle name="Normal 2 6 2 14 3" xfId="28444"/>
    <cellStyle name="Normal 2 6 2 14 3 2" xfId="28445"/>
    <cellStyle name="Normal 2 6 2 14 3 2 2" xfId="28446"/>
    <cellStyle name="Normal 2 6 2 14 3 3" xfId="28447"/>
    <cellStyle name="Normal 2 6 2 14 3 4" xfId="28448"/>
    <cellStyle name="Normal 2 6 2 14 3 5" xfId="28449"/>
    <cellStyle name="Normal 2 6 2 14 4" xfId="28450"/>
    <cellStyle name="Normal 2 6 2 14 4 2" xfId="28451"/>
    <cellStyle name="Normal 2 6 2 14 4 3" xfId="28452"/>
    <cellStyle name="Normal 2 6 2 14 4 4" xfId="28453"/>
    <cellStyle name="Normal 2 6 2 14 5" xfId="28454"/>
    <cellStyle name="Normal 2 6 2 14 5 2" xfId="28455"/>
    <cellStyle name="Normal 2 6 2 14 6" xfId="28456"/>
    <cellStyle name="Normal 2 6 2 14 7" xfId="28457"/>
    <cellStyle name="Normal 2 6 2 14 8" xfId="28458"/>
    <cellStyle name="Normal 2 6 2 14 9" xfId="28459"/>
    <cellStyle name="Normal 2 6 2 15" xfId="28460"/>
    <cellStyle name="Normal 2 6 2 15 2" xfId="28461"/>
    <cellStyle name="Normal 2 6 2 15 2 2" xfId="28462"/>
    <cellStyle name="Normal 2 6 2 15 2 3" xfId="28463"/>
    <cellStyle name="Normal 2 6 2 15 3" xfId="28464"/>
    <cellStyle name="Normal 2 6 2 15 4" xfId="28465"/>
    <cellStyle name="Normal 2 6 2 15 5" xfId="28466"/>
    <cellStyle name="Normal 2 6 2 15 6" xfId="28467"/>
    <cellStyle name="Normal 2 6 2 16" xfId="28468"/>
    <cellStyle name="Normal 2 6 2 16 2" xfId="28469"/>
    <cellStyle name="Normal 2 6 2 16 2 2" xfId="28470"/>
    <cellStyle name="Normal 2 6 2 16 3" xfId="28471"/>
    <cellStyle name="Normal 2 6 2 16 4" xfId="28472"/>
    <cellStyle name="Normal 2 6 2 16 5" xfId="28473"/>
    <cellStyle name="Normal 2 6 2 17" xfId="28474"/>
    <cellStyle name="Normal 2 6 2 17 2" xfId="28475"/>
    <cellStyle name="Normal 2 6 2 17 2 2" xfId="28476"/>
    <cellStyle name="Normal 2 6 2 17 3" xfId="28477"/>
    <cellStyle name="Normal 2 6 2 17 4" xfId="28478"/>
    <cellStyle name="Normal 2 6 2 17 5" xfId="28479"/>
    <cellStyle name="Normal 2 6 2 18" xfId="28480"/>
    <cellStyle name="Normal 2 6 2 18 2" xfId="28481"/>
    <cellStyle name="Normal 2 6 2 19" xfId="28482"/>
    <cellStyle name="Normal 2 6 2 2" xfId="28483"/>
    <cellStyle name="Normal 2 6 2 2 10" xfId="28484"/>
    <cellStyle name="Normal 2 6 2 2 11" xfId="28485"/>
    <cellStyle name="Normal 2 6 2 2 2" xfId="28486"/>
    <cellStyle name="Normal 2 6 2 2 2 2" xfId="28487"/>
    <cellStyle name="Normal 2 6 2 2 2 2 2" xfId="28488"/>
    <cellStyle name="Normal 2 6 2 2 2 2 2 2" xfId="28489"/>
    <cellStyle name="Normal 2 6 2 2 2 2 2 3" xfId="28490"/>
    <cellStyle name="Normal 2 6 2 2 2 2 3" xfId="28491"/>
    <cellStyle name="Normal 2 6 2 2 2 2 4" xfId="28492"/>
    <cellStyle name="Normal 2 6 2 2 2 2 5" xfId="28493"/>
    <cellStyle name="Normal 2 6 2 2 2 2 6" xfId="28494"/>
    <cellStyle name="Normal 2 6 2 2 2 3" xfId="28495"/>
    <cellStyle name="Normal 2 6 2 2 2 3 2" xfId="28496"/>
    <cellStyle name="Normal 2 6 2 2 2 3 2 2" xfId="28497"/>
    <cellStyle name="Normal 2 6 2 2 2 3 3" xfId="28498"/>
    <cellStyle name="Normal 2 6 2 2 2 3 4" xfId="28499"/>
    <cellStyle name="Normal 2 6 2 2 2 3 5" xfId="28500"/>
    <cellStyle name="Normal 2 6 2 2 2 4" xfId="28501"/>
    <cellStyle name="Normal 2 6 2 2 2 4 2" xfId="28502"/>
    <cellStyle name="Normal 2 6 2 2 2 4 3" xfId="28503"/>
    <cellStyle name="Normal 2 6 2 2 2 4 4" xfId="28504"/>
    <cellStyle name="Normal 2 6 2 2 2 5" xfId="28505"/>
    <cellStyle name="Normal 2 6 2 2 2 5 2" xfId="28506"/>
    <cellStyle name="Normal 2 6 2 2 2 6" xfId="28507"/>
    <cellStyle name="Normal 2 6 2 2 2 7" xfId="28508"/>
    <cellStyle name="Normal 2 6 2 2 2 8" xfId="28509"/>
    <cellStyle name="Normal 2 6 2 2 2 9" xfId="28510"/>
    <cellStyle name="Normal 2 6 2 2 3" xfId="28511"/>
    <cellStyle name="Normal 2 6 2 2 3 2" xfId="28512"/>
    <cellStyle name="Normal 2 6 2 2 3 2 2" xfId="28513"/>
    <cellStyle name="Normal 2 6 2 2 3 2 2 2" xfId="28514"/>
    <cellStyle name="Normal 2 6 2 2 3 2 2 3" xfId="28515"/>
    <cellStyle name="Normal 2 6 2 2 3 2 3" xfId="28516"/>
    <cellStyle name="Normal 2 6 2 2 3 2 4" xfId="28517"/>
    <cellStyle name="Normal 2 6 2 2 3 2 5" xfId="28518"/>
    <cellStyle name="Normal 2 6 2 2 3 2 6" xfId="28519"/>
    <cellStyle name="Normal 2 6 2 2 3 3" xfId="28520"/>
    <cellStyle name="Normal 2 6 2 2 3 3 2" xfId="28521"/>
    <cellStyle name="Normal 2 6 2 2 3 3 2 2" xfId="28522"/>
    <cellStyle name="Normal 2 6 2 2 3 3 3" xfId="28523"/>
    <cellStyle name="Normal 2 6 2 2 3 3 4" xfId="28524"/>
    <cellStyle name="Normal 2 6 2 2 3 3 5" xfId="28525"/>
    <cellStyle name="Normal 2 6 2 2 3 4" xfId="28526"/>
    <cellStyle name="Normal 2 6 2 2 3 4 2" xfId="28527"/>
    <cellStyle name="Normal 2 6 2 2 3 4 3" xfId="28528"/>
    <cellStyle name="Normal 2 6 2 2 3 4 4" xfId="28529"/>
    <cellStyle name="Normal 2 6 2 2 3 5" xfId="28530"/>
    <cellStyle name="Normal 2 6 2 2 3 5 2" xfId="28531"/>
    <cellStyle name="Normal 2 6 2 2 3 6" xfId="28532"/>
    <cellStyle name="Normal 2 6 2 2 3 7" xfId="28533"/>
    <cellStyle name="Normal 2 6 2 2 3 8" xfId="28534"/>
    <cellStyle name="Normal 2 6 2 2 3 9" xfId="28535"/>
    <cellStyle name="Normal 2 6 2 2 4" xfId="28536"/>
    <cellStyle name="Normal 2 6 2 2 4 2" xfId="28537"/>
    <cellStyle name="Normal 2 6 2 2 4 2 2" xfId="28538"/>
    <cellStyle name="Normal 2 6 2 2 4 2 3" xfId="28539"/>
    <cellStyle name="Normal 2 6 2 2 4 3" xfId="28540"/>
    <cellStyle name="Normal 2 6 2 2 4 4" xfId="28541"/>
    <cellStyle name="Normal 2 6 2 2 4 5" xfId="28542"/>
    <cellStyle name="Normal 2 6 2 2 4 6" xfId="28543"/>
    <cellStyle name="Normal 2 6 2 2 5" xfId="28544"/>
    <cellStyle name="Normal 2 6 2 2 5 2" xfId="28545"/>
    <cellStyle name="Normal 2 6 2 2 5 2 2" xfId="28546"/>
    <cellStyle name="Normal 2 6 2 2 5 3" xfId="28547"/>
    <cellStyle name="Normal 2 6 2 2 5 4" xfId="28548"/>
    <cellStyle name="Normal 2 6 2 2 5 5" xfId="28549"/>
    <cellStyle name="Normal 2 6 2 2 6" xfId="28550"/>
    <cellStyle name="Normal 2 6 2 2 6 2" xfId="28551"/>
    <cellStyle name="Normal 2 6 2 2 6 3" xfId="28552"/>
    <cellStyle name="Normal 2 6 2 2 6 4" xfId="28553"/>
    <cellStyle name="Normal 2 6 2 2 7" xfId="28554"/>
    <cellStyle name="Normal 2 6 2 2 7 2" xfId="28555"/>
    <cellStyle name="Normal 2 6 2 2 8" xfId="28556"/>
    <cellStyle name="Normal 2 6 2 2 9" xfId="28557"/>
    <cellStyle name="Normal 2 6 2 20" xfId="28558"/>
    <cellStyle name="Normal 2 6 2 21" xfId="28559"/>
    <cellStyle name="Normal 2 6 2 22" xfId="28560"/>
    <cellStyle name="Normal 2 6 2 3" xfId="28561"/>
    <cellStyle name="Normal 2 6 2 3 10" xfId="28562"/>
    <cellStyle name="Normal 2 6 2 3 11" xfId="28563"/>
    <cellStyle name="Normal 2 6 2 3 2" xfId="28564"/>
    <cellStyle name="Normal 2 6 2 3 2 2" xfId="28565"/>
    <cellStyle name="Normal 2 6 2 3 2 2 2" xfId="28566"/>
    <cellStyle name="Normal 2 6 2 3 2 2 2 2" xfId="28567"/>
    <cellStyle name="Normal 2 6 2 3 2 2 2 3" xfId="28568"/>
    <cellStyle name="Normal 2 6 2 3 2 2 3" xfId="28569"/>
    <cellStyle name="Normal 2 6 2 3 2 2 4" xfId="28570"/>
    <cellStyle name="Normal 2 6 2 3 2 2 5" xfId="28571"/>
    <cellStyle name="Normal 2 6 2 3 2 2 6" xfId="28572"/>
    <cellStyle name="Normal 2 6 2 3 2 3" xfId="28573"/>
    <cellStyle name="Normal 2 6 2 3 2 3 2" xfId="28574"/>
    <cellStyle name="Normal 2 6 2 3 2 3 2 2" xfId="28575"/>
    <cellStyle name="Normal 2 6 2 3 2 3 3" xfId="28576"/>
    <cellStyle name="Normal 2 6 2 3 2 3 4" xfId="28577"/>
    <cellStyle name="Normal 2 6 2 3 2 3 5" xfId="28578"/>
    <cellStyle name="Normal 2 6 2 3 2 4" xfId="28579"/>
    <cellStyle name="Normal 2 6 2 3 2 4 2" xfId="28580"/>
    <cellStyle name="Normal 2 6 2 3 2 4 3" xfId="28581"/>
    <cellStyle name="Normal 2 6 2 3 2 4 4" xfId="28582"/>
    <cellStyle name="Normal 2 6 2 3 2 5" xfId="28583"/>
    <cellStyle name="Normal 2 6 2 3 2 5 2" xfId="28584"/>
    <cellStyle name="Normal 2 6 2 3 2 6" xfId="28585"/>
    <cellStyle name="Normal 2 6 2 3 2 7" xfId="28586"/>
    <cellStyle name="Normal 2 6 2 3 2 8" xfId="28587"/>
    <cellStyle name="Normal 2 6 2 3 2 9" xfId="28588"/>
    <cellStyle name="Normal 2 6 2 3 3" xfId="28589"/>
    <cellStyle name="Normal 2 6 2 3 3 2" xfId="28590"/>
    <cellStyle name="Normal 2 6 2 3 3 2 2" xfId="28591"/>
    <cellStyle name="Normal 2 6 2 3 3 2 2 2" xfId="28592"/>
    <cellStyle name="Normal 2 6 2 3 3 2 2 3" xfId="28593"/>
    <cellStyle name="Normal 2 6 2 3 3 2 3" xfId="28594"/>
    <cellStyle name="Normal 2 6 2 3 3 2 4" xfId="28595"/>
    <cellStyle name="Normal 2 6 2 3 3 2 5" xfId="28596"/>
    <cellStyle name="Normal 2 6 2 3 3 2 6" xfId="28597"/>
    <cellStyle name="Normal 2 6 2 3 3 3" xfId="28598"/>
    <cellStyle name="Normal 2 6 2 3 3 3 2" xfId="28599"/>
    <cellStyle name="Normal 2 6 2 3 3 3 2 2" xfId="28600"/>
    <cellStyle name="Normal 2 6 2 3 3 3 3" xfId="28601"/>
    <cellStyle name="Normal 2 6 2 3 3 3 4" xfId="28602"/>
    <cellStyle name="Normal 2 6 2 3 3 3 5" xfId="28603"/>
    <cellStyle name="Normal 2 6 2 3 3 4" xfId="28604"/>
    <cellStyle name="Normal 2 6 2 3 3 4 2" xfId="28605"/>
    <cellStyle name="Normal 2 6 2 3 3 4 3" xfId="28606"/>
    <cellStyle name="Normal 2 6 2 3 3 4 4" xfId="28607"/>
    <cellStyle name="Normal 2 6 2 3 3 5" xfId="28608"/>
    <cellStyle name="Normal 2 6 2 3 3 5 2" xfId="28609"/>
    <cellStyle name="Normal 2 6 2 3 3 6" xfId="28610"/>
    <cellStyle name="Normal 2 6 2 3 3 7" xfId="28611"/>
    <cellStyle name="Normal 2 6 2 3 3 8" xfId="28612"/>
    <cellStyle name="Normal 2 6 2 3 3 9" xfId="28613"/>
    <cellStyle name="Normal 2 6 2 3 4" xfId="28614"/>
    <cellStyle name="Normal 2 6 2 3 4 2" xfId="28615"/>
    <cellStyle name="Normal 2 6 2 3 4 2 2" xfId="28616"/>
    <cellStyle name="Normal 2 6 2 3 4 2 3" xfId="28617"/>
    <cellStyle name="Normal 2 6 2 3 4 3" xfId="28618"/>
    <cellStyle name="Normal 2 6 2 3 4 4" xfId="28619"/>
    <cellStyle name="Normal 2 6 2 3 4 5" xfId="28620"/>
    <cellStyle name="Normal 2 6 2 3 4 6" xfId="28621"/>
    <cellStyle name="Normal 2 6 2 3 5" xfId="28622"/>
    <cellStyle name="Normal 2 6 2 3 5 2" xfId="28623"/>
    <cellStyle name="Normal 2 6 2 3 5 2 2" xfId="28624"/>
    <cellStyle name="Normal 2 6 2 3 5 3" xfId="28625"/>
    <cellStyle name="Normal 2 6 2 3 5 4" xfId="28626"/>
    <cellStyle name="Normal 2 6 2 3 5 5" xfId="28627"/>
    <cellStyle name="Normal 2 6 2 3 6" xfId="28628"/>
    <cellStyle name="Normal 2 6 2 3 6 2" xfId="28629"/>
    <cellStyle name="Normal 2 6 2 3 6 3" xfId="28630"/>
    <cellStyle name="Normal 2 6 2 3 6 4" xfId="28631"/>
    <cellStyle name="Normal 2 6 2 3 7" xfId="28632"/>
    <cellStyle name="Normal 2 6 2 3 7 2" xfId="28633"/>
    <cellStyle name="Normal 2 6 2 3 8" xfId="28634"/>
    <cellStyle name="Normal 2 6 2 3 9" xfId="28635"/>
    <cellStyle name="Normal 2 6 2 4" xfId="28636"/>
    <cellStyle name="Normal 2 6 2 4 10" xfId="28637"/>
    <cellStyle name="Normal 2 6 2 4 11" xfId="28638"/>
    <cellStyle name="Normal 2 6 2 4 2" xfId="28639"/>
    <cellStyle name="Normal 2 6 2 4 2 2" xfId="28640"/>
    <cellStyle name="Normal 2 6 2 4 2 2 2" xfId="28641"/>
    <cellStyle name="Normal 2 6 2 4 2 2 2 2" xfId="28642"/>
    <cellStyle name="Normal 2 6 2 4 2 2 2 3" xfId="28643"/>
    <cellStyle name="Normal 2 6 2 4 2 2 3" xfId="28644"/>
    <cellStyle name="Normal 2 6 2 4 2 2 4" xfId="28645"/>
    <cellStyle name="Normal 2 6 2 4 2 2 5" xfId="28646"/>
    <cellStyle name="Normal 2 6 2 4 2 2 6" xfId="28647"/>
    <cellStyle name="Normal 2 6 2 4 2 3" xfId="28648"/>
    <cellStyle name="Normal 2 6 2 4 2 3 2" xfId="28649"/>
    <cellStyle name="Normal 2 6 2 4 2 3 2 2" xfId="28650"/>
    <cellStyle name="Normal 2 6 2 4 2 3 3" xfId="28651"/>
    <cellStyle name="Normal 2 6 2 4 2 3 4" xfId="28652"/>
    <cellStyle name="Normal 2 6 2 4 2 3 5" xfId="28653"/>
    <cellStyle name="Normal 2 6 2 4 2 4" xfId="28654"/>
    <cellStyle name="Normal 2 6 2 4 2 4 2" xfId="28655"/>
    <cellStyle name="Normal 2 6 2 4 2 4 3" xfId="28656"/>
    <cellStyle name="Normal 2 6 2 4 2 4 4" xfId="28657"/>
    <cellStyle name="Normal 2 6 2 4 2 5" xfId="28658"/>
    <cellStyle name="Normal 2 6 2 4 2 5 2" xfId="28659"/>
    <cellStyle name="Normal 2 6 2 4 2 6" xfId="28660"/>
    <cellStyle name="Normal 2 6 2 4 2 7" xfId="28661"/>
    <cellStyle name="Normal 2 6 2 4 2 8" xfId="28662"/>
    <cellStyle name="Normal 2 6 2 4 2 9" xfId="28663"/>
    <cellStyle name="Normal 2 6 2 4 3" xfId="28664"/>
    <cellStyle name="Normal 2 6 2 4 3 2" xfId="28665"/>
    <cellStyle name="Normal 2 6 2 4 3 2 2" xfId="28666"/>
    <cellStyle name="Normal 2 6 2 4 3 2 2 2" xfId="28667"/>
    <cellStyle name="Normal 2 6 2 4 3 2 2 3" xfId="28668"/>
    <cellStyle name="Normal 2 6 2 4 3 2 3" xfId="28669"/>
    <cellStyle name="Normal 2 6 2 4 3 2 4" xfId="28670"/>
    <cellStyle name="Normal 2 6 2 4 3 2 5" xfId="28671"/>
    <cellStyle name="Normal 2 6 2 4 3 2 6" xfId="28672"/>
    <cellStyle name="Normal 2 6 2 4 3 3" xfId="28673"/>
    <cellStyle name="Normal 2 6 2 4 3 3 2" xfId="28674"/>
    <cellStyle name="Normal 2 6 2 4 3 3 2 2" xfId="28675"/>
    <cellStyle name="Normal 2 6 2 4 3 3 3" xfId="28676"/>
    <cellStyle name="Normal 2 6 2 4 3 3 4" xfId="28677"/>
    <cellStyle name="Normal 2 6 2 4 3 3 5" xfId="28678"/>
    <cellStyle name="Normal 2 6 2 4 3 4" xfId="28679"/>
    <cellStyle name="Normal 2 6 2 4 3 4 2" xfId="28680"/>
    <cellStyle name="Normal 2 6 2 4 3 4 3" xfId="28681"/>
    <cellStyle name="Normal 2 6 2 4 3 4 4" xfId="28682"/>
    <cellStyle name="Normal 2 6 2 4 3 5" xfId="28683"/>
    <cellStyle name="Normal 2 6 2 4 3 5 2" xfId="28684"/>
    <cellStyle name="Normal 2 6 2 4 3 6" xfId="28685"/>
    <cellStyle name="Normal 2 6 2 4 3 7" xfId="28686"/>
    <cellStyle name="Normal 2 6 2 4 3 8" xfId="28687"/>
    <cellStyle name="Normal 2 6 2 4 3 9" xfId="28688"/>
    <cellStyle name="Normal 2 6 2 4 4" xfId="28689"/>
    <cellStyle name="Normal 2 6 2 4 4 2" xfId="28690"/>
    <cellStyle name="Normal 2 6 2 4 4 2 2" xfId="28691"/>
    <cellStyle name="Normal 2 6 2 4 4 2 3" xfId="28692"/>
    <cellStyle name="Normal 2 6 2 4 4 3" xfId="28693"/>
    <cellStyle name="Normal 2 6 2 4 4 4" xfId="28694"/>
    <cellStyle name="Normal 2 6 2 4 4 5" xfId="28695"/>
    <cellStyle name="Normal 2 6 2 4 4 6" xfId="28696"/>
    <cellStyle name="Normal 2 6 2 4 5" xfId="28697"/>
    <cellStyle name="Normal 2 6 2 4 5 2" xfId="28698"/>
    <cellStyle name="Normal 2 6 2 4 5 2 2" xfId="28699"/>
    <cellStyle name="Normal 2 6 2 4 5 3" xfId="28700"/>
    <cellStyle name="Normal 2 6 2 4 5 4" xfId="28701"/>
    <cellStyle name="Normal 2 6 2 4 5 5" xfId="28702"/>
    <cellStyle name="Normal 2 6 2 4 6" xfId="28703"/>
    <cellStyle name="Normal 2 6 2 4 6 2" xfId="28704"/>
    <cellStyle name="Normal 2 6 2 4 6 3" xfId="28705"/>
    <cellStyle name="Normal 2 6 2 4 6 4" xfId="28706"/>
    <cellStyle name="Normal 2 6 2 4 7" xfId="28707"/>
    <cellStyle name="Normal 2 6 2 4 7 2" xfId="28708"/>
    <cellStyle name="Normal 2 6 2 4 8" xfId="28709"/>
    <cellStyle name="Normal 2 6 2 4 9" xfId="28710"/>
    <cellStyle name="Normal 2 6 2 5" xfId="28711"/>
    <cellStyle name="Normal 2 6 2 5 10" xfId="28712"/>
    <cellStyle name="Normal 2 6 2 5 11" xfId="28713"/>
    <cellStyle name="Normal 2 6 2 5 2" xfId="28714"/>
    <cellStyle name="Normal 2 6 2 5 2 2" xfId="28715"/>
    <cellStyle name="Normal 2 6 2 5 2 2 2" xfId="28716"/>
    <cellStyle name="Normal 2 6 2 5 2 2 2 2" xfId="28717"/>
    <cellStyle name="Normal 2 6 2 5 2 2 2 3" xfId="28718"/>
    <cellStyle name="Normal 2 6 2 5 2 2 3" xfId="28719"/>
    <cellStyle name="Normal 2 6 2 5 2 2 4" xfId="28720"/>
    <cellStyle name="Normal 2 6 2 5 2 2 5" xfId="28721"/>
    <cellStyle name="Normal 2 6 2 5 2 2 6" xfId="28722"/>
    <cellStyle name="Normal 2 6 2 5 2 3" xfId="28723"/>
    <cellStyle name="Normal 2 6 2 5 2 3 2" xfId="28724"/>
    <cellStyle name="Normal 2 6 2 5 2 3 2 2" xfId="28725"/>
    <cellStyle name="Normal 2 6 2 5 2 3 3" xfId="28726"/>
    <cellStyle name="Normal 2 6 2 5 2 3 4" xfId="28727"/>
    <cellStyle name="Normal 2 6 2 5 2 3 5" xfId="28728"/>
    <cellStyle name="Normal 2 6 2 5 2 4" xfId="28729"/>
    <cellStyle name="Normal 2 6 2 5 2 4 2" xfId="28730"/>
    <cellStyle name="Normal 2 6 2 5 2 4 3" xfId="28731"/>
    <cellStyle name="Normal 2 6 2 5 2 4 4" xfId="28732"/>
    <cellStyle name="Normal 2 6 2 5 2 5" xfId="28733"/>
    <cellStyle name="Normal 2 6 2 5 2 5 2" xfId="28734"/>
    <cellStyle name="Normal 2 6 2 5 2 6" xfId="28735"/>
    <cellStyle name="Normal 2 6 2 5 2 7" xfId="28736"/>
    <cellStyle name="Normal 2 6 2 5 2 8" xfId="28737"/>
    <cellStyle name="Normal 2 6 2 5 2 9" xfId="28738"/>
    <cellStyle name="Normal 2 6 2 5 3" xfId="28739"/>
    <cellStyle name="Normal 2 6 2 5 3 2" xfId="28740"/>
    <cellStyle name="Normal 2 6 2 5 3 2 2" xfId="28741"/>
    <cellStyle name="Normal 2 6 2 5 3 2 2 2" xfId="28742"/>
    <cellStyle name="Normal 2 6 2 5 3 2 2 3" xfId="28743"/>
    <cellStyle name="Normal 2 6 2 5 3 2 3" xfId="28744"/>
    <cellStyle name="Normal 2 6 2 5 3 2 4" xfId="28745"/>
    <cellStyle name="Normal 2 6 2 5 3 2 5" xfId="28746"/>
    <cellStyle name="Normal 2 6 2 5 3 2 6" xfId="28747"/>
    <cellStyle name="Normal 2 6 2 5 3 3" xfId="28748"/>
    <cellStyle name="Normal 2 6 2 5 3 3 2" xfId="28749"/>
    <cellStyle name="Normal 2 6 2 5 3 3 2 2" xfId="28750"/>
    <cellStyle name="Normal 2 6 2 5 3 3 3" xfId="28751"/>
    <cellStyle name="Normal 2 6 2 5 3 3 4" xfId="28752"/>
    <cellStyle name="Normal 2 6 2 5 3 3 5" xfId="28753"/>
    <cellStyle name="Normal 2 6 2 5 3 4" xfId="28754"/>
    <cellStyle name="Normal 2 6 2 5 3 4 2" xfId="28755"/>
    <cellStyle name="Normal 2 6 2 5 3 4 3" xfId="28756"/>
    <cellStyle name="Normal 2 6 2 5 3 4 4" xfId="28757"/>
    <cellStyle name="Normal 2 6 2 5 3 5" xfId="28758"/>
    <cellStyle name="Normal 2 6 2 5 3 5 2" xfId="28759"/>
    <cellStyle name="Normal 2 6 2 5 3 6" xfId="28760"/>
    <cellStyle name="Normal 2 6 2 5 3 7" xfId="28761"/>
    <cellStyle name="Normal 2 6 2 5 3 8" xfId="28762"/>
    <cellStyle name="Normal 2 6 2 5 3 9" xfId="28763"/>
    <cellStyle name="Normal 2 6 2 5 4" xfId="28764"/>
    <cellStyle name="Normal 2 6 2 5 4 2" xfId="28765"/>
    <cellStyle name="Normal 2 6 2 5 4 2 2" xfId="28766"/>
    <cellStyle name="Normal 2 6 2 5 4 2 3" xfId="28767"/>
    <cellStyle name="Normal 2 6 2 5 4 3" xfId="28768"/>
    <cellStyle name="Normal 2 6 2 5 4 4" xfId="28769"/>
    <cellStyle name="Normal 2 6 2 5 4 5" xfId="28770"/>
    <cellStyle name="Normal 2 6 2 5 4 6" xfId="28771"/>
    <cellStyle name="Normal 2 6 2 5 5" xfId="28772"/>
    <cellStyle name="Normal 2 6 2 5 5 2" xfId="28773"/>
    <cellStyle name="Normal 2 6 2 5 5 2 2" xfId="28774"/>
    <cellStyle name="Normal 2 6 2 5 5 3" xfId="28775"/>
    <cellStyle name="Normal 2 6 2 5 5 4" xfId="28776"/>
    <cellStyle name="Normal 2 6 2 5 5 5" xfId="28777"/>
    <cellStyle name="Normal 2 6 2 5 6" xfId="28778"/>
    <cellStyle name="Normal 2 6 2 5 6 2" xfId="28779"/>
    <cellStyle name="Normal 2 6 2 5 6 3" xfId="28780"/>
    <cellStyle name="Normal 2 6 2 5 6 4" xfId="28781"/>
    <cellStyle name="Normal 2 6 2 5 7" xfId="28782"/>
    <cellStyle name="Normal 2 6 2 5 7 2" xfId="28783"/>
    <cellStyle name="Normal 2 6 2 5 8" xfId="28784"/>
    <cellStyle name="Normal 2 6 2 5 9" xfId="28785"/>
    <cellStyle name="Normal 2 6 2 6" xfId="28786"/>
    <cellStyle name="Normal 2 6 2 6 10" xfId="28787"/>
    <cellStyle name="Normal 2 6 2 6 11" xfId="28788"/>
    <cellStyle name="Normal 2 6 2 6 2" xfId="28789"/>
    <cellStyle name="Normal 2 6 2 6 2 2" xfId="28790"/>
    <cellStyle name="Normal 2 6 2 6 2 2 2" xfId="28791"/>
    <cellStyle name="Normal 2 6 2 6 2 2 2 2" xfId="28792"/>
    <cellStyle name="Normal 2 6 2 6 2 2 2 3" xfId="28793"/>
    <cellStyle name="Normal 2 6 2 6 2 2 3" xfId="28794"/>
    <cellStyle name="Normal 2 6 2 6 2 2 4" xfId="28795"/>
    <cellStyle name="Normal 2 6 2 6 2 2 5" xfId="28796"/>
    <cellStyle name="Normal 2 6 2 6 2 2 6" xfId="28797"/>
    <cellStyle name="Normal 2 6 2 6 2 3" xfId="28798"/>
    <cellStyle name="Normal 2 6 2 6 2 3 2" xfId="28799"/>
    <cellStyle name="Normal 2 6 2 6 2 3 2 2" xfId="28800"/>
    <cellStyle name="Normal 2 6 2 6 2 3 3" xfId="28801"/>
    <cellStyle name="Normal 2 6 2 6 2 3 4" xfId="28802"/>
    <cellStyle name="Normal 2 6 2 6 2 3 5" xfId="28803"/>
    <cellStyle name="Normal 2 6 2 6 2 4" xfId="28804"/>
    <cellStyle name="Normal 2 6 2 6 2 4 2" xfId="28805"/>
    <cellStyle name="Normal 2 6 2 6 2 4 3" xfId="28806"/>
    <cellStyle name="Normal 2 6 2 6 2 4 4" xfId="28807"/>
    <cellStyle name="Normal 2 6 2 6 2 5" xfId="28808"/>
    <cellStyle name="Normal 2 6 2 6 2 5 2" xfId="28809"/>
    <cellStyle name="Normal 2 6 2 6 2 6" xfId="28810"/>
    <cellStyle name="Normal 2 6 2 6 2 7" xfId="28811"/>
    <cellStyle name="Normal 2 6 2 6 2 8" xfId="28812"/>
    <cellStyle name="Normal 2 6 2 6 2 9" xfId="28813"/>
    <cellStyle name="Normal 2 6 2 6 3" xfId="28814"/>
    <cellStyle name="Normal 2 6 2 6 3 2" xfId="28815"/>
    <cellStyle name="Normal 2 6 2 6 3 2 2" xfId="28816"/>
    <cellStyle name="Normal 2 6 2 6 3 2 2 2" xfId="28817"/>
    <cellStyle name="Normal 2 6 2 6 3 2 2 3" xfId="28818"/>
    <cellStyle name="Normal 2 6 2 6 3 2 3" xfId="28819"/>
    <cellStyle name="Normal 2 6 2 6 3 2 4" xfId="28820"/>
    <cellStyle name="Normal 2 6 2 6 3 2 5" xfId="28821"/>
    <cellStyle name="Normal 2 6 2 6 3 2 6" xfId="28822"/>
    <cellStyle name="Normal 2 6 2 6 3 3" xfId="28823"/>
    <cellStyle name="Normal 2 6 2 6 3 3 2" xfId="28824"/>
    <cellStyle name="Normal 2 6 2 6 3 3 2 2" xfId="28825"/>
    <cellStyle name="Normal 2 6 2 6 3 3 3" xfId="28826"/>
    <cellStyle name="Normal 2 6 2 6 3 3 4" xfId="28827"/>
    <cellStyle name="Normal 2 6 2 6 3 3 5" xfId="28828"/>
    <cellStyle name="Normal 2 6 2 6 3 4" xfId="28829"/>
    <cellStyle name="Normal 2 6 2 6 3 4 2" xfId="28830"/>
    <cellStyle name="Normal 2 6 2 6 3 4 3" xfId="28831"/>
    <cellStyle name="Normal 2 6 2 6 3 4 4" xfId="28832"/>
    <cellStyle name="Normal 2 6 2 6 3 5" xfId="28833"/>
    <cellStyle name="Normal 2 6 2 6 3 5 2" xfId="28834"/>
    <cellStyle name="Normal 2 6 2 6 3 6" xfId="28835"/>
    <cellStyle name="Normal 2 6 2 6 3 7" xfId="28836"/>
    <cellStyle name="Normal 2 6 2 6 3 8" xfId="28837"/>
    <cellStyle name="Normal 2 6 2 6 3 9" xfId="28838"/>
    <cellStyle name="Normal 2 6 2 6 4" xfId="28839"/>
    <cellStyle name="Normal 2 6 2 6 4 2" xfId="28840"/>
    <cellStyle name="Normal 2 6 2 6 4 2 2" xfId="28841"/>
    <cellStyle name="Normal 2 6 2 6 4 2 3" xfId="28842"/>
    <cellStyle name="Normal 2 6 2 6 4 3" xfId="28843"/>
    <cellStyle name="Normal 2 6 2 6 4 4" xfId="28844"/>
    <cellStyle name="Normal 2 6 2 6 4 5" xfId="28845"/>
    <cellStyle name="Normal 2 6 2 6 4 6" xfId="28846"/>
    <cellStyle name="Normal 2 6 2 6 5" xfId="28847"/>
    <cellStyle name="Normal 2 6 2 6 5 2" xfId="28848"/>
    <cellStyle name="Normal 2 6 2 6 5 2 2" xfId="28849"/>
    <cellStyle name="Normal 2 6 2 6 5 3" xfId="28850"/>
    <cellStyle name="Normal 2 6 2 6 5 4" xfId="28851"/>
    <cellStyle name="Normal 2 6 2 6 5 5" xfId="28852"/>
    <cellStyle name="Normal 2 6 2 6 6" xfId="28853"/>
    <cellStyle name="Normal 2 6 2 6 6 2" xfId="28854"/>
    <cellStyle name="Normal 2 6 2 6 6 3" xfId="28855"/>
    <cellStyle name="Normal 2 6 2 6 6 4" xfId="28856"/>
    <cellStyle name="Normal 2 6 2 6 7" xfId="28857"/>
    <cellStyle name="Normal 2 6 2 6 7 2" xfId="28858"/>
    <cellStyle name="Normal 2 6 2 6 8" xfId="28859"/>
    <cellStyle name="Normal 2 6 2 6 9" xfId="28860"/>
    <cellStyle name="Normal 2 6 2 7" xfId="28861"/>
    <cellStyle name="Normal 2 6 2 7 10" xfId="28862"/>
    <cellStyle name="Normal 2 6 2 7 11" xfId="28863"/>
    <cellStyle name="Normal 2 6 2 7 2" xfId="28864"/>
    <cellStyle name="Normal 2 6 2 7 2 2" xfId="28865"/>
    <cellStyle name="Normal 2 6 2 7 2 2 2" xfId="28866"/>
    <cellStyle name="Normal 2 6 2 7 2 2 2 2" xfId="28867"/>
    <cellStyle name="Normal 2 6 2 7 2 2 2 3" xfId="28868"/>
    <cellStyle name="Normal 2 6 2 7 2 2 3" xfId="28869"/>
    <cellStyle name="Normal 2 6 2 7 2 2 4" xfId="28870"/>
    <cellStyle name="Normal 2 6 2 7 2 2 5" xfId="28871"/>
    <cellStyle name="Normal 2 6 2 7 2 2 6" xfId="28872"/>
    <cellStyle name="Normal 2 6 2 7 2 3" xfId="28873"/>
    <cellStyle name="Normal 2 6 2 7 2 3 2" xfId="28874"/>
    <cellStyle name="Normal 2 6 2 7 2 3 2 2" xfId="28875"/>
    <cellStyle name="Normal 2 6 2 7 2 3 3" xfId="28876"/>
    <cellStyle name="Normal 2 6 2 7 2 3 4" xfId="28877"/>
    <cellStyle name="Normal 2 6 2 7 2 3 5" xfId="28878"/>
    <cellStyle name="Normal 2 6 2 7 2 4" xfId="28879"/>
    <cellStyle name="Normal 2 6 2 7 2 4 2" xfId="28880"/>
    <cellStyle name="Normal 2 6 2 7 2 4 3" xfId="28881"/>
    <cellStyle name="Normal 2 6 2 7 2 4 4" xfId="28882"/>
    <cellStyle name="Normal 2 6 2 7 2 5" xfId="28883"/>
    <cellStyle name="Normal 2 6 2 7 2 5 2" xfId="28884"/>
    <cellStyle name="Normal 2 6 2 7 2 6" xfId="28885"/>
    <cellStyle name="Normal 2 6 2 7 2 7" xfId="28886"/>
    <cellStyle name="Normal 2 6 2 7 2 8" xfId="28887"/>
    <cellStyle name="Normal 2 6 2 7 2 9" xfId="28888"/>
    <cellStyle name="Normal 2 6 2 7 3" xfId="28889"/>
    <cellStyle name="Normal 2 6 2 7 3 2" xfId="28890"/>
    <cellStyle name="Normal 2 6 2 7 3 2 2" xfId="28891"/>
    <cellStyle name="Normal 2 6 2 7 3 2 2 2" xfId="28892"/>
    <cellStyle name="Normal 2 6 2 7 3 2 2 3" xfId="28893"/>
    <cellStyle name="Normal 2 6 2 7 3 2 3" xfId="28894"/>
    <cellStyle name="Normal 2 6 2 7 3 2 4" xfId="28895"/>
    <cellStyle name="Normal 2 6 2 7 3 2 5" xfId="28896"/>
    <cellStyle name="Normal 2 6 2 7 3 2 6" xfId="28897"/>
    <cellStyle name="Normal 2 6 2 7 3 3" xfId="28898"/>
    <cellStyle name="Normal 2 6 2 7 3 3 2" xfId="28899"/>
    <cellStyle name="Normal 2 6 2 7 3 3 2 2" xfId="28900"/>
    <cellStyle name="Normal 2 6 2 7 3 3 3" xfId="28901"/>
    <cellStyle name="Normal 2 6 2 7 3 3 4" xfId="28902"/>
    <cellStyle name="Normal 2 6 2 7 3 3 5" xfId="28903"/>
    <cellStyle name="Normal 2 6 2 7 3 4" xfId="28904"/>
    <cellStyle name="Normal 2 6 2 7 3 4 2" xfId="28905"/>
    <cellStyle name="Normal 2 6 2 7 3 4 3" xfId="28906"/>
    <cellStyle name="Normal 2 6 2 7 3 4 4" xfId="28907"/>
    <cellStyle name="Normal 2 6 2 7 3 5" xfId="28908"/>
    <cellStyle name="Normal 2 6 2 7 3 5 2" xfId="28909"/>
    <cellStyle name="Normal 2 6 2 7 3 6" xfId="28910"/>
    <cellStyle name="Normal 2 6 2 7 3 7" xfId="28911"/>
    <cellStyle name="Normal 2 6 2 7 3 8" xfId="28912"/>
    <cellStyle name="Normal 2 6 2 7 3 9" xfId="28913"/>
    <cellStyle name="Normal 2 6 2 7 4" xfId="28914"/>
    <cellStyle name="Normal 2 6 2 7 4 2" xfId="28915"/>
    <cellStyle name="Normal 2 6 2 7 4 2 2" xfId="28916"/>
    <cellStyle name="Normal 2 6 2 7 4 2 3" xfId="28917"/>
    <cellStyle name="Normal 2 6 2 7 4 3" xfId="28918"/>
    <cellStyle name="Normal 2 6 2 7 4 4" xfId="28919"/>
    <cellStyle name="Normal 2 6 2 7 4 5" xfId="28920"/>
    <cellStyle name="Normal 2 6 2 7 4 6" xfId="28921"/>
    <cellStyle name="Normal 2 6 2 7 5" xfId="28922"/>
    <cellStyle name="Normal 2 6 2 7 5 2" xfId="28923"/>
    <cellStyle name="Normal 2 6 2 7 5 2 2" xfId="28924"/>
    <cellStyle name="Normal 2 6 2 7 5 3" xfId="28925"/>
    <cellStyle name="Normal 2 6 2 7 5 4" xfId="28926"/>
    <cellStyle name="Normal 2 6 2 7 5 5" xfId="28927"/>
    <cellStyle name="Normal 2 6 2 7 6" xfId="28928"/>
    <cellStyle name="Normal 2 6 2 7 6 2" xfId="28929"/>
    <cellStyle name="Normal 2 6 2 7 6 3" xfId="28930"/>
    <cellStyle name="Normal 2 6 2 7 6 4" xfId="28931"/>
    <cellStyle name="Normal 2 6 2 7 7" xfId="28932"/>
    <cellStyle name="Normal 2 6 2 7 7 2" xfId="28933"/>
    <cellStyle name="Normal 2 6 2 7 8" xfId="28934"/>
    <cellStyle name="Normal 2 6 2 7 9" xfId="28935"/>
    <cellStyle name="Normal 2 6 2 8" xfId="28936"/>
    <cellStyle name="Normal 2 6 2 8 10" xfId="28937"/>
    <cellStyle name="Normal 2 6 2 8 2" xfId="28938"/>
    <cellStyle name="Normal 2 6 2 8 2 2" xfId="28939"/>
    <cellStyle name="Normal 2 6 2 8 2 2 2" xfId="28940"/>
    <cellStyle name="Normal 2 6 2 8 2 2 3" xfId="28941"/>
    <cellStyle name="Normal 2 6 2 8 2 3" xfId="28942"/>
    <cellStyle name="Normal 2 6 2 8 2 4" xfId="28943"/>
    <cellStyle name="Normal 2 6 2 8 2 5" xfId="28944"/>
    <cellStyle name="Normal 2 6 2 8 2 6" xfId="28945"/>
    <cellStyle name="Normal 2 6 2 8 3" xfId="28946"/>
    <cellStyle name="Normal 2 6 2 8 3 2" xfId="28947"/>
    <cellStyle name="Normal 2 6 2 8 3 2 2" xfId="28948"/>
    <cellStyle name="Normal 2 6 2 8 3 2 3" xfId="28949"/>
    <cellStyle name="Normal 2 6 2 8 3 3" xfId="28950"/>
    <cellStyle name="Normal 2 6 2 8 3 4" xfId="28951"/>
    <cellStyle name="Normal 2 6 2 8 3 5" xfId="28952"/>
    <cellStyle name="Normal 2 6 2 8 3 6" xfId="28953"/>
    <cellStyle name="Normal 2 6 2 8 4" xfId="28954"/>
    <cellStyle name="Normal 2 6 2 8 4 2" xfId="28955"/>
    <cellStyle name="Normal 2 6 2 8 4 2 2" xfId="28956"/>
    <cellStyle name="Normal 2 6 2 8 4 3" xfId="28957"/>
    <cellStyle name="Normal 2 6 2 8 4 4" xfId="28958"/>
    <cellStyle name="Normal 2 6 2 8 4 5" xfId="28959"/>
    <cellStyle name="Normal 2 6 2 8 5" xfId="28960"/>
    <cellStyle name="Normal 2 6 2 8 5 2" xfId="28961"/>
    <cellStyle name="Normal 2 6 2 8 5 3" xfId="28962"/>
    <cellStyle name="Normal 2 6 2 8 5 4" xfId="28963"/>
    <cellStyle name="Normal 2 6 2 8 6" xfId="28964"/>
    <cellStyle name="Normal 2 6 2 8 6 2" xfId="28965"/>
    <cellStyle name="Normal 2 6 2 8 7" xfId="28966"/>
    <cellStyle name="Normal 2 6 2 8 8" xfId="28967"/>
    <cellStyle name="Normal 2 6 2 8 9" xfId="28968"/>
    <cellStyle name="Normal 2 6 2 9" xfId="28969"/>
    <cellStyle name="Normal 2 6 2 9 10" xfId="28970"/>
    <cellStyle name="Normal 2 6 2 9 2" xfId="28971"/>
    <cellStyle name="Normal 2 6 2 9 2 2" xfId="28972"/>
    <cellStyle name="Normal 2 6 2 9 2 2 2" xfId="28973"/>
    <cellStyle name="Normal 2 6 2 9 2 2 3" xfId="28974"/>
    <cellStyle name="Normal 2 6 2 9 2 3" xfId="28975"/>
    <cellStyle name="Normal 2 6 2 9 2 4" xfId="28976"/>
    <cellStyle name="Normal 2 6 2 9 2 5" xfId="28977"/>
    <cellStyle name="Normal 2 6 2 9 2 6" xfId="28978"/>
    <cellStyle name="Normal 2 6 2 9 3" xfId="28979"/>
    <cellStyle name="Normal 2 6 2 9 3 2" xfId="28980"/>
    <cellStyle name="Normal 2 6 2 9 3 2 2" xfId="28981"/>
    <cellStyle name="Normal 2 6 2 9 3 2 3" xfId="28982"/>
    <cellStyle name="Normal 2 6 2 9 3 3" xfId="28983"/>
    <cellStyle name="Normal 2 6 2 9 3 4" xfId="28984"/>
    <cellStyle name="Normal 2 6 2 9 3 5" xfId="28985"/>
    <cellStyle name="Normal 2 6 2 9 3 6" xfId="28986"/>
    <cellStyle name="Normal 2 6 2 9 4" xfId="28987"/>
    <cellStyle name="Normal 2 6 2 9 4 2" xfId="28988"/>
    <cellStyle name="Normal 2 6 2 9 4 2 2" xfId="28989"/>
    <cellStyle name="Normal 2 6 2 9 4 3" xfId="28990"/>
    <cellStyle name="Normal 2 6 2 9 4 4" xfId="28991"/>
    <cellStyle name="Normal 2 6 2 9 4 5" xfId="28992"/>
    <cellStyle name="Normal 2 6 2 9 5" xfId="28993"/>
    <cellStyle name="Normal 2 6 2 9 5 2" xfId="28994"/>
    <cellStyle name="Normal 2 6 2 9 5 3" xfId="28995"/>
    <cellStyle name="Normal 2 6 2 9 5 4" xfId="28996"/>
    <cellStyle name="Normal 2 6 2 9 6" xfId="28997"/>
    <cellStyle name="Normal 2 6 2 9 6 2" xfId="28998"/>
    <cellStyle name="Normal 2 6 2 9 7" xfId="28999"/>
    <cellStyle name="Normal 2 6 2 9 8" xfId="29000"/>
    <cellStyle name="Normal 2 6 2 9 9" xfId="29001"/>
    <cellStyle name="Normal 2 6 20" xfId="29002"/>
    <cellStyle name="Normal 2 6 20 10" xfId="29003"/>
    <cellStyle name="Normal 2 6 20 2" xfId="29004"/>
    <cellStyle name="Normal 2 6 20 2 2" xfId="29005"/>
    <cellStyle name="Normal 2 6 20 2 2 2" xfId="29006"/>
    <cellStyle name="Normal 2 6 20 2 2 3" xfId="29007"/>
    <cellStyle name="Normal 2 6 20 2 3" xfId="29008"/>
    <cellStyle name="Normal 2 6 20 2 4" xfId="29009"/>
    <cellStyle name="Normal 2 6 20 2 5" xfId="29010"/>
    <cellStyle name="Normal 2 6 20 2 6" xfId="29011"/>
    <cellStyle name="Normal 2 6 20 3" xfId="29012"/>
    <cellStyle name="Normal 2 6 20 3 2" xfId="29013"/>
    <cellStyle name="Normal 2 6 20 3 2 2" xfId="29014"/>
    <cellStyle name="Normal 2 6 20 3 2 3" xfId="29015"/>
    <cellStyle name="Normal 2 6 20 3 3" xfId="29016"/>
    <cellStyle name="Normal 2 6 20 3 4" xfId="29017"/>
    <cellStyle name="Normal 2 6 20 3 5" xfId="29018"/>
    <cellStyle name="Normal 2 6 20 3 6" xfId="29019"/>
    <cellStyle name="Normal 2 6 20 4" xfId="29020"/>
    <cellStyle name="Normal 2 6 20 4 2" xfId="29021"/>
    <cellStyle name="Normal 2 6 20 4 2 2" xfId="29022"/>
    <cellStyle name="Normal 2 6 20 4 3" xfId="29023"/>
    <cellStyle name="Normal 2 6 20 4 4" xfId="29024"/>
    <cellStyle name="Normal 2 6 20 4 5" xfId="29025"/>
    <cellStyle name="Normal 2 6 20 5" xfId="29026"/>
    <cellStyle name="Normal 2 6 20 5 2" xfId="29027"/>
    <cellStyle name="Normal 2 6 20 5 3" xfId="29028"/>
    <cellStyle name="Normal 2 6 20 5 4" xfId="29029"/>
    <cellStyle name="Normal 2 6 20 6" xfId="29030"/>
    <cellStyle name="Normal 2 6 20 6 2" xfId="29031"/>
    <cellStyle name="Normal 2 6 20 7" xfId="29032"/>
    <cellStyle name="Normal 2 6 20 8" xfId="29033"/>
    <cellStyle name="Normal 2 6 20 9" xfId="29034"/>
    <cellStyle name="Normal 2 6 21" xfId="29035"/>
    <cellStyle name="Normal 2 6 21 10" xfId="29036"/>
    <cellStyle name="Normal 2 6 21 2" xfId="29037"/>
    <cellStyle name="Normal 2 6 21 2 2" xfId="29038"/>
    <cellStyle name="Normal 2 6 21 2 2 2" xfId="29039"/>
    <cellStyle name="Normal 2 6 21 2 2 3" xfId="29040"/>
    <cellStyle name="Normal 2 6 21 2 3" xfId="29041"/>
    <cellStyle name="Normal 2 6 21 2 4" xfId="29042"/>
    <cellStyle name="Normal 2 6 21 2 5" xfId="29043"/>
    <cellStyle name="Normal 2 6 21 2 6" xfId="29044"/>
    <cellStyle name="Normal 2 6 21 3" xfId="29045"/>
    <cellStyle name="Normal 2 6 21 3 2" xfId="29046"/>
    <cellStyle name="Normal 2 6 21 3 2 2" xfId="29047"/>
    <cellStyle name="Normal 2 6 21 3 2 3" xfId="29048"/>
    <cellStyle name="Normal 2 6 21 3 3" xfId="29049"/>
    <cellStyle name="Normal 2 6 21 3 4" xfId="29050"/>
    <cellStyle name="Normal 2 6 21 3 5" xfId="29051"/>
    <cellStyle name="Normal 2 6 21 3 6" xfId="29052"/>
    <cellStyle name="Normal 2 6 21 4" xfId="29053"/>
    <cellStyle name="Normal 2 6 21 4 2" xfId="29054"/>
    <cellStyle name="Normal 2 6 21 4 2 2" xfId="29055"/>
    <cellStyle name="Normal 2 6 21 4 3" xfId="29056"/>
    <cellStyle name="Normal 2 6 21 4 4" xfId="29057"/>
    <cellStyle name="Normal 2 6 21 4 5" xfId="29058"/>
    <cellStyle name="Normal 2 6 21 5" xfId="29059"/>
    <cellStyle name="Normal 2 6 21 5 2" xfId="29060"/>
    <cellStyle name="Normal 2 6 21 5 3" xfId="29061"/>
    <cellStyle name="Normal 2 6 21 5 4" xfId="29062"/>
    <cellStyle name="Normal 2 6 21 6" xfId="29063"/>
    <cellStyle name="Normal 2 6 21 6 2" xfId="29064"/>
    <cellStyle name="Normal 2 6 21 7" xfId="29065"/>
    <cellStyle name="Normal 2 6 21 8" xfId="29066"/>
    <cellStyle name="Normal 2 6 21 9" xfId="29067"/>
    <cellStyle name="Normal 2 6 22" xfId="29068"/>
    <cellStyle name="Normal 2 6 22 10" xfId="29069"/>
    <cellStyle name="Normal 2 6 22 2" xfId="29070"/>
    <cellStyle name="Normal 2 6 22 2 2" xfId="29071"/>
    <cellStyle name="Normal 2 6 22 2 2 2" xfId="29072"/>
    <cellStyle name="Normal 2 6 22 2 2 3" xfId="29073"/>
    <cellStyle name="Normal 2 6 22 2 3" xfId="29074"/>
    <cellStyle name="Normal 2 6 22 2 4" xfId="29075"/>
    <cellStyle name="Normal 2 6 22 2 5" xfId="29076"/>
    <cellStyle name="Normal 2 6 22 2 6" xfId="29077"/>
    <cellStyle name="Normal 2 6 22 3" xfId="29078"/>
    <cellStyle name="Normal 2 6 22 3 2" xfId="29079"/>
    <cellStyle name="Normal 2 6 22 3 2 2" xfId="29080"/>
    <cellStyle name="Normal 2 6 22 3 2 3" xfId="29081"/>
    <cellStyle name="Normal 2 6 22 3 3" xfId="29082"/>
    <cellStyle name="Normal 2 6 22 3 4" xfId="29083"/>
    <cellStyle name="Normal 2 6 22 3 5" xfId="29084"/>
    <cellStyle name="Normal 2 6 22 3 6" xfId="29085"/>
    <cellStyle name="Normal 2 6 22 4" xfId="29086"/>
    <cellStyle name="Normal 2 6 22 4 2" xfId="29087"/>
    <cellStyle name="Normal 2 6 22 4 2 2" xfId="29088"/>
    <cellStyle name="Normal 2 6 22 4 3" xfId="29089"/>
    <cellStyle name="Normal 2 6 22 4 4" xfId="29090"/>
    <cellStyle name="Normal 2 6 22 4 5" xfId="29091"/>
    <cellStyle name="Normal 2 6 22 5" xfId="29092"/>
    <cellStyle name="Normal 2 6 22 5 2" xfId="29093"/>
    <cellStyle name="Normal 2 6 22 5 3" xfId="29094"/>
    <cellStyle name="Normal 2 6 22 5 4" xfId="29095"/>
    <cellStyle name="Normal 2 6 22 6" xfId="29096"/>
    <cellStyle name="Normal 2 6 22 6 2" xfId="29097"/>
    <cellStyle name="Normal 2 6 22 7" xfId="29098"/>
    <cellStyle name="Normal 2 6 22 8" xfId="29099"/>
    <cellStyle name="Normal 2 6 22 9" xfId="29100"/>
    <cellStyle name="Normal 2 6 23" xfId="29101"/>
    <cellStyle name="Normal 2 6 23 10" xfId="29102"/>
    <cellStyle name="Normal 2 6 23 2" xfId="29103"/>
    <cellStyle name="Normal 2 6 23 2 2" xfId="29104"/>
    <cellStyle name="Normal 2 6 23 2 2 2" xfId="29105"/>
    <cellStyle name="Normal 2 6 23 2 2 3" xfId="29106"/>
    <cellStyle name="Normal 2 6 23 2 3" xfId="29107"/>
    <cellStyle name="Normal 2 6 23 2 4" xfId="29108"/>
    <cellStyle name="Normal 2 6 23 2 5" xfId="29109"/>
    <cellStyle name="Normal 2 6 23 2 6" xfId="29110"/>
    <cellStyle name="Normal 2 6 23 3" xfId="29111"/>
    <cellStyle name="Normal 2 6 23 3 2" xfId="29112"/>
    <cellStyle name="Normal 2 6 23 3 2 2" xfId="29113"/>
    <cellStyle name="Normal 2 6 23 3 2 3" xfId="29114"/>
    <cellStyle name="Normal 2 6 23 3 3" xfId="29115"/>
    <cellStyle name="Normal 2 6 23 3 4" xfId="29116"/>
    <cellStyle name="Normal 2 6 23 3 5" xfId="29117"/>
    <cellStyle name="Normal 2 6 23 3 6" xfId="29118"/>
    <cellStyle name="Normal 2 6 23 4" xfId="29119"/>
    <cellStyle name="Normal 2 6 23 4 2" xfId="29120"/>
    <cellStyle name="Normal 2 6 23 4 2 2" xfId="29121"/>
    <cellStyle name="Normal 2 6 23 4 3" xfId="29122"/>
    <cellStyle name="Normal 2 6 23 4 4" xfId="29123"/>
    <cellStyle name="Normal 2 6 23 4 5" xfId="29124"/>
    <cellStyle name="Normal 2 6 23 5" xfId="29125"/>
    <cellStyle name="Normal 2 6 23 5 2" xfId="29126"/>
    <cellStyle name="Normal 2 6 23 5 3" xfId="29127"/>
    <cellStyle name="Normal 2 6 23 5 4" xfId="29128"/>
    <cellStyle name="Normal 2 6 23 6" xfId="29129"/>
    <cellStyle name="Normal 2 6 23 6 2" xfId="29130"/>
    <cellStyle name="Normal 2 6 23 7" xfId="29131"/>
    <cellStyle name="Normal 2 6 23 8" xfId="29132"/>
    <cellStyle name="Normal 2 6 23 9" xfId="29133"/>
    <cellStyle name="Normal 2 6 24" xfId="29134"/>
    <cellStyle name="Normal 2 6 24 10" xfId="29135"/>
    <cellStyle name="Normal 2 6 24 2" xfId="29136"/>
    <cellStyle name="Normal 2 6 24 2 2" xfId="29137"/>
    <cellStyle name="Normal 2 6 24 2 2 2" xfId="29138"/>
    <cellStyle name="Normal 2 6 24 2 2 3" xfId="29139"/>
    <cellStyle name="Normal 2 6 24 2 3" xfId="29140"/>
    <cellStyle name="Normal 2 6 24 2 4" xfId="29141"/>
    <cellStyle name="Normal 2 6 24 2 5" xfId="29142"/>
    <cellStyle name="Normal 2 6 24 2 6" xfId="29143"/>
    <cellStyle name="Normal 2 6 24 3" xfId="29144"/>
    <cellStyle name="Normal 2 6 24 3 2" xfId="29145"/>
    <cellStyle name="Normal 2 6 24 3 2 2" xfId="29146"/>
    <cellStyle name="Normal 2 6 24 3 2 3" xfId="29147"/>
    <cellStyle name="Normal 2 6 24 3 3" xfId="29148"/>
    <cellStyle name="Normal 2 6 24 3 4" xfId="29149"/>
    <cellStyle name="Normal 2 6 24 3 5" xfId="29150"/>
    <cellStyle name="Normal 2 6 24 3 6" xfId="29151"/>
    <cellStyle name="Normal 2 6 24 4" xfId="29152"/>
    <cellStyle name="Normal 2 6 24 4 2" xfId="29153"/>
    <cellStyle name="Normal 2 6 24 4 2 2" xfId="29154"/>
    <cellStyle name="Normal 2 6 24 4 3" xfId="29155"/>
    <cellStyle name="Normal 2 6 24 4 4" xfId="29156"/>
    <cellStyle name="Normal 2 6 24 4 5" xfId="29157"/>
    <cellStyle name="Normal 2 6 24 5" xfId="29158"/>
    <cellStyle name="Normal 2 6 24 5 2" xfId="29159"/>
    <cellStyle name="Normal 2 6 24 5 3" xfId="29160"/>
    <cellStyle name="Normal 2 6 24 5 4" xfId="29161"/>
    <cellStyle name="Normal 2 6 24 6" xfId="29162"/>
    <cellStyle name="Normal 2 6 24 6 2" xfId="29163"/>
    <cellStyle name="Normal 2 6 24 7" xfId="29164"/>
    <cellStyle name="Normal 2 6 24 8" xfId="29165"/>
    <cellStyle name="Normal 2 6 24 9" xfId="29166"/>
    <cellStyle name="Normal 2 6 25" xfId="29167"/>
    <cellStyle name="Normal 2 6 25 10" xfId="29168"/>
    <cellStyle name="Normal 2 6 25 2" xfId="29169"/>
    <cellStyle name="Normal 2 6 25 2 2" xfId="29170"/>
    <cellStyle name="Normal 2 6 25 2 2 2" xfId="29171"/>
    <cellStyle name="Normal 2 6 25 2 2 3" xfId="29172"/>
    <cellStyle name="Normal 2 6 25 2 3" xfId="29173"/>
    <cellStyle name="Normal 2 6 25 2 4" xfId="29174"/>
    <cellStyle name="Normal 2 6 25 2 5" xfId="29175"/>
    <cellStyle name="Normal 2 6 25 2 6" xfId="29176"/>
    <cellStyle name="Normal 2 6 25 3" xfId="29177"/>
    <cellStyle name="Normal 2 6 25 3 2" xfId="29178"/>
    <cellStyle name="Normal 2 6 25 3 2 2" xfId="29179"/>
    <cellStyle name="Normal 2 6 25 3 2 3" xfId="29180"/>
    <cellStyle name="Normal 2 6 25 3 3" xfId="29181"/>
    <cellStyle name="Normal 2 6 25 3 4" xfId="29182"/>
    <cellStyle name="Normal 2 6 25 3 5" xfId="29183"/>
    <cellStyle name="Normal 2 6 25 3 6" xfId="29184"/>
    <cellStyle name="Normal 2 6 25 4" xfId="29185"/>
    <cellStyle name="Normal 2 6 25 4 2" xfId="29186"/>
    <cellStyle name="Normal 2 6 25 4 2 2" xfId="29187"/>
    <cellStyle name="Normal 2 6 25 4 3" xfId="29188"/>
    <cellStyle name="Normal 2 6 25 4 4" xfId="29189"/>
    <cellStyle name="Normal 2 6 25 4 5" xfId="29190"/>
    <cellStyle name="Normal 2 6 25 5" xfId="29191"/>
    <cellStyle name="Normal 2 6 25 5 2" xfId="29192"/>
    <cellStyle name="Normal 2 6 25 5 3" xfId="29193"/>
    <cellStyle name="Normal 2 6 25 5 4" xfId="29194"/>
    <cellStyle name="Normal 2 6 25 6" xfId="29195"/>
    <cellStyle name="Normal 2 6 25 6 2" xfId="29196"/>
    <cellStyle name="Normal 2 6 25 7" xfId="29197"/>
    <cellStyle name="Normal 2 6 25 8" xfId="29198"/>
    <cellStyle name="Normal 2 6 25 9" xfId="29199"/>
    <cellStyle name="Normal 2 6 26" xfId="29200"/>
    <cellStyle name="Normal 2 6 26 10" xfId="29201"/>
    <cellStyle name="Normal 2 6 26 2" xfId="29202"/>
    <cellStyle name="Normal 2 6 26 2 2" xfId="29203"/>
    <cellStyle name="Normal 2 6 26 2 2 2" xfId="29204"/>
    <cellStyle name="Normal 2 6 26 2 2 3" xfId="29205"/>
    <cellStyle name="Normal 2 6 26 2 3" xfId="29206"/>
    <cellStyle name="Normal 2 6 26 2 4" xfId="29207"/>
    <cellStyle name="Normal 2 6 26 2 5" xfId="29208"/>
    <cellStyle name="Normal 2 6 26 2 6" xfId="29209"/>
    <cellStyle name="Normal 2 6 26 3" xfId="29210"/>
    <cellStyle name="Normal 2 6 26 3 2" xfId="29211"/>
    <cellStyle name="Normal 2 6 26 3 2 2" xfId="29212"/>
    <cellStyle name="Normal 2 6 26 3 2 3" xfId="29213"/>
    <cellStyle name="Normal 2 6 26 3 3" xfId="29214"/>
    <cellStyle name="Normal 2 6 26 3 4" xfId="29215"/>
    <cellStyle name="Normal 2 6 26 3 5" xfId="29216"/>
    <cellStyle name="Normal 2 6 26 3 6" xfId="29217"/>
    <cellStyle name="Normal 2 6 26 4" xfId="29218"/>
    <cellStyle name="Normal 2 6 26 4 2" xfId="29219"/>
    <cellStyle name="Normal 2 6 26 4 2 2" xfId="29220"/>
    <cellStyle name="Normal 2 6 26 4 3" xfId="29221"/>
    <cellStyle name="Normal 2 6 26 4 4" xfId="29222"/>
    <cellStyle name="Normal 2 6 26 4 5" xfId="29223"/>
    <cellStyle name="Normal 2 6 26 5" xfId="29224"/>
    <cellStyle name="Normal 2 6 26 5 2" xfId="29225"/>
    <cellStyle name="Normal 2 6 26 5 3" xfId="29226"/>
    <cellStyle name="Normal 2 6 26 5 4" xfId="29227"/>
    <cellStyle name="Normal 2 6 26 6" xfId="29228"/>
    <cellStyle name="Normal 2 6 26 6 2" xfId="29229"/>
    <cellStyle name="Normal 2 6 26 7" xfId="29230"/>
    <cellStyle name="Normal 2 6 26 8" xfId="29231"/>
    <cellStyle name="Normal 2 6 26 9" xfId="29232"/>
    <cellStyle name="Normal 2 6 27" xfId="29233"/>
    <cellStyle name="Normal 2 6 27 10" xfId="29234"/>
    <cellStyle name="Normal 2 6 27 2" xfId="29235"/>
    <cellStyle name="Normal 2 6 27 2 2" xfId="29236"/>
    <cellStyle name="Normal 2 6 27 2 2 2" xfId="29237"/>
    <cellStyle name="Normal 2 6 27 2 2 3" xfId="29238"/>
    <cellStyle name="Normal 2 6 27 2 3" xfId="29239"/>
    <cellStyle name="Normal 2 6 27 2 4" xfId="29240"/>
    <cellStyle name="Normal 2 6 27 2 5" xfId="29241"/>
    <cellStyle name="Normal 2 6 27 2 6" xfId="29242"/>
    <cellStyle name="Normal 2 6 27 3" xfId="29243"/>
    <cellStyle name="Normal 2 6 27 3 2" xfId="29244"/>
    <cellStyle name="Normal 2 6 27 3 2 2" xfId="29245"/>
    <cellStyle name="Normal 2 6 27 3 2 3" xfId="29246"/>
    <cellStyle name="Normal 2 6 27 3 3" xfId="29247"/>
    <cellStyle name="Normal 2 6 27 3 4" xfId="29248"/>
    <cellStyle name="Normal 2 6 27 3 5" xfId="29249"/>
    <cellStyle name="Normal 2 6 27 3 6" xfId="29250"/>
    <cellStyle name="Normal 2 6 27 4" xfId="29251"/>
    <cellStyle name="Normal 2 6 27 4 2" xfId="29252"/>
    <cellStyle name="Normal 2 6 27 4 2 2" xfId="29253"/>
    <cellStyle name="Normal 2 6 27 4 3" xfId="29254"/>
    <cellStyle name="Normal 2 6 27 4 4" xfId="29255"/>
    <cellStyle name="Normal 2 6 27 4 5" xfId="29256"/>
    <cellStyle name="Normal 2 6 27 5" xfId="29257"/>
    <cellStyle name="Normal 2 6 27 5 2" xfId="29258"/>
    <cellStyle name="Normal 2 6 27 5 3" xfId="29259"/>
    <cellStyle name="Normal 2 6 27 5 4" xfId="29260"/>
    <cellStyle name="Normal 2 6 27 6" xfId="29261"/>
    <cellStyle name="Normal 2 6 27 6 2" xfId="29262"/>
    <cellStyle name="Normal 2 6 27 7" xfId="29263"/>
    <cellStyle name="Normal 2 6 27 8" xfId="29264"/>
    <cellStyle name="Normal 2 6 27 9" xfId="29265"/>
    <cellStyle name="Normal 2 6 28" xfId="29266"/>
    <cellStyle name="Normal 2 6 28 10" xfId="29267"/>
    <cellStyle name="Normal 2 6 28 2" xfId="29268"/>
    <cellStyle name="Normal 2 6 28 2 2" xfId="29269"/>
    <cellStyle name="Normal 2 6 28 2 2 2" xfId="29270"/>
    <cellStyle name="Normal 2 6 28 2 2 3" xfId="29271"/>
    <cellStyle name="Normal 2 6 28 2 3" xfId="29272"/>
    <cellStyle name="Normal 2 6 28 2 4" xfId="29273"/>
    <cellStyle name="Normal 2 6 28 2 5" xfId="29274"/>
    <cellStyle name="Normal 2 6 28 2 6" xfId="29275"/>
    <cellStyle name="Normal 2 6 28 3" xfId="29276"/>
    <cellStyle name="Normal 2 6 28 3 2" xfId="29277"/>
    <cellStyle name="Normal 2 6 28 3 2 2" xfId="29278"/>
    <cellStyle name="Normal 2 6 28 3 2 3" xfId="29279"/>
    <cellStyle name="Normal 2 6 28 3 3" xfId="29280"/>
    <cellStyle name="Normal 2 6 28 3 4" xfId="29281"/>
    <cellStyle name="Normal 2 6 28 3 5" xfId="29282"/>
    <cellStyle name="Normal 2 6 28 3 6" xfId="29283"/>
    <cellStyle name="Normal 2 6 28 4" xfId="29284"/>
    <cellStyle name="Normal 2 6 28 4 2" xfId="29285"/>
    <cellStyle name="Normal 2 6 28 4 2 2" xfId="29286"/>
    <cellStyle name="Normal 2 6 28 4 3" xfId="29287"/>
    <cellStyle name="Normal 2 6 28 4 4" xfId="29288"/>
    <cellStyle name="Normal 2 6 28 4 5" xfId="29289"/>
    <cellStyle name="Normal 2 6 28 5" xfId="29290"/>
    <cellStyle name="Normal 2 6 28 5 2" xfId="29291"/>
    <cellStyle name="Normal 2 6 28 5 3" xfId="29292"/>
    <cellStyle name="Normal 2 6 28 5 4" xfId="29293"/>
    <cellStyle name="Normal 2 6 28 6" xfId="29294"/>
    <cellStyle name="Normal 2 6 28 6 2" xfId="29295"/>
    <cellStyle name="Normal 2 6 28 7" xfId="29296"/>
    <cellStyle name="Normal 2 6 28 8" xfId="29297"/>
    <cellStyle name="Normal 2 6 28 9" xfId="29298"/>
    <cellStyle name="Normal 2 6 29" xfId="29299"/>
    <cellStyle name="Normal 2 6 29 10" xfId="29300"/>
    <cellStyle name="Normal 2 6 29 2" xfId="29301"/>
    <cellStyle name="Normal 2 6 29 2 2" xfId="29302"/>
    <cellStyle name="Normal 2 6 29 2 2 2" xfId="29303"/>
    <cellStyle name="Normal 2 6 29 2 2 3" xfId="29304"/>
    <cellStyle name="Normal 2 6 29 2 3" xfId="29305"/>
    <cellStyle name="Normal 2 6 29 2 4" xfId="29306"/>
    <cellStyle name="Normal 2 6 29 2 5" xfId="29307"/>
    <cellStyle name="Normal 2 6 29 2 6" xfId="29308"/>
    <cellStyle name="Normal 2 6 29 3" xfId="29309"/>
    <cellStyle name="Normal 2 6 29 3 2" xfId="29310"/>
    <cellStyle name="Normal 2 6 29 3 2 2" xfId="29311"/>
    <cellStyle name="Normal 2 6 29 3 2 3" xfId="29312"/>
    <cellStyle name="Normal 2 6 29 3 3" xfId="29313"/>
    <cellStyle name="Normal 2 6 29 3 4" xfId="29314"/>
    <cellStyle name="Normal 2 6 29 3 5" xfId="29315"/>
    <cellStyle name="Normal 2 6 29 3 6" xfId="29316"/>
    <cellStyle name="Normal 2 6 29 4" xfId="29317"/>
    <cellStyle name="Normal 2 6 29 4 2" xfId="29318"/>
    <cellStyle name="Normal 2 6 29 4 2 2" xfId="29319"/>
    <cellStyle name="Normal 2 6 29 4 3" xfId="29320"/>
    <cellStyle name="Normal 2 6 29 4 4" xfId="29321"/>
    <cellStyle name="Normal 2 6 29 4 5" xfId="29322"/>
    <cellStyle name="Normal 2 6 29 5" xfId="29323"/>
    <cellStyle name="Normal 2 6 29 5 2" xfId="29324"/>
    <cellStyle name="Normal 2 6 29 5 3" xfId="29325"/>
    <cellStyle name="Normal 2 6 29 5 4" xfId="29326"/>
    <cellStyle name="Normal 2 6 29 6" xfId="29327"/>
    <cellStyle name="Normal 2 6 29 6 2" xfId="29328"/>
    <cellStyle name="Normal 2 6 29 7" xfId="29329"/>
    <cellStyle name="Normal 2 6 29 8" xfId="29330"/>
    <cellStyle name="Normal 2 6 29 9" xfId="29331"/>
    <cellStyle name="Normal 2 6 3" xfId="29332"/>
    <cellStyle name="Normal 2 6 3 10" xfId="29333"/>
    <cellStyle name="Normal 2 6 3 10 10" xfId="29334"/>
    <cellStyle name="Normal 2 6 3 10 2" xfId="29335"/>
    <cellStyle name="Normal 2 6 3 10 2 2" xfId="29336"/>
    <cellStyle name="Normal 2 6 3 10 2 2 2" xfId="29337"/>
    <cellStyle name="Normal 2 6 3 10 2 2 3" xfId="29338"/>
    <cellStyle name="Normal 2 6 3 10 2 3" xfId="29339"/>
    <cellStyle name="Normal 2 6 3 10 2 4" xfId="29340"/>
    <cellStyle name="Normal 2 6 3 10 2 5" xfId="29341"/>
    <cellStyle name="Normal 2 6 3 10 2 6" xfId="29342"/>
    <cellStyle name="Normal 2 6 3 10 3" xfId="29343"/>
    <cellStyle name="Normal 2 6 3 10 3 2" xfId="29344"/>
    <cellStyle name="Normal 2 6 3 10 3 2 2" xfId="29345"/>
    <cellStyle name="Normal 2 6 3 10 3 2 3" xfId="29346"/>
    <cellStyle name="Normal 2 6 3 10 3 3" xfId="29347"/>
    <cellStyle name="Normal 2 6 3 10 3 4" xfId="29348"/>
    <cellStyle name="Normal 2 6 3 10 3 5" xfId="29349"/>
    <cellStyle name="Normal 2 6 3 10 3 6" xfId="29350"/>
    <cellStyle name="Normal 2 6 3 10 4" xfId="29351"/>
    <cellStyle name="Normal 2 6 3 10 4 2" xfId="29352"/>
    <cellStyle name="Normal 2 6 3 10 4 2 2" xfId="29353"/>
    <cellStyle name="Normal 2 6 3 10 4 3" xfId="29354"/>
    <cellStyle name="Normal 2 6 3 10 4 4" xfId="29355"/>
    <cellStyle name="Normal 2 6 3 10 4 5" xfId="29356"/>
    <cellStyle name="Normal 2 6 3 10 5" xfId="29357"/>
    <cellStyle name="Normal 2 6 3 10 5 2" xfId="29358"/>
    <cellStyle name="Normal 2 6 3 10 5 3" xfId="29359"/>
    <cellStyle name="Normal 2 6 3 10 5 4" xfId="29360"/>
    <cellStyle name="Normal 2 6 3 10 6" xfId="29361"/>
    <cellStyle name="Normal 2 6 3 10 6 2" xfId="29362"/>
    <cellStyle name="Normal 2 6 3 10 7" xfId="29363"/>
    <cellStyle name="Normal 2 6 3 10 8" xfId="29364"/>
    <cellStyle name="Normal 2 6 3 10 9" xfId="29365"/>
    <cellStyle name="Normal 2 6 3 11" xfId="29366"/>
    <cellStyle name="Normal 2 6 3 11 10" xfId="29367"/>
    <cellStyle name="Normal 2 6 3 11 2" xfId="29368"/>
    <cellStyle name="Normal 2 6 3 11 2 2" xfId="29369"/>
    <cellStyle name="Normal 2 6 3 11 2 2 2" xfId="29370"/>
    <cellStyle name="Normal 2 6 3 11 2 2 3" xfId="29371"/>
    <cellStyle name="Normal 2 6 3 11 2 3" xfId="29372"/>
    <cellStyle name="Normal 2 6 3 11 2 4" xfId="29373"/>
    <cellStyle name="Normal 2 6 3 11 2 5" xfId="29374"/>
    <cellStyle name="Normal 2 6 3 11 2 6" xfId="29375"/>
    <cellStyle name="Normal 2 6 3 11 3" xfId="29376"/>
    <cellStyle name="Normal 2 6 3 11 3 2" xfId="29377"/>
    <cellStyle name="Normal 2 6 3 11 3 2 2" xfId="29378"/>
    <cellStyle name="Normal 2 6 3 11 3 2 3" xfId="29379"/>
    <cellStyle name="Normal 2 6 3 11 3 3" xfId="29380"/>
    <cellStyle name="Normal 2 6 3 11 3 4" xfId="29381"/>
    <cellStyle name="Normal 2 6 3 11 3 5" xfId="29382"/>
    <cellStyle name="Normal 2 6 3 11 3 6" xfId="29383"/>
    <cellStyle name="Normal 2 6 3 11 4" xfId="29384"/>
    <cellStyle name="Normal 2 6 3 11 4 2" xfId="29385"/>
    <cellStyle name="Normal 2 6 3 11 4 2 2" xfId="29386"/>
    <cellStyle name="Normal 2 6 3 11 4 3" xfId="29387"/>
    <cellStyle name="Normal 2 6 3 11 4 4" xfId="29388"/>
    <cellStyle name="Normal 2 6 3 11 4 5" xfId="29389"/>
    <cellStyle name="Normal 2 6 3 11 5" xfId="29390"/>
    <cellStyle name="Normal 2 6 3 11 5 2" xfId="29391"/>
    <cellStyle name="Normal 2 6 3 11 5 3" xfId="29392"/>
    <cellStyle name="Normal 2 6 3 11 5 4" xfId="29393"/>
    <cellStyle name="Normal 2 6 3 11 6" xfId="29394"/>
    <cellStyle name="Normal 2 6 3 11 6 2" xfId="29395"/>
    <cellStyle name="Normal 2 6 3 11 7" xfId="29396"/>
    <cellStyle name="Normal 2 6 3 11 8" xfId="29397"/>
    <cellStyle name="Normal 2 6 3 11 9" xfId="29398"/>
    <cellStyle name="Normal 2 6 3 12" xfId="29399"/>
    <cellStyle name="Normal 2 6 3 12 10" xfId="29400"/>
    <cellStyle name="Normal 2 6 3 12 2" xfId="29401"/>
    <cellStyle name="Normal 2 6 3 12 2 2" xfId="29402"/>
    <cellStyle name="Normal 2 6 3 12 2 2 2" xfId="29403"/>
    <cellStyle name="Normal 2 6 3 12 2 2 3" xfId="29404"/>
    <cellStyle name="Normal 2 6 3 12 2 3" xfId="29405"/>
    <cellStyle name="Normal 2 6 3 12 2 4" xfId="29406"/>
    <cellStyle name="Normal 2 6 3 12 2 5" xfId="29407"/>
    <cellStyle name="Normal 2 6 3 12 2 6" xfId="29408"/>
    <cellStyle name="Normal 2 6 3 12 3" xfId="29409"/>
    <cellStyle name="Normal 2 6 3 12 3 2" xfId="29410"/>
    <cellStyle name="Normal 2 6 3 12 3 2 2" xfId="29411"/>
    <cellStyle name="Normal 2 6 3 12 3 2 3" xfId="29412"/>
    <cellStyle name="Normal 2 6 3 12 3 3" xfId="29413"/>
    <cellStyle name="Normal 2 6 3 12 3 4" xfId="29414"/>
    <cellStyle name="Normal 2 6 3 12 3 5" xfId="29415"/>
    <cellStyle name="Normal 2 6 3 12 3 6" xfId="29416"/>
    <cellStyle name="Normal 2 6 3 12 4" xfId="29417"/>
    <cellStyle name="Normal 2 6 3 12 4 2" xfId="29418"/>
    <cellStyle name="Normal 2 6 3 12 4 2 2" xfId="29419"/>
    <cellStyle name="Normal 2 6 3 12 4 3" xfId="29420"/>
    <cellStyle name="Normal 2 6 3 12 4 4" xfId="29421"/>
    <cellStyle name="Normal 2 6 3 12 4 5" xfId="29422"/>
    <cellStyle name="Normal 2 6 3 12 5" xfId="29423"/>
    <cellStyle name="Normal 2 6 3 12 5 2" xfId="29424"/>
    <cellStyle name="Normal 2 6 3 12 5 3" xfId="29425"/>
    <cellStyle name="Normal 2 6 3 12 5 4" xfId="29426"/>
    <cellStyle name="Normal 2 6 3 12 6" xfId="29427"/>
    <cellStyle name="Normal 2 6 3 12 6 2" xfId="29428"/>
    <cellStyle name="Normal 2 6 3 12 7" xfId="29429"/>
    <cellStyle name="Normal 2 6 3 12 8" xfId="29430"/>
    <cellStyle name="Normal 2 6 3 12 9" xfId="29431"/>
    <cellStyle name="Normal 2 6 3 13" xfId="29432"/>
    <cellStyle name="Normal 2 6 3 13 2" xfId="29433"/>
    <cellStyle name="Normal 2 6 3 13 2 2" xfId="29434"/>
    <cellStyle name="Normal 2 6 3 13 2 2 2" xfId="29435"/>
    <cellStyle name="Normal 2 6 3 13 2 2 3" xfId="29436"/>
    <cellStyle name="Normal 2 6 3 13 2 3" xfId="29437"/>
    <cellStyle name="Normal 2 6 3 13 2 4" xfId="29438"/>
    <cellStyle name="Normal 2 6 3 13 2 5" xfId="29439"/>
    <cellStyle name="Normal 2 6 3 13 2 6" xfId="29440"/>
    <cellStyle name="Normal 2 6 3 13 3" xfId="29441"/>
    <cellStyle name="Normal 2 6 3 13 3 2" xfId="29442"/>
    <cellStyle name="Normal 2 6 3 13 3 2 2" xfId="29443"/>
    <cellStyle name="Normal 2 6 3 13 3 3" xfId="29444"/>
    <cellStyle name="Normal 2 6 3 13 3 4" xfId="29445"/>
    <cellStyle name="Normal 2 6 3 13 3 5" xfId="29446"/>
    <cellStyle name="Normal 2 6 3 13 4" xfId="29447"/>
    <cellStyle name="Normal 2 6 3 13 4 2" xfId="29448"/>
    <cellStyle name="Normal 2 6 3 13 4 3" xfId="29449"/>
    <cellStyle name="Normal 2 6 3 13 4 4" xfId="29450"/>
    <cellStyle name="Normal 2 6 3 13 5" xfId="29451"/>
    <cellStyle name="Normal 2 6 3 13 5 2" xfId="29452"/>
    <cellStyle name="Normal 2 6 3 13 6" xfId="29453"/>
    <cellStyle name="Normal 2 6 3 13 7" xfId="29454"/>
    <cellStyle name="Normal 2 6 3 13 8" xfId="29455"/>
    <cellStyle name="Normal 2 6 3 13 9" xfId="29456"/>
    <cellStyle name="Normal 2 6 3 14" xfId="29457"/>
    <cellStyle name="Normal 2 6 3 14 2" xfId="29458"/>
    <cellStyle name="Normal 2 6 3 14 2 2" xfId="29459"/>
    <cellStyle name="Normal 2 6 3 14 2 2 2" xfId="29460"/>
    <cellStyle name="Normal 2 6 3 14 2 2 3" xfId="29461"/>
    <cellStyle name="Normal 2 6 3 14 2 3" xfId="29462"/>
    <cellStyle name="Normal 2 6 3 14 2 4" xfId="29463"/>
    <cellStyle name="Normal 2 6 3 14 2 5" xfId="29464"/>
    <cellStyle name="Normal 2 6 3 14 2 6" xfId="29465"/>
    <cellStyle name="Normal 2 6 3 14 3" xfId="29466"/>
    <cellStyle name="Normal 2 6 3 14 3 2" xfId="29467"/>
    <cellStyle name="Normal 2 6 3 14 3 2 2" xfId="29468"/>
    <cellStyle name="Normal 2 6 3 14 3 3" xfId="29469"/>
    <cellStyle name="Normal 2 6 3 14 3 4" xfId="29470"/>
    <cellStyle name="Normal 2 6 3 14 3 5" xfId="29471"/>
    <cellStyle name="Normal 2 6 3 14 4" xfId="29472"/>
    <cellStyle name="Normal 2 6 3 14 4 2" xfId="29473"/>
    <cellStyle name="Normal 2 6 3 14 4 3" xfId="29474"/>
    <cellStyle name="Normal 2 6 3 14 4 4" xfId="29475"/>
    <cellStyle name="Normal 2 6 3 14 5" xfId="29476"/>
    <cellStyle name="Normal 2 6 3 14 5 2" xfId="29477"/>
    <cellStyle name="Normal 2 6 3 14 6" xfId="29478"/>
    <cellStyle name="Normal 2 6 3 14 7" xfId="29479"/>
    <cellStyle name="Normal 2 6 3 14 8" xfId="29480"/>
    <cellStyle name="Normal 2 6 3 14 9" xfId="29481"/>
    <cellStyle name="Normal 2 6 3 15" xfId="29482"/>
    <cellStyle name="Normal 2 6 3 15 2" xfId="29483"/>
    <cellStyle name="Normal 2 6 3 15 2 2" xfId="29484"/>
    <cellStyle name="Normal 2 6 3 15 2 3" xfId="29485"/>
    <cellStyle name="Normal 2 6 3 15 3" xfId="29486"/>
    <cellStyle name="Normal 2 6 3 15 4" xfId="29487"/>
    <cellStyle name="Normal 2 6 3 15 5" xfId="29488"/>
    <cellStyle name="Normal 2 6 3 15 6" xfId="29489"/>
    <cellStyle name="Normal 2 6 3 16" xfId="29490"/>
    <cellStyle name="Normal 2 6 3 16 2" xfId="29491"/>
    <cellStyle name="Normal 2 6 3 16 2 2" xfId="29492"/>
    <cellStyle name="Normal 2 6 3 16 3" xfId="29493"/>
    <cellStyle name="Normal 2 6 3 16 4" xfId="29494"/>
    <cellStyle name="Normal 2 6 3 16 5" xfId="29495"/>
    <cellStyle name="Normal 2 6 3 17" xfId="29496"/>
    <cellStyle name="Normal 2 6 3 17 2" xfId="29497"/>
    <cellStyle name="Normal 2 6 3 17 2 2" xfId="29498"/>
    <cellStyle name="Normal 2 6 3 17 3" xfId="29499"/>
    <cellStyle name="Normal 2 6 3 17 4" xfId="29500"/>
    <cellStyle name="Normal 2 6 3 17 5" xfId="29501"/>
    <cellStyle name="Normal 2 6 3 18" xfId="29502"/>
    <cellStyle name="Normal 2 6 3 18 2" xfId="29503"/>
    <cellStyle name="Normal 2 6 3 19" xfId="29504"/>
    <cellStyle name="Normal 2 6 3 2" xfId="29505"/>
    <cellStyle name="Normal 2 6 3 2 10" xfId="29506"/>
    <cellStyle name="Normal 2 6 3 2 11" xfId="29507"/>
    <cellStyle name="Normal 2 6 3 2 2" xfId="29508"/>
    <cellStyle name="Normal 2 6 3 2 2 2" xfId="29509"/>
    <cellStyle name="Normal 2 6 3 2 2 2 2" xfId="29510"/>
    <cellStyle name="Normal 2 6 3 2 2 2 2 2" xfId="29511"/>
    <cellStyle name="Normal 2 6 3 2 2 2 2 3" xfId="29512"/>
    <cellStyle name="Normal 2 6 3 2 2 2 3" xfId="29513"/>
    <cellStyle name="Normal 2 6 3 2 2 2 4" xfId="29514"/>
    <cellStyle name="Normal 2 6 3 2 2 2 5" xfId="29515"/>
    <cellStyle name="Normal 2 6 3 2 2 2 6" xfId="29516"/>
    <cellStyle name="Normal 2 6 3 2 2 3" xfId="29517"/>
    <cellStyle name="Normal 2 6 3 2 2 3 2" xfId="29518"/>
    <cellStyle name="Normal 2 6 3 2 2 3 2 2" xfId="29519"/>
    <cellStyle name="Normal 2 6 3 2 2 3 3" xfId="29520"/>
    <cellStyle name="Normal 2 6 3 2 2 3 4" xfId="29521"/>
    <cellStyle name="Normal 2 6 3 2 2 3 5" xfId="29522"/>
    <cellStyle name="Normal 2 6 3 2 2 4" xfId="29523"/>
    <cellStyle name="Normal 2 6 3 2 2 4 2" xfId="29524"/>
    <cellStyle name="Normal 2 6 3 2 2 4 3" xfId="29525"/>
    <cellStyle name="Normal 2 6 3 2 2 4 4" xfId="29526"/>
    <cellStyle name="Normal 2 6 3 2 2 5" xfId="29527"/>
    <cellStyle name="Normal 2 6 3 2 2 5 2" xfId="29528"/>
    <cellStyle name="Normal 2 6 3 2 2 6" xfId="29529"/>
    <cellStyle name="Normal 2 6 3 2 2 7" xfId="29530"/>
    <cellStyle name="Normal 2 6 3 2 2 8" xfId="29531"/>
    <cellStyle name="Normal 2 6 3 2 2 9" xfId="29532"/>
    <cellStyle name="Normal 2 6 3 2 3" xfId="29533"/>
    <cellStyle name="Normal 2 6 3 2 3 2" xfId="29534"/>
    <cellStyle name="Normal 2 6 3 2 3 2 2" xfId="29535"/>
    <cellStyle name="Normal 2 6 3 2 3 2 2 2" xfId="29536"/>
    <cellStyle name="Normal 2 6 3 2 3 2 2 3" xfId="29537"/>
    <cellStyle name="Normal 2 6 3 2 3 2 3" xfId="29538"/>
    <cellStyle name="Normal 2 6 3 2 3 2 4" xfId="29539"/>
    <cellStyle name="Normal 2 6 3 2 3 2 5" xfId="29540"/>
    <cellStyle name="Normal 2 6 3 2 3 2 6" xfId="29541"/>
    <cellStyle name="Normal 2 6 3 2 3 3" xfId="29542"/>
    <cellStyle name="Normal 2 6 3 2 3 3 2" xfId="29543"/>
    <cellStyle name="Normal 2 6 3 2 3 3 2 2" xfId="29544"/>
    <cellStyle name="Normal 2 6 3 2 3 3 3" xfId="29545"/>
    <cellStyle name="Normal 2 6 3 2 3 3 4" xfId="29546"/>
    <cellStyle name="Normal 2 6 3 2 3 3 5" xfId="29547"/>
    <cellStyle name="Normal 2 6 3 2 3 4" xfId="29548"/>
    <cellStyle name="Normal 2 6 3 2 3 4 2" xfId="29549"/>
    <cellStyle name="Normal 2 6 3 2 3 4 3" xfId="29550"/>
    <cellStyle name="Normal 2 6 3 2 3 4 4" xfId="29551"/>
    <cellStyle name="Normal 2 6 3 2 3 5" xfId="29552"/>
    <cellStyle name="Normal 2 6 3 2 3 5 2" xfId="29553"/>
    <cellStyle name="Normal 2 6 3 2 3 6" xfId="29554"/>
    <cellStyle name="Normal 2 6 3 2 3 7" xfId="29555"/>
    <cellStyle name="Normal 2 6 3 2 3 8" xfId="29556"/>
    <cellStyle name="Normal 2 6 3 2 3 9" xfId="29557"/>
    <cellStyle name="Normal 2 6 3 2 4" xfId="29558"/>
    <cellStyle name="Normal 2 6 3 2 4 2" xfId="29559"/>
    <cellStyle name="Normal 2 6 3 2 4 2 2" xfId="29560"/>
    <cellStyle name="Normal 2 6 3 2 4 2 3" xfId="29561"/>
    <cellStyle name="Normal 2 6 3 2 4 3" xfId="29562"/>
    <cellStyle name="Normal 2 6 3 2 4 4" xfId="29563"/>
    <cellStyle name="Normal 2 6 3 2 4 5" xfId="29564"/>
    <cellStyle name="Normal 2 6 3 2 4 6" xfId="29565"/>
    <cellStyle name="Normal 2 6 3 2 5" xfId="29566"/>
    <cellStyle name="Normal 2 6 3 2 5 2" xfId="29567"/>
    <cellStyle name="Normal 2 6 3 2 5 2 2" xfId="29568"/>
    <cellStyle name="Normal 2 6 3 2 5 3" xfId="29569"/>
    <cellStyle name="Normal 2 6 3 2 5 4" xfId="29570"/>
    <cellStyle name="Normal 2 6 3 2 5 5" xfId="29571"/>
    <cellStyle name="Normal 2 6 3 2 6" xfId="29572"/>
    <cellStyle name="Normal 2 6 3 2 6 2" xfId="29573"/>
    <cellStyle name="Normal 2 6 3 2 6 3" xfId="29574"/>
    <cellStyle name="Normal 2 6 3 2 6 4" xfId="29575"/>
    <cellStyle name="Normal 2 6 3 2 7" xfId="29576"/>
    <cellStyle name="Normal 2 6 3 2 7 2" xfId="29577"/>
    <cellStyle name="Normal 2 6 3 2 8" xfId="29578"/>
    <cellStyle name="Normal 2 6 3 2 9" xfId="29579"/>
    <cellStyle name="Normal 2 6 3 20" xfId="29580"/>
    <cellStyle name="Normal 2 6 3 21" xfId="29581"/>
    <cellStyle name="Normal 2 6 3 22" xfId="29582"/>
    <cellStyle name="Normal 2 6 3 3" xfId="29583"/>
    <cellStyle name="Normal 2 6 3 3 10" xfId="29584"/>
    <cellStyle name="Normal 2 6 3 3 11" xfId="29585"/>
    <cellStyle name="Normal 2 6 3 3 2" xfId="29586"/>
    <cellStyle name="Normal 2 6 3 3 2 2" xfId="29587"/>
    <cellStyle name="Normal 2 6 3 3 2 2 2" xfId="29588"/>
    <cellStyle name="Normal 2 6 3 3 2 2 2 2" xfId="29589"/>
    <cellStyle name="Normal 2 6 3 3 2 2 2 3" xfId="29590"/>
    <cellStyle name="Normal 2 6 3 3 2 2 3" xfId="29591"/>
    <cellStyle name="Normal 2 6 3 3 2 2 4" xfId="29592"/>
    <cellStyle name="Normal 2 6 3 3 2 2 5" xfId="29593"/>
    <cellStyle name="Normal 2 6 3 3 2 2 6" xfId="29594"/>
    <cellStyle name="Normal 2 6 3 3 2 3" xfId="29595"/>
    <cellStyle name="Normal 2 6 3 3 2 3 2" xfId="29596"/>
    <cellStyle name="Normal 2 6 3 3 2 3 2 2" xfId="29597"/>
    <cellStyle name="Normal 2 6 3 3 2 3 3" xfId="29598"/>
    <cellStyle name="Normal 2 6 3 3 2 3 4" xfId="29599"/>
    <cellStyle name="Normal 2 6 3 3 2 3 5" xfId="29600"/>
    <cellStyle name="Normal 2 6 3 3 2 4" xfId="29601"/>
    <cellStyle name="Normal 2 6 3 3 2 4 2" xfId="29602"/>
    <cellStyle name="Normal 2 6 3 3 2 4 3" xfId="29603"/>
    <cellStyle name="Normal 2 6 3 3 2 4 4" xfId="29604"/>
    <cellStyle name="Normal 2 6 3 3 2 5" xfId="29605"/>
    <cellStyle name="Normal 2 6 3 3 2 5 2" xfId="29606"/>
    <cellStyle name="Normal 2 6 3 3 2 6" xfId="29607"/>
    <cellStyle name="Normal 2 6 3 3 2 7" xfId="29608"/>
    <cellStyle name="Normal 2 6 3 3 2 8" xfId="29609"/>
    <cellStyle name="Normal 2 6 3 3 2 9" xfId="29610"/>
    <cellStyle name="Normal 2 6 3 3 3" xfId="29611"/>
    <cellStyle name="Normal 2 6 3 3 3 2" xfId="29612"/>
    <cellStyle name="Normal 2 6 3 3 3 2 2" xfId="29613"/>
    <cellStyle name="Normal 2 6 3 3 3 2 2 2" xfId="29614"/>
    <cellStyle name="Normal 2 6 3 3 3 2 2 3" xfId="29615"/>
    <cellStyle name="Normal 2 6 3 3 3 2 3" xfId="29616"/>
    <cellStyle name="Normal 2 6 3 3 3 2 4" xfId="29617"/>
    <cellStyle name="Normal 2 6 3 3 3 2 5" xfId="29618"/>
    <cellStyle name="Normal 2 6 3 3 3 2 6" xfId="29619"/>
    <cellStyle name="Normal 2 6 3 3 3 3" xfId="29620"/>
    <cellStyle name="Normal 2 6 3 3 3 3 2" xfId="29621"/>
    <cellStyle name="Normal 2 6 3 3 3 3 2 2" xfId="29622"/>
    <cellStyle name="Normal 2 6 3 3 3 3 3" xfId="29623"/>
    <cellStyle name="Normal 2 6 3 3 3 3 4" xfId="29624"/>
    <cellStyle name="Normal 2 6 3 3 3 3 5" xfId="29625"/>
    <cellStyle name="Normal 2 6 3 3 3 4" xfId="29626"/>
    <cellStyle name="Normal 2 6 3 3 3 4 2" xfId="29627"/>
    <cellStyle name="Normal 2 6 3 3 3 4 3" xfId="29628"/>
    <cellStyle name="Normal 2 6 3 3 3 4 4" xfId="29629"/>
    <cellStyle name="Normal 2 6 3 3 3 5" xfId="29630"/>
    <cellStyle name="Normal 2 6 3 3 3 5 2" xfId="29631"/>
    <cellStyle name="Normal 2 6 3 3 3 6" xfId="29632"/>
    <cellStyle name="Normal 2 6 3 3 3 7" xfId="29633"/>
    <cellStyle name="Normal 2 6 3 3 3 8" xfId="29634"/>
    <cellStyle name="Normal 2 6 3 3 3 9" xfId="29635"/>
    <cellStyle name="Normal 2 6 3 3 4" xfId="29636"/>
    <cellStyle name="Normal 2 6 3 3 4 2" xfId="29637"/>
    <cellStyle name="Normal 2 6 3 3 4 2 2" xfId="29638"/>
    <cellStyle name="Normal 2 6 3 3 4 2 3" xfId="29639"/>
    <cellStyle name="Normal 2 6 3 3 4 3" xfId="29640"/>
    <cellStyle name="Normal 2 6 3 3 4 4" xfId="29641"/>
    <cellStyle name="Normal 2 6 3 3 4 5" xfId="29642"/>
    <cellStyle name="Normal 2 6 3 3 4 6" xfId="29643"/>
    <cellStyle name="Normal 2 6 3 3 5" xfId="29644"/>
    <cellStyle name="Normal 2 6 3 3 5 2" xfId="29645"/>
    <cellStyle name="Normal 2 6 3 3 5 2 2" xfId="29646"/>
    <cellStyle name="Normal 2 6 3 3 5 3" xfId="29647"/>
    <cellStyle name="Normal 2 6 3 3 5 4" xfId="29648"/>
    <cellStyle name="Normal 2 6 3 3 5 5" xfId="29649"/>
    <cellStyle name="Normal 2 6 3 3 6" xfId="29650"/>
    <cellStyle name="Normal 2 6 3 3 6 2" xfId="29651"/>
    <cellStyle name="Normal 2 6 3 3 6 3" xfId="29652"/>
    <cellStyle name="Normal 2 6 3 3 6 4" xfId="29653"/>
    <cellStyle name="Normal 2 6 3 3 7" xfId="29654"/>
    <cellStyle name="Normal 2 6 3 3 7 2" xfId="29655"/>
    <cellStyle name="Normal 2 6 3 3 8" xfId="29656"/>
    <cellStyle name="Normal 2 6 3 3 9" xfId="29657"/>
    <cellStyle name="Normal 2 6 3 4" xfId="29658"/>
    <cellStyle name="Normal 2 6 3 4 10" xfId="29659"/>
    <cellStyle name="Normal 2 6 3 4 11" xfId="29660"/>
    <cellStyle name="Normal 2 6 3 4 2" xfId="29661"/>
    <cellStyle name="Normal 2 6 3 4 2 2" xfId="29662"/>
    <cellStyle name="Normal 2 6 3 4 2 2 2" xfId="29663"/>
    <cellStyle name="Normal 2 6 3 4 2 2 2 2" xfId="29664"/>
    <cellStyle name="Normal 2 6 3 4 2 2 2 3" xfId="29665"/>
    <cellStyle name="Normal 2 6 3 4 2 2 3" xfId="29666"/>
    <cellStyle name="Normal 2 6 3 4 2 2 4" xfId="29667"/>
    <cellStyle name="Normal 2 6 3 4 2 2 5" xfId="29668"/>
    <cellStyle name="Normal 2 6 3 4 2 2 6" xfId="29669"/>
    <cellStyle name="Normal 2 6 3 4 2 3" xfId="29670"/>
    <cellStyle name="Normal 2 6 3 4 2 3 2" xfId="29671"/>
    <cellStyle name="Normal 2 6 3 4 2 3 2 2" xfId="29672"/>
    <cellStyle name="Normal 2 6 3 4 2 3 3" xfId="29673"/>
    <cellStyle name="Normal 2 6 3 4 2 3 4" xfId="29674"/>
    <cellStyle name="Normal 2 6 3 4 2 3 5" xfId="29675"/>
    <cellStyle name="Normal 2 6 3 4 2 4" xfId="29676"/>
    <cellStyle name="Normal 2 6 3 4 2 4 2" xfId="29677"/>
    <cellStyle name="Normal 2 6 3 4 2 4 3" xfId="29678"/>
    <cellStyle name="Normal 2 6 3 4 2 4 4" xfId="29679"/>
    <cellStyle name="Normal 2 6 3 4 2 5" xfId="29680"/>
    <cellStyle name="Normal 2 6 3 4 2 5 2" xfId="29681"/>
    <cellStyle name="Normal 2 6 3 4 2 6" xfId="29682"/>
    <cellStyle name="Normal 2 6 3 4 2 7" xfId="29683"/>
    <cellStyle name="Normal 2 6 3 4 2 8" xfId="29684"/>
    <cellStyle name="Normal 2 6 3 4 2 9" xfId="29685"/>
    <cellStyle name="Normal 2 6 3 4 3" xfId="29686"/>
    <cellStyle name="Normal 2 6 3 4 3 2" xfId="29687"/>
    <cellStyle name="Normal 2 6 3 4 3 2 2" xfId="29688"/>
    <cellStyle name="Normal 2 6 3 4 3 2 2 2" xfId="29689"/>
    <cellStyle name="Normal 2 6 3 4 3 2 2 3" xfId="29690"/>
    <cellStyle name="Normal 2 6 3 4 3 2 3" xfId="29691"/>
    <cellStyle name="Normal 2 6 3 4 3 2 4" xfId="29692"/>
    <cellStyle name="Normal 2 6 3 4 3 2 5" xfId="29693"/>
    <cellStyle name="Normal 2 6 3 4 3 2 6" xfId="29694"/>
    <cellStyle name="Normal 2 6 3 4 3 3" xfId="29695"/>
    <cellStyle name="Normal 2 6 3 4 3 3 2" xfId="29696"/>
    <cellStyle name="Normal 2 6 3 4 3 3 2 2" xfId="29697"/>
    <cellStyle name="Normal 2 6 3 4 3 3 3" xfId="29698"/>
    <cellStyle name="Normal 2 6 3 4 3 3 4" xfId="29699"/>
    <cellStyle name="Normal 2 6 3 4 3 3 5" xfId="29700"/>
    <cellStyle name="Normal 2 6 3 4 3 4" xfId="29701"/>
    <cellStyle name="Normal 2 6 3 4 3 4 2" xfId="29702"/>
    <cellStyle name="Normal 2 6 3 4 3 4 3" xfId="29703"/>
    <cellStyle name="Normal 2 6 3 4 3 4 4" xfId="29704"/>
    <cellStyle name="Normal 2 6 3 4 3 5" xfId="29705"/>
    <cellStyle name="Normal 2 6 3 4 3 5 2" xfId="29706"/>
    <cellStyle name="Normal 2 6 3 4 3 6" xfId="29707"/>
    <cellStyle name="Normal 2 6 3 4 3 7" xfId="29708"/>
    <cellStyle name="Normal 2 6 3 4 3 8" xfId="29709"/>
    <cellStyle name="Normal 2 6 3 4 3 9" xfId="29710"/>
    <cellStyle name="Normal 2 6 3 4 4" xfId="29711"/>
    <cellStyle name="Normal 2 6 3 4 4 2" xfId="29712"/>
    <cellStyle name="Normal 2 6 3 4 4 2 2" xfId="29713"/>
    <cellStyle name="Normal 2 6 3 4 4 2 3" xfId="29714"/>
    <cellStyle name="Normal 2 6 3 4 4 3" xfId="29715"/>
    <cellStyle name="Normal 2 6 3 4 4 4" xfId="29716"/>
    <cellStyle name="Normal 2 6 3 4 4 5" xfId="29717"/>
    <cellStyle name="Normal 2 6 3 4 4 6" xfId="29718"/>
    <cellStyle name="Normal 2 6 3 4 5" xfId="29719"/>
    <cellStyle name="Normal 2 6 3 4 5 2" xfId="29720"/>
    <cellStyle name="Normal 2 6 3 4 5 2 2" xfId="29721"/>
    <cellStyle name="Normal 2 6 3 4 5 3" xfId="29722"/>
    <cellStyle name="Normal 2 6 3 4 5 4" xfId="29723"/>
    <cellStyle name="Normal 2 6 3 4 5 5" xfId="29724"/>
    <cellStyle name="Normal 2 6 3 4 6" xfId="29725"/>
    <cellStyle name="Normal 2 6 3 4 6 2" xfId="29726"/>
    <cellStyle name="Normal 2 6 3 4 6 3" xfId="29727"/>
    <cellStyle name="Normal 2 6 3 4 6 4" xfId="29728"/>
    <cellStyle name="Normal 2 6 3 4 7" xfId="29729"/>
    <cellStyle name="Normal 2 6 3 4 7 2" xfId="29730"/>
    <cellStyle name="Normal 2 6 3 4 8" xfId="29731"/>
    <cellStyle name="Normal 2 6 3 4 9" xfId="29732"/>
    <cellStyle name="Normal 2 6 3 5" xfId="29733"/>
    <cellStyle name="Normal 2 6 3 5 10" xfId="29734"/>
    <cellStyle name="Normal 2 6 3 5 11" xfId="29735"/>
    <cellStyle name="Normal 2 6 3 5 2" xfId="29736"/>
    <cellStyle name="Normal 2 6 3 5 2 2" xfId="29737"/>
    <cellStyle name="Normal 2 6 3 5 2 2 2" xfId="29738"/>
    <cellStyle name="Normal 2 6 3 5 2 2 2 2" xfId="29739"/>
    <cellStyle name="Normal 2 6 3 5 2 2 2 3" xfId="29740"/>
    <cellStyle name="Normal 2 6 3 5 2 2 3" xfId="29741"/>
    <cellStyle name="Normal 2 6 3 5 2 2 4" xfId="29742"/>
    <cellStyle name="Normal 2 6 3 5 2 2 5" xfId="29743"/>
    <cellStyle name="Normal 2 6 3 5 2 2 6" xfId="29744"/>
    <cellStyle name="Normal 2 6 3 5 2 3" xfId="29745"/>
    <cellStyle name="Normal 2 6 3 5 2 3 2" xfId="29746"/>
    <cellStyle name="Normal 2 6 3 5 2 3 2 2" xfId="29747"/>
    <cellStyle name="Normal 2 6 3 5 2 3 3" xfId="29748"/>
    <cellStyle name="Normal 2 6 3 5 2 3 4" xfId="29749"/>
    <cellStyle name="Normal 2 6 3 5 2 3 5" xfId="29750"/>
    <cellStyle name="Normal 2 6 3 5 2 4" xfId="29751"/>
    <cellStyle name="Normal 2 6 3 5 2 4 2" xfId="29752"/>
    <cellStyle name="Normal 2 6 3 5 2 4 3" xfId="29753"/>
    <cellStyle name="Normal 2 6 3 5 2 4 4" xfId="29754"/>
    <cellStyle name="Normal 2 6 3 5 2 5" xfId="29755"/>
    <cellStyle name="Normal 2 6 3 5 2 5 2" xfId="29756"/>
    <cellStyle name="Normal 2 6 3 5 2 6" xfId="29757"/>
    <cellStyle name="Normal 2 6 3 5 2 7" xfId="29758"/>
    <cellStyle name="Normal 2 6 3 5 2 8" xfId="29759"/>
    <cellStyle name="Normal 2 6 3 5 2 9" xfId="29760"/>
    <cellStyle name="Normal 2 6 3 5 3" xfId="29761"/>
    <cellStyle name="Normal 2 6 3 5 3 2" xfId="29762"/>
    <cellStyle name="Normal 2 6 3 5 3 2 2" xfId="29763"/>
    <cellStyle name="Normal 2 6 3 5 3 2 2 2" xfId="29764"/>
    <cellStyle name="Normal 2 6 3 5 3 2 2 3" xfId="29765"/>
    <cellStyle name="Normal 2 6 3 5 3 2 3" xfId="29766"/>
    <cellStyle name="Normal 2 6 3 5 3 2 4" xfId="29767"/>
    <cellStyle name="Normal 2 6 3 5 3 2 5" xfId="29768"/>
    <cellStyle name="Normal 2 6 3 5 3 2 6" xfId="29769"/>
    <cellStyle name="Normal 2 6 3 5 3 3" xfId="29770"/>
    <cellStyle name="Normal 2 6 3 5 3 3 2" xfId="29771"/>
    <cellStyle name="Normal 2 6 3 5 3 3 2 2" xfId="29772"/>
    <cellStyle name="Normal 2 6 3 5 3 3 3" xfId="29773"/>
    <cellStyle name="Normal 2 6 3 5 3 3 4" xfId="29774"/>
    <cellStyle name="Normal 2 6 3 5 3 3 5" xfId="29775"/>
    <cellStyle name="Normal 2 6 3 5 3 4" xfId="29776"/>
    <cellStyle name="Normal 2 6 3 5 3 4 2" xfId="29777"/>
    <cellStyle name="Normal 2 6 3 5 3 4 3" xfId="29778"/>
    <cellStyle name="Normal 2 6 3 5 3 4 4" xfId="29779"/>
    <cellStyle name="Normal 2 6 3 5 3 5" xfId="29780"/>
    <cellStyle name="Normal 2 6 3 5 3 5 2" xfId="29781"/>
    <cellStyle name="Normal 2 6 3 5 3 6" xfId="29782"/>
    <cellStyle name="Normal 2 6 3 5 3 7" xfId="29783"/>
    <cellStyle name="Normal 2 6 3 5 3 8" xfId="29784"/>
    <cellStyle name="Normal 2 6 3 5 3 9" xfId="29785"/>
    <cellStyle name="Normal 2 6 3 5 4" xfId="29786"/>
    <cellStyle name="Normal 2 6 3 5 4 2" xfId="29787"/>
    <cellStyle name="Normal 2 6 3 5 4 2 2" xfId="29788"/>
    <cellStyle name="Normal 2 6 3 5 4 2 3" xfId="29789"/>
    <cellStyle name="Normal 2 6 3 5 4 3" xfId="29790"/>
    <cellStyle name="Normal 2 6 3 5 4 4" xfId="29791"/>
    <cellStyle name="Normal 2 6 3 5 4 5" xfId="29792"/>
    <cellStyle name="Normal 2 6 3 5 4 6" xfId="29793"/>
    <cellStyle name="Normal 2 6 3 5 5" xfId="29794"/>
    <cellStyle name="Normal 2 6 3 5 5 2" xfId="29795"/>
    <cellStyle name="Normal 2 6 3 5 5 2 2" xfId="29796"/>
    <cellStyle name="Normal 2 6 3 5 5 3" xfId="29797"/>
    <cellStyle name="Normal 2 6 3 5 5 4" xfId="29798"/>
    <cellStyle name="Normal 2 6 3 5 5 5" xfId="29799"/>
    <cellStyle name="Normal 2 6 3 5 6" xfId="29800"/>
    <cellStyle name="Normal 2 6 3 5 6 2" xfId="29801"/>
    <cellStyle name="Normal 2 6 3 5 6 3" xfId="29802"/>
    <cellStyle name="Normal 2 6 3 5 6 4" xfId="29803"/>
    <cellStyle name="Normal 2 6 3 5 7" xfId="29804"/>
    <cellStyle name="Normal 2 6 3 5 7 2" xfId="29805"/>
    <cellStyle name="Normal 2 6 3 5 8" xfId="29806"/>
    <cellStyle name="Normal 2 6 3 5 9" xfId="29807"/>
    <cellStyle name="Normal 2 6 3 6" xfId="29808"/>
    <cellStyle name="Normal 2 6 3 6 10" xfId="29809"/>
    <cellStyle name="Normal 2 6 3 6 11" xfId="29810"/>
    <cellStyle name="Normal 2 6 3 6 2" xfId="29811"/>
    <cellStyle name="Normal 2 6 3 6 2 2" xfId="29812"/>
    <cellStyle name="Normal 2 6 3 6 2 2 2" xfId="29813"/>
    <cellStyle name="Normal 2 6 3 6 2 2 2 2" xfId="29814"/>
    <cellStyle name="Normal 2 6 3 6 2 2 2 3" xfId="29815"/>
    <cellStyle name="Normal 2 6 3 6 2 2 3" xfId="29816"/>
    <cellStyle name="Normal 2 6 3 6 2 2 4" xfId="29817"/>
    <cellStyle name="Normal 2 6 3 6 2 2 5" xfId="29818"/>
    <cellStyle name="Normal 2 6 3 6 2 2 6" xfId="29819"/>
    <cellStyle name="Normal 2 6 3 6 2 3" xfId="29820"/>
    <cellStyle name="Normal 2 6 3 6 2 3 2" xfId="29821"/>
    <cellStyle name="Normal 2 6 3 6 2 3 2 2" xfId="29822"/>
    <cellStyle name="Normal 2 6 3 6 2 3 3" xfId="29823"/>
    <cellStyle name="Normal 2 6 3 6 2 3 4" xfId="29824"/>
    <cellStyle name="Normal 2 6 3 6 2 3 5" xfId="29825"/>
    <cellStyle name="Normal 2 6 3 6 2 4" xfId="29826"/>
    <cellStyle name="Normal 2 6 3 6 2 4 2" xfId="29827"/>
    <cellStyle name="Normal 2 6 3 6 2 4 3" xfId="29828"/>
    <cellStyle name="Normal 2 6 3 6 2 4 4" xfId="29829"/>
    <cellStyle name="Normal 2 6 3 6 2 5" xfId="29830"/>
    <cellStyle name="Normal 2 6 3 6 2 5 2" xfId="29831"/>
    <cellStyle name="Normal 2 6 3 6 2 6" xfId="29832"/>
    <cellStyle name="Normal 2 6 3 6 2 7" xfId="29833"/>
    <cellStyle name="Normal 2 6 3 6 2 8" xfId="29834"/>
    <cellStyle name="Normal 2 6 3 6 2 9" xfId="29835"/>
    <cellStyle name="Normal 2 6 3 6 3" xfId="29836"/>
    <cellStyle name="Normal 2 6 3 6 3 2" xfId="29837"/>
    <cellStyle name="Normal 2 6 3 6 3 2 2" xfId="29838"/>
    <cellStyle name="Normal 2 6 3 6 3 2 2 2" xfId="29839"/>
    <cellStyle name="Normal 2 6 3 6 3 2 2 3" xfId="29840"/>
    <cellStyle name="Normal 2 6 3 6 3 2 3" xfId="29841"/>
    <cellStyle name="Normal 2 6 3 6 3 2 4" xfId="29842"/>
    <cellStyle name="Normal 2 6 3 6 3 2 5" xfId="29843"/>
    <cellStyle name="Normal 2 6 3 6 3 2 6" xfId="29844"/>
    <cellStyle name="Normal 2 6 3 6 3 3" xfId="29845"/>
    <cellStyle name="Normal 2 6 3 6 3 3 2" xfId="29846"/>
    <cellStyle name="Normal 2 6 3 6 3 3 2 2" xfId="29847"/>
    <cellStyle name="Normal 2 6 3 6 3 3 3" xfId="29848"/>
    <cellStyle name="Normal 2 6 3 6 3 3 4" xfId="29849"/>
    <cellStyle name="Normal 2 6 3 6 3 3 5" xfId="29850"/>
    <cellStyle name="Normal 2 6 3 6 3 4" xfId="29851"/>
    <cellStyle name="Normal 2 6 3 6 3 4 2" xfId="29852"/>
    <cellStyle name="Normal 2 6 3 6 3 4 3" xfId="29853"/>
    <cellStyle name="Normal 2 6 3 6 3 4 4" xfId="29854"/>
    <cellStyle name="Normal 2 6 3 6 3 5" xfId="29855"/>
    <cellStyle name="Normal 2 6 3 6 3 5 2" xfId="29856"/>
    <cellStyle name="Normal 2 6 3 6 3 6" xfId="29857"/>
    <cellStyle name="Normal 2 6 3 6 3 7" xfId="29858"/>
    <cellStyle name="Normal 2 6 3 6 3 8" xfId="29859"/>
    <cellStyle name="Normal 2 6 3 6 3 9" xfId="29860"/>
    <cellStyle name="Normal 2 6 3 6 4" xfId="29861"/>
    <cellStyle name="Normal 2 6 3 6 4 2" xfId="29862"/>
    <cellStyle name="Normal 2 6 3 6 4 2 2" xfId="29863"/>
    <cellStyle name="Normal 2 6 3 6 4 2 3" xfId="29864"/>
    <cellStyle name="Normal 2 6 3 6 4 3" xfId="29865"/>
    <cellStyle name="Normal 2 6 3 6 4 4" xfId="29866"/>
    <cellStyle name="Normal 2 6 3 6 4 5" xfId="29867"/>
    <cellStyle name="Normal 2 6 3 6 4 6" xfId="29868"/>
    <cellStyle name="Normal 2 6 3 6 5" xfId="29869"/>
    <cellStyle name="Normal 2 6 3 6 5 2" xfId="29870"/>
    <cellStyle name="Normal 2 6 3 6 5 2 2" xfId="29871"/>
    <cellStyle name="Normal 2 6 3 6 5 3" xfId="29872"/>
    <cellStyle name="Normal 2 6 3 6 5 4" xfId="29873"/>
    <cellStyle name="Normal 2 6 3 6 5 5" xfId="29874"/>
    <cellStyle name="Normal 2 6 3 6 6" xfId="29875"/>
    <cellStyle name="Normal 2 6 3 6 6 2" xfId="29876"/>
    <cellStyle name="Normal 2 6 3 6 6 3" xfId="29877"/>
    <cellStyle name="Normal 2 6 3 6 6 4" xfId="29878"/>
    <cellStyle name="Normal 2 6 3 6 7" xfId="29879"/>
    <cellStyle name="Normal 2 6 3 6 7 2" xfId="29880"/>
    <cellStyle name="Normal 2 6 3 6 8" xfId="29881"/>
    <cellStyle name="Normal 2 6 3 6 9" xfId="29882"/>
    <cellStyle name="Normal 2 6 3 7" xfId="29883"/>
    <cellStyle name="Normal 2 6 3 7 10" xfId="29884"/>
    <cellStyle name="Normal 2 6 3 7 11" xfId="29885"/>
    <cellStyle name="Normal 2 6 3 7 2" xfId="29886"/>
    <cellStyle name="Normal 2 6 3 7 2 2" xfId="29887"/>
    <cellStyle name="Normal 2 6 3 7 2 2 2" xfId="29888"/>
    <cellStyle name="Normal 2 6 3 7 2 2 2 2" xfId="29889"/>
    <cellStyle name="Normal 2 6 3 7 2 2 2 3" xfId="29890"/>
    <cellStyle name="Normal 2 6 3 7 2 2 3" xfId="29891"/>
    <cellStyle name="Normal 2 6 3 7 2 2 4" xfId="29892"/>
    <cellStyle name="Normal 2 6 3 7 2 2 5" xfId="29893"/>
    <cellStyle name="Normal 2 6 3 7 2 2 6" xfId="29894"/>
    <cellStyle name="Normal 2 6 3 7 2 3" xfId="29895"/>
    <cellStyle name="Normal 2 6 3 7 2 3 2" xfId="29896"/>
    <cellStyle name="Normal 2 6 3 7 2 3 2 2" xfId="29897"/>
    <cellStyle name="Normal 2 6 3 7 2 3 3" xfId="29898"/>
    <cellStyle name="Normal 2 6 3 7 2 3 4" xfId="29899"/>
    <cellStyle name="Normal 2 6 3 7 2 3 5" xfId="29900"/>
    <cellStyle name="Normal 2 6 3 7 2 4" xfId="29901"/>
    <cellStyle name="Normal 2 6 3 7 2 4 2" xfId="29902"/>
    <cellStyle name="Normal 2 6 3 7 2 4 3" xfId="29903"/>
    <cellStyle name="Normal 2 6 3 7 2 4 4" xfId="29904"/>
    <cellStyle name="Normal 2 6 3 7 2 5" xfId="29905"/>
    <cellStyle name="Normal 2 6 3 7 2 5 2" xfId="29906"/>
    <cellStyle name="Normal 2 6 3 7 2 6" xfId="29907"/>
    <cellStyle name="Normal 2 6 3 7 2 7" xfId="29908"/>
    <cellStyle name="Normal 2 6 3 7 2 8" xfId="29909"/>
    <cellStyle name="Normal 2 6 3 7 2 9" xfId="29910"/>
    <cellStyle name="Normal 2 6 3 7 3" xfId="29911"/>
    <cellStyle name="Normal 2 6 3 7 3 2" xfId="29912"/>
    <cellStyle name="Normal 2 6 3 7 3 2 2" xfId="29913"/>
    <cellStyle name="Normal 2 6 3 7 3 2 2 2" xfId="29914"/>
    <cellStyle name="Normal 2 6 3 7 3 2 2 3" xfId="29915"/>
    <cellStyle name="Normal 2 6 3 7 3 2 3" xfId="29916"/>
    <cellStyle name="Normal 2 6 3 7 3 2 4" xfId="29917"/>
    <cellStyle name="Normal 2 6 3 7 3 2 5" xfId="29918"/>
    <cellStyle name="Normal 2 6 3 7 3 2 6" xfId="29919"/>
    <cellStyle name="Normal 2 6 3 7 3 3" xfId="29920"/>
    <cellStyle name="Normal 2 6 3 7 3 3 2" xfId="29921"/>
    <cellStyle name="Normal 2 6 3 7 3 3 2 2" xfId="29922"/>
    <cellStyle name="Normal 2 6 3 7 3 3 3" xfId="29923"/>
    <cellStyle name="Normal 2 6 3 7 3 3 4" xfId="29924"/>
    <cellStyle name="Normal 2 6 3 7 3 3 5" xfId="29925"/>
    <cellStyle name="Normal 2 6 3 7 3 4" xfId="29926"/>
    <cellStyle name="Normal 2 6 3 7 3 4 2" xfId="29927"/>
    <cellStyle name="Normal 2 6 3 7 3 4 3" xfId="29928"/>
    <cellStyle name="Normal 2 6 3 7 3 4 4" xfId="29929"/>
    <cellStyle name="Normal 2 6 3 7 3 5" xfId="29930"/>
    <cellStyle name="Normal 2 6 3 7 3 5 2" xfId="29931"/>
    <cellStyle name="Normal 2 6 3 7 3 6" xfId="29932"/>
    <cellStyle name="Normal 2 6 3 7 3 7" xfId="29933"/>
    <cellStyle name="Normal 2 6 3 7 3 8" xfId="29934"/>
    <cellStyle name="Normal 2 6 3 7 3 9" xfId="29935"/>
    <cellStyle name="Normal 2 6 3 7 4" xfId="29936"/>
    <cellStyle name="Normal 2 6 3 7 4 2" xfId="29937"/>
    <cellStyle name="Normal 2 6 3 7 4 2 2" xfId="29938"/>
    <cellStyle name="Normal 2 6 3 7 4 2 3" xfId="29939"/>
    <cellStyle name="Normal 2 6 3 7 4 3" xfId="29940"/>
    <cellStyle name="Normal 2 6 3 7 4 4" xfId="29941"/>
    <cellStyle name="Normal 2 6 3 7 4 5" xfId="29942"/>
    <cellStyle name="Normal 2 6 3 7 4 6" xfId="29943"/>
    <cellStyle name="Normal 2 6 3 7 5" xfId="29944"/>
    <cellStyle name="Normal 2 6 3 7 5 2" xfId="29945"/>
    <cellStyle name="Normal 2 6 3 7 5 2 2" xfId="29946"/>
    <cellStyle name="Normal 2 6 3 7 5 3" xfId="29947"/>
    <cellStyle name="Normal 2 6 3 7 5 4" xfId="29948"/>
    <cellStyle name="Normal 2 6 3 7 5 5" xfId="29949"/>
    <cellStyle name="Normal 2 6 3 7 6" xfId="29950"/>
    <cellStyle name="Normal 2 6 3 7 6 2" xfId="29951"/>
    <cellStyle name="Normal 2 6 3 7 6 3" xfId="29952"/>
    <cellStyle name="Normal 2 6 3 7 6 4" xfId="29953"/>
    <cellStyle name="Normal 2 6 3 7 7" xfId="29954"/>
    <cellStyle name="Normal 2 6 3 7 7 2" xfId="29955"/>
    <cellStyle name="Normal 2 6 3 7 8" xfId="29956"/>
    <cellStyle name="Normal 2 6 3 7 9" xfId="29957"/>
    <cellStyle name="Normal 2 6 3 8" xfId="29958"/>
    <cellStyle name="Normal 2 6 3 8 10" xfId="29959"/>
    <cellStyle name="Normal 2 6 3 8 2" xfId="29960"/>
    <cellStyle name="Normal 2 6 3 8 2 2" xfId="29961"/>
    <cellStyle name="Normal 2 6 3 8 2 2 2" xfId="29962"/>
    <cellStyle name="Normal 2 6 3 8 2 2 3" xfId="29963"/>
    <cellStyle name="Normal 2 6 3 8 2 3" xfId="29964"/>
    <cellStyle name="Normal 2 6 3 8 2 4" xfId="29965"/>
    <cellStyle name="Normal 2 6 3 8 2 5" xfId="29966"/>
    <cellStyle name="Normal 2 6 3 8 2 6" xfId="29967"/>
    <cellStyle name="Normal 2 6 3 8 3" xfId="29968"/>
    <cellStyle name="Normal 2 6 3 8 3 2" xfId="29969"/>
    <cellStyle name="Normal 2 6 3 8 3 2 2" xfId="29970"/>
    <cellStyle name="Normal 2 6 3 8 3 2 3" xfId="29971"/>
    <cellStyle name="Normal 2 6 3 8 3 3" xfId="29972"/>
    <cellStyle name="Normal 2 6 3 8 3 4" xfId="29973"/>
    <cellStyle name="Normal 2 6 3 8 3 5" xfId="29974"/>
    <cellStyle name="Normal 2 6 3 8 3 6" xfId="29975"/>
    <cellStyle name="Normal 2 6 3 8 4" xfId="29976"/>
    <cellStyle name="Normal 2 6 3 8 4 2" xfId="29977"/>
    <cellStyle name="Normal 2 6 3 8 4 2 2" xfId="29978"/>
    <cellStyle name="Normal 2 6 3 8 4 3" xfId="29979"/>
    <cellStyle name="Normal 2 6 3 8 4 4" xfId="29980"/>
    <cellStyle name="Normal 2 6 3 8 4 5" xfId="29981"/>
    <cellStyle name="Normal 2 6 3 8 5" xfId="29982"/>
    <cellStyle name="Normal 2 6 3 8 5 2" xfId="29983"/>
    <cellStyle name="Normal 2 6 3 8 5 3" xfId="29984"/>
    <cellStyle name="Normal 2 6 3 8 5 4" xfId="29985"/>
    <cellStyle name="Normal 2 6 3 8 6" xfId="29986"/>
    <cellStyle name="Normal 2 6 3 8 6 2" xfId="29987"/>
    <cellStyle name="Normal 2 6 3 8 7" xfId="29988"/>
    <cellStyle name="Normal 2 6 3 8 8" xfId="29989"/>
    <cellStyle name="Normal 2 6 3 8 9" xfId="29990"/>
    <cellStyle name="Normal 2 6 3 9" xfId="29991"/>
    <cellStyle name="Normal 2 6 3 9 10" xfId="29992"/>
    <cellStyle name="Normal 2 6 3 9 2" xfId="29993"/>
    <cellStyle name="Normal 2 6 3 9 2 2" xfId="29994"/>
    <cellStyle name="Normal 2 6 3 9 2 2 2" xfId="29995"/>
    <cellStyle name="Normal 2 6 3 9 2 2 3" xfId="29996"/>
    <cellStyle name="Normal 2 6 3 9 2 3" xfId="29997"/>
    <cellStyle name="Normal 2 6 3 9 2 4" xfId="29998"/>
    <cellStyle name="Normal 2 6 3 9 2 5" xfId="29999"/>
    <cellStyle name="Normal 2 6 3 9 2 6" xfId="30000"/>
    <cellStyle name="Normal 2 6 3 9 3" xfId="30001"/>
    <cellStyle name="Normal 2 6 3 9 3 2" xfId="30002"/>
    <cellStyle name="Normal 2 6 3 9 3 2 2" xfId="30003"/>
    <cellStyle name="Normal 2 6 3 9 3 2 3" xfId="30004"/>
    <cellStyle name="Normal 2 6 3 9 3 3" xfId="30005"/>
    <cellStyle name="Normal 2 6 3 9 3 4" xfId="30006"/>
    <cellStyle name="Normal 2 6 3 9 3 5" xfId="30007"/>
    <cellStyle name="Normal 2 6 3 9 3 6" xfId="30008"/>
    <cellStyle name="Normal 2 6 3 9 4" xfId="30009"/>
    <cellStyle name="Normal 2 6 3 9 4 2" xfId="30010"/>
    <cellStyle name="Normal 2 6 3 9 4 2 2" xfId="30011"/>
    <cellStyle name="Normal 2 6 3 9 4 3" xfId="30012"/>
    <cellStyle name="Normal 2 6 3 9 4 4" xfId="30013"/>
    <cellStyle name="Normal 2 6 3 9 4 5" xfId="30014"/>
    <cellStyle name="Normal 2 6 3 9 5" xfId="30015"/>
    <cellStyle name="Normal 2 6 3 9 5 2" xfId="30016"/>
    <cellStyle name="Normal 2 6 3 9 5 3" xfId="30017"/>
    <cellStyle name="Normal 2 6 3 9 5 4" xfId="30018"/>
    <cellStyle name="Normal 2 6 3 9 6" xfId="30019"/>
    <cellStyle name="Normal 2 6 3 9 6 2" xfId="30020"/>
    <cellStyle name="Normal 2 6 3 9 7" xfId="30021"/>
    <cellStyle name="Normal 2 6 3 9 8" xfId="30022"/>
    <cellStyle name="Normal 2 6 3 9 9" xfId="30023"/>
    <cellStyle name="Normal 2 6 30" xfId="30024"/>
    <cellStyle name="Normal 2 6 30 2" xfId="30025"/>
    <cellStyle name="Normal 2 6 30 2 2" xfId="30026"/>
    <cellStyle name="Normal 2 6 30 2 2 2" xfId="30027"/>
    <cellStyle name="Normal 2 6 30 2 2 3" xfId="30028"/>
    <cellStyle name="Normal 2 6 30 2 3" xfId="30029"/>
    <cellStyle name="Normal 2 6 30 2 4" xfId="30030"/>
    <cellStyle name="Normal 2 6 30 2 5" xfId="30031"/>
    <cellStyle name="Normal 2 6 30 2 6" xfId="30032"/>
    <cellStyle name="Normal 2 6 30 3" xfId="30033"/>
    <cellStyle name="Normal 2 6 30 3 2" xfId="30034"/>
    <cellStyle name="Normal 2 6 30 3 2 2" xfId="30035"/>
    <cellStyle name="Normal 2 6 30 3 3" xfId="30036"/>
    <cellStyle name="Normal 2 6 30 3 4" xfId="30037"/>
    <cellStyle name="Normal 2 6 30 3 5" xfId="30038"/>
    <cellStyle name="Normal 2 6 30 4" xfId="30039"/>
    <cellStyle name="Normal 2 6 30 4 2" xfId="30040"/>
    <cellStyle name="Normal 2 6 30 4 3" xfId="30041"/>
    <cellStyle name="Normal 2 6 30 4 4" xfId="30042"/>
    <cellStyle name="Normal 2 6 30 5" xfId="30043"/>
    <cellStyle name="Normal 2 6 30 5 2" xfId="30044"/>
    <cellStyle name="Normal 2 6 30 6" xfId="30045"/>
    <cellStyle name="Normal 2 6 30 7" xfId="30046"/>
    <cellStyle name="Normal 2 6 30 8" xfId="30047"/>
    <cellStyle name="Normal 2 6 30 9" xfId="30048"/>
    <cellStyle name="Normal 2 6 31" xfId="30049"/>
    <cellStyle name="Normal 2 6 31 2" xfId="30050"/>
    <cellStyle name="Normal 2 6 31 2 2" xfId="30051"/>
    <cellStyle name="Normal 2 6 31 2 2 2" xfId="30052"/>
    <cellStyle name="Normal 2 6 31 2 2 3" xfId="30053"/>
    <cellStyle name="Normal 2 6 31 2 3" xfId="30054"/>
    <cellStyle name="Normal 2 6 31 2 4" xfId="30055"/>
    <cellStyle name="Normal 2 6 31 2 5" xfId="30056"/>
    <cellStyle name="Normal 2 6 31 2 6" xfId="30057"/>
    <cellStyle name="Normal 2 6 31 3" xfId="30058"/>
    <cellStyle name="Normal 2 6 31 3 2" xfId="30059"/>
    <cellStyle name="Normal 2 6 31 3 2 2" xfId="30060"/>
    <cellStyle name="Normal 2 6 31 3 3" xfId="30061"/>
    <cellStyle name="Normal 2 6 31 3 4" xfId="30062"/>
    <cellStyle name="Normal 2 6 31 3 5" xfId="30063"/>
    <cellStyle name="Normal 2 6 31 4" xfId="30064"/>
    <cellStyle name="Normal 2 6 31 4 2" xfId="30065"/>
    <cellStyle name="Normal 2 6 31 4 3" xfId="30066"/>
    <cellStyle name="Normal 2 6 31 4 4" xfId="30067"/>
    <cellStyle name="Normal 2 6 31 5" xfId="30068"/>
    <cellStyle name="Normal 2 6 31 5 2" xfId="30069"/>
    <cellStyle name="Normal 2 6 31 6" xfId="30070"/>
    <cellStyle name="Normal 2 6 31 7" xfId="30071"/>
    <cellStyle name="Normal 2 6 31 8" xfId="30072"/>
    <cellStyle name="Normal 2 6 31 9" xfId="30073"/>
    <cellStyle name="Normal 2 6 32" xfId="30074"/>
    <cellStyle name="Normal 2 6 32 2" xfId="30075"/>
    <cellStyle name="Normal 2 6 32 2 2" xfId="30076"/>
    <cellStyle name="Normal 2 6 32 2 3" xfId="30077"/>
    <cellStyle name="Normal 2 6 32 3" xfId="30078"/>
    <cellStyle name="Normal 2 6 32 4" xfId="30079"/>
    <cellStyle name="Normal 2 6 32 5" xfId="30080"/>
    <cellStyle name="Normal 2 6 32 6" xfId="30081"/>
    <cellStyle name="Normal 2 6 33" xfId="30082"/>
    <cellStyle name="Normal 2 6 33 2" xfId="30083"/>
    <cellStyle name="Normal 2 6 33 2 2" xfId="30084"/>
    <cellStyle name="Normal 2 6 33 3" xfId="30085"/>
    <cellStyle name="Normal 2 6 33 4" xfId="30086"/>
    <cellStyle name="Normal 2 6 33 5" xfId="30087"/>
    <cellStyle name="Normal 2 6 34" xfId="30088"/>
    <cellStyle name="Normal 2 6 34 2" xfId="30089"/>
    <cellStyle name="Normal 2 6 34 2 2" xfId="30090"/>
    <cellStyle name="Normal 2 6 34 3" xfId="30091"/>
    <cellStyle name="Normal 2 6 34 4" xfId="30092"/>
    <cellStyle name="Normal 2 6 34 5" xfId="30093"/>
    <cellStyle name="Normal 2 6 35" xfId="30094"/>
    <cellStyle name="Normal 2 6 35 2" xfId="30095"/>
    <cellStyle name="Normal 2 6 36" xfId="30096"/>
    <cellStyle name="Normal 2 6 37" xfId="30097"/>
    <cellStyle name="Normal 2 6 38" xfId="30098"/>
    <cellStyle name="Normal 2 6 39" xfId="30099"/>
    <cellStyle name="Normal 2 6 4" xfId="30100"/>
    <cellStyle name="Normal 2 6 4 10" xfId="30101"/>
    <cellStyle name="Normal 2 6 4 10 10" xfId="30102"/>
    <cellStyle name="Normal 2 6 4 10 2" xfId="30103"/>
    <cellStyle name="Normal 2 6 4 10 2 2" xfId="30104"/>
    <cellStyle name="Normal 2 6 4 10 2 2 2" xfId="30105"/>
    <cellStyle name="Normal 2 6 4 10 2 2 3" xfId="30106"/>
    <cellStyle name="Normal 2 6 4 10 2 3" xfId="30107"/>
    <cellStyle name="Normal 2 6 4 10 2 4" xfId="30108"/>
    <cellStyle name="Normal 2 6 4 10 2 5" xfId="30109"/>
    <cellStyle name="Normal 2 6 4 10 2 6" xfId="30110"/>
    <cellStyle name="Normal 2 6 4 10 3" xfId="30111"/>
    <cellStyle name="Normal 2 6 4 10 3 2" xfId="30112"/>
    <cellStyle name="Normal 2 6 4 10 3 2 2" xfId="30113"/>
    <cellStyle name="Normal 2 6 4 10 3 2 3" xfId="30114"/>
    <cellStyle name="Normal 2 6 4 10 3 3" xfId="30115"/>
    <cellStyle name="Normal 2 6 4 10 3 4" xfId="30116"/>
    <cellStyle name="Normal 2 6 4 10 3 5" xfId="30117"/>
    <cellStyle name="Normal 2 6 4 10 3 6" xfId="30118"/>
    <cellStyle name="Normal 2 6 4 10 4" xfId="30119"/>
    <cellStyle name="Normal 2 6 4 10 4 2" xfId="30120"/>
    <cellStyle name="Normal 2 6 4 10 4 2 2" xfId="30121"/>
    <cellStyle name="Normal 2 6 4 10 4 3" xfId="30122"/>
    <cellStyle name="Normal 2 6 4 10 4 4" xfId="30123"/>
    <cellStyle name="Normal 2 6 4 10 4 5" xfId="30124"/>
    <cellStyle name="Normal 2 6 4 10 5" xfId="30125"/>
    <cellStyle name="Normal 2 6 4 10 5 2" xfId="30126"/>
    <cellStyle name="Normal 2 6 4 10 5 3" xfId="30127"/>
    <cellStyle name="Normal 2 6 4 10 5 4" xfId="30128"/>
    <cellStyle name="Normal 2 6 4 10 6" xfId="30129"/>
    <cellStyle name="Normal 2 6 4 10 6 2" xfId="30130"/>
    <cellStyle name="Normal 2 6 4 10 7" xfId="30131"/>
    <cellStyle name="Normal 2 6 4 10 8" xfId="30132"/>
    <cellStyle name="Normal 2 6 4 10 9" xfId="30133"/>
    <cellStyle name="Normal 2 6 4 11" xfId="30134"/>
    <cellStyle name="Normal 2 6 4 11 10" xfId="30135"/>
    <cellStyle name="Normal 2 6 4 11 2" xfId="30136"/>
    <cellStyle name="Normal 2 6 4 11 2 2" xfId="30137"/>
    <cellStyle name="Normal 2 6 4 11 2 2 2" xfId="30138"/>
    <cellStyle name="Normal 2 6 4 11 2 2 3" xfId="30139"/>
    <cellStyle name="Normal 2 6 4 11 2 3" xfId="30140"/>
    <cellStyle name="Normal 2 6 4 11 2 4" xfId="30141"/>
    <cellStyle name="Normal 2 6 4 11 2 5" xfId="30142"/>
    <cellStyle name="Normal 2 6 4 11 2 6" xfId="30143"/>
    <cellStyle name="Normal 2 6 4 11 3" xfId="30144"/>
    <cellStyle name="Normal 2 6 4 11 3 2" xfId="30145"/>
    <cellStyle name="Normal 2 6 4 11 3 2 2" xfId="30146"/>
    <cellStyle name="Normal 2 6 4 11 3 2 3" xfId="30147"/>
    <cellStyle name="Normal 2 6 4 11 3 3" xfId="30148"/>
    <cellStyle name="Normal 2 6 4 11 3 4" xfId="30149"/>
    <cellStyle name="Normal 2 6 4 11 3 5" xfId="30150"/>
    <cellStyle name="Normal 2 6 4 11 3 6" xfId="30151"/>
    <cellStyle name="Normal 2 6 4 11 4" xfId="30152"/>
    <cellStyle name="Normal 2 6 4 11 4 2" xfId="30153"/>
    <cellStyle name="Normal 2 6 4 11 4 2 2" xfId="30154"/>
    <cellStyle name="Normal 2 6 4 11 4 3" xfId="30155"/>
    <cellStyle name="Normal 2 6 4 11 4 4" xfId="30156"/>
    <cellStyle name="Normal 2 6 4 11 4 5" xfId="30157"/>
    <cellStyle name="Normal 2 6 4 11 5" xfId="30158"/>
    <cellStyle name="Normal 2 6 4 11 5 2" xfId="30159"/>
    <cellStyle name="Normal 2 6 4 11 5 3" xfId="30160"/>
    <cellStyle name="Normal 2 6 4 11 5 4" xfId="30161"/>
    <cellStyle name="Normal 2 6 4 11 6" xfId="30162"/>
    <cellStyle name="Normal 2 6 4 11 6 2" xfId="30163"/>
    <cellStyle name="Normal 2 6 4 11 7" xfId="30164"/>
    <cellStyle name="Normal 2 6 4 11 8" xfId="30165"/>
    <cellStyle name="Normal 2 6 4 11 9" xfId="30166"/>
    <cellStyle name="Normal 2 6 4 12" xfId="30167"/>
    <cellStyle name="Normal 2 6 4 12 10" xfId="30168"/>
    <cellStyle name="Normal 2 6 4 12 2" xfId="30169"/>
    <cellStyle name="Normal 2 6 4 12 2 2" xfId="30170"/>
    <cellStyle name="Normal 2 6 4 12 2 2 2" xfId="30171"/>
    <cellStyle name="Normal 2 6 4 12 2 2 3" xfId="30172"/>
    <cellStyle name="Normal 2 6 4 12 2 3" xfId="30173"/>
    <cellStyle name="Normal 2 6 4 12 2 4" xfId="30174"/>
    <cellStyle name="Normal 2 6 4 12 2 5" xfId="30175"/>
    <cellStyle name="Normal 2 6 4 12 2 6" xfId="30176"/>
    <cellStyle name="Normal 2 6 4 12 3" xfId="30177"/>
    <cellStyle name="Normal 2 6 4 12 3 2" xfId="30178"/>
    <cellStyle name="Normal 2 6 4 12 3 2 2" xfId="30179"/>
    <cellStyle name="Normal 2 6 4 12 3 2 3" xfId="30180"/>
    <cellStyle name="Normal 2 6 4 12 3 3" xfId="30181"/>
    <cellStyle name="Normal 2 6 4 12 3 4" xfId="30182"/>
    <cellStyle name="Normal 2 6 4 12 3 5" xfId="30183"/>
    <cellStyle name="Normal 2 6 4 12 3 6" xfId="30184"/>
    <cellStyle name="Normal 2 6 4 12 4" xfId="30185"/>
    <cellStyle name="Normal 2 6 4 12 4 2" xfId="30186"/>
    <cellStyle name="Normal 2 6 4 12 4 2 2" xfId="30187"/>
    <cellStyle name="Normal 2 6 4 12 4 3" xfId="30188"/>
    <cellStyle name="Normal 2 6 4 12 4 4" xfId="30189"/>
    <cellStyle name="Normal 2 6 4 12 4 5" xfId="30190"/>
    <cellStyle name="Normal 2 6 4 12 5" xfId="30191"/>
    <cellStyle name="Normal 2 6 4 12 5 2" xfId="30192"/>
    <cellStyle name="Normal 2 6 4 12 5 3" xfId="30193"/>
    <cellStyle name="Normal 2 6 4 12 5 4" xfId="30194"/>
    <cellStyle name="Normal 2 6 4 12 6" xfId="30195"/>
    <cellStyle name="Normal 2 6 4 12 6 2" xfId="30196"/>
    <cellStyle name="Normal 2 6 4 12 7" xfId="30197"/>
    <cellStyle name="Normal 2 6 4 12 8" xfId="30198"/>
    <cellStyle name="Normal 2 6 4 12 9" xfId="30199"/>
    <cellStyle name="Normal 2 6 4 13" xfId="30200"/>
    <cellStyle name="Normal 2 6 4 13 2" xfId="30201"/>
    <cellStyle name="Normal 2 6 4 13 2 2" xfId="30202"/>
    <cellStyle name="Normal 2 6 4 13 2 2 2" xfId="30203"/>
    <cellStyle name="Normal 2 6 4 13 2 2 3" xfId="30204"/>
    <cellStyle name="Normal 2 6 4 13 2 3" xfId="30205"/>
    <cellStyle name="Normal 2 6 4 13 2 4" xfId="30206"/>
    <cellStyle name="Normal 2 6 4 13 2 5" xfId="30207"/>
    <cellStyle name="Normal 2 6 4 13 2 6" xfId="30208"/>
    <cellStyle name="Normal 2 6 4 13 3" xfId="30209"/>
    <cellStyle name="Normal 2 6 4 13 3 2" xfId="30210"/>
    <cellStyle name="Normal 2 6 4 13 3 2 2" xfId="30211"/>
    <cellStyle name="Normal 2 6 4 13 3 3" xfId="30212"/>
    <cellStyle name="Normal 2 6 4 13 3 4" xfId="30213"/>
    <cellStyle name="Normal 2 6 4 13 3 5" xfId="30214"/>
    <cellStyle name="Normal 2 6 4 13 4" xfId="30215"/>
    <cellStyle name="Normal 2 6 4 13 4 2" xfId="30216"/>
    <cellStyle name="Normal 2 6 4 13 4 3" xfId="30217"/>
    <cellStyle name="Normal 2 6 4 13 4 4" xfId="30218"/>
    <cellStyle name="Normal 2 6 4 13 5" xfId="30219"/>
    <cellStyle name="Normal 2 6 4 13 5 2" xfId="30220"/>
    <cellStyle name="Normal 2 6 4 13 6" xfId="30221"/>
    <cellStyle name="Normal 2 6 4 13 7" xfId="30222"/>
    <cellStyle name="Normal 2 6 4 13 8" xfId="30223"/>
    <cellStyle name="Normal 2 6 4 13 9" xfId="30224"/>
    <cellStyle name="Normal 2 6 4 14" xfId="30225"/>
    <cellStyle name="Normal 2 6 4 14 2" xfId="30226"/>
    <cellStyle name="Normal 2 6 4 14 2 2" xfId="30227"/>
    <cellStyle name="Normal 2 6 4 14 2 2 2" xfId="30228"/>
    <cellStyle name="Normal 2 6 4 14 2 2 3" xfId="30229"/>
    <cellStyle name="Normal 2 6 4 14 2 3" xfId="30230"/>
    <cellStyle name="Normal 2 6 4 14 2 4" xfId="30231"/>
    <cellStyle name="Normal 2 6 4 14 2 5" xfId="30232"/>
    <cellStyle name="Normal 2 6 4 14 2 6" xfId="30233"/>
    <cellStyle name="Normal 2 6 4 14 3" xfId="30234"/>
    <cellStyle name="Normal 2 6 4 14 3 2" xfId="30235"/>
    <cellStyle name="Normal 2 6 4 14 3 2 2" xfId="30236"/>
    <cellStyle name="Normal 2 6 4 14 3 3" xfId="30237"/>
    <cellStyle name="Normal 2 6 4 14 3 4" xfId="30238"/>
    <cellStyle name="Normal 2 6 4 14 3 5" xfId="30239"/>
    <cellStyle name="Normal 2 6 4 14 4" xfId="30240"/>
    <cellStyle name="Normal 2 6 4 14 4 2" xfId="30241"/>
    <cellStyle name="Normal 2 6 4 14 4 3" xfId="30242"/>
    <cellStyle name="Normal 2 6 4 14 4 4" xfId="30243"/>
    <cellStyle name="Normal 2 6 4 14 5" xfId="30244"/>
    <cellStyle name="Normal 2 6 4 14 5 2" xfId="30245"/>
    <cellStyle name="Normal 2 6 4 14 6" xfId="30246"/>
    <cellStyle name="Normal 2 6 4 14 7" xfId="30247"/>
    <cellStyle name="Normal 2 6 4 14 8" xfId="30248"/>
    <cellStyle name="Normal 2 6 4 14 9" xfId="30249"/>
    <cellStyle name="Normal 2 6 4 15" xfId="30250"/>
    <cellStyle name="Normal 2 6 4 15 2" xfId="30251"/>
    <cellStyle name="Normal 2 6 4 15 2 2" xfId="30252"/>
    <cellStyle name="Normal 2 6 4 15 2 3" xfId="30253"/>
    <cellStyle name="Normal 2 6 4 15 3" xfId="30254"/>
    <cellStyle name="Normal 2 6 4 15 4" xfId="30255"/>
    <cellStyle name="Normal 2 6 4 15 5" xfId="30256"/>
    <cellStyle name="Normal 2 6 4 15 6" xfId="30257"/>
    <cellStyle name="Normal 2 6 4 16" xfId="30258"/>
    <cellStyle name="Normal 2 6 4 16 2" xfId="30259"/>
    <cellStyle name="Normal 2 6 4 16 2 2" xfId="30260"/>
    <cellStyle name="Normal 2 6 4 16 3" xfId="30261"/>
    <cellStyle name="Normal 2 6 4 16 4" xfId="30262"/>
    <cellStyle name="Normal 2 6 4 16 5" xfId="30263"/>
    <cellStyle name="Normal 2 6 4 17" xfId="30264"/>
    <cellStyle name="Normal 2 6 4 17 2" xfId="30265"/>
    <cellStyle name="Normal 2 6 4 17 2 2" xfId="30266"/>
    <cellStyle name="Normal 2 6 4 17 3" xfId="30267"/>
    <cellStyle name="Normal 2 6 4 17 4" xfId="30268"/>
    <cellStyle name="Normal 2 6 4 17 5" xfId="30269"/>
    <cellStyle name="Normal 2 6 4 18" xfId="30270"/>
    <cellStyle name="Normal 2 6 4 18 2" xfId="30271"/>
    <cellStyle name="Normal 2 6 4 19" xfId="30272"/>
    <cellStyle name="Normal 2 6 4 2" xfId="30273"/>
    <cellStyle name="Normal 2 6 4 2 10" xfId="30274"/>
    <cellStyle name="Normal 2 6 4 2 11" xfId="30275"/>
    <cellStyle name="Normal 2 6 4 2 2" xfId="30276"/>
    <cellStyle name="Normal 2 6 4 2 2 2" xfId="30277"/>
    <cellStyle name="Normal 2 6 4 2 2 2 2" xfId="30278"/>
    <cellStyle name="Normal 2 6 4 2 2 2 2 2" xfId="30279"/>
    <cellStyle name="Normal 2 6 4 2 2 2 2 3" xfId="30280"/>
    <cellStyle name="Normal 2 6 4 2 2 2 3" xfId="30281"/>
    <cellStyle name="Normal 2 6 4 2 2 2 4" xfId="30282"/>
    <cellStyle name="Normal 2 6 4 2 2 2 5" xfId="30283"/>
    <cellStyle name="Normal 2 6 4 2 2 2 6" xfId="30284"/>
    <cellStyle name="Normal 2 6 4 2 2 3" xfId="30285"/>
    <cellStyle name="Normal 2 6 4 2 2 3 2" xfId="30286"/>
    <cellStyle name="Normal 2 6 4 2 2 3 2 2" xfId="30287"/>
    <cellStyle name="Normal 2 6 4 2 2 3 3" xfId="30288"/>
    <cellStyle name="Normal 2 6 4 2 2 3 4" xfId="30289"/>
    <cellStyle name="Normal 2 6 4 2 2 3 5" xfId="30290"/>
    <cellStyle name="Normal 2 6 4 2 2 4" xfId="30291"/>
    <cellStyle name="Normal 2 6 4 2 2 4 2" xfId="30292"/>
    <cellStyle name="Normal 2 6 4 2 2 4 3" xfId="30293"/>
    <cellStyle name="Normal 2 6 4 2 2 4 4" xfId="30294"/>
    <cellStyle name="Normal 2 6 4 2 2 5" xfId="30295"/>
    <cellStyle name="Normal 2 6 4 2 2 5 2" xfId="30296"/>
    <cellStyle name="Normal 2 6 4 2 2 6" xfId="30297"/>
    <cellStyle name="Normal 2 6 4 2 2 7" xfId="30298"/>
    <cellStyle name="Normal 2 6 4 2 2 8" xfId="30299"/>
    <cellStyle name="Normal 2 6 4 2 2 9" xfId="30300"/>
    <cellStyle name="Normal 2 6 4 2 3" xfId="30301"/>
    <cellStyle name="Normal 2 6 4 2 3 2" xfId="30302"/>
    <cellStyle name="Normal 2 6 4 2 3 2 2" xfId="30303"/>
    <cellStyle name="Normal 2 6 4 2 3 2 2 2" xfId="30304"/>
    <cellStyle name="Normal 2 6 4 2 3 2 2 3" xfId="30305"/>
    <cellStyle name="Normal 2 6 4 2 3 2 3" xfId="30306"/>
    <cellStyle name="Normal 2 6 4 2 3 2 4" xfId="30307"/>
    <cellStyle name="Normal 2 6 4 2 3 2 5" xfId="30308"/>
    <cellStyle name="Normal 2 6 4 2 3 2 6" xfId="30309"/>
    <cellStyle name="Normal 2 6 4 2 3 3" xfId="30310"/>
    <cellStyle name="Normal 2 6 4 2 3 3 2" xfId="30311"/>
    <cellStyle name="Normal 2 6 4 2 3 3 2 2" xfId="30312"/>
    <cellStyle name="Normal 2 6 4 2 3 3 3" xfId="30313"/>
    <cellStyle name="Normal 2 6 4 2 3 3 4" xfId="30314"/>
    <cellStyle name="Normal 2 6 4 2 3 3 5" xfId="30315"/>
    <cellStyle name="Normal 2 6 4 2 3 4" xfId="30316"/>
    <cellStyle name="Normal 2 6 4 2 3 4 2" xfId="30317"/>
    <cellStyle name="Normal 2 6 4 2 3 4 3" xfId="30318"/>
    <cellStyle name="Normal 2 6 4 2 3 4 4" xfId="30319"/>
    <cellStyle name="Normal 2 6 4 2 3 5" xfId="30320"/>
    <cellStyle name="Normal 2 6 4 2 3 5 2" xfId="30321"/>
    <cellStyle name="Normal 2 6 4 2 3 6" xfId="30322"/>
    <cellStyle name="Normal 2 6 4 2 3 7" xfId="30323"/>
    <cellStyle name="Normal 2 6 4 2 3 8" xfId="30324"/>
    <cellStyle name="Normal 2 6 4 2 3 9" xfId="30325"/>
    <cellStyle name="Normal 2 6 4 2 4" xfId="30326"/>
    <cellStyle name="Normal 2 6 4 2 4 2" xfId="30327"/>
    <cellStyle name="Normal 2 6 4 2 4 2 2" xfId="30328"/>
    <cellStyle name="Normal 2 6 4 2 4 2 3" xfId="30329"/>
    <cellStyle name="Normal 2 6 4 2 4 3" xfId="30330"/>
    <cellStyle name="Normal 2 6 4 2 4 4" xfId="30331"/>
    <cellStyle name="Normal 2 6 4 2 4 5" xfId="30332"/>
    <cellStyle name="Normal 2 6 4 2 4 6" xfId="30333"/>
    <cellStyle name="Normal 2 6 4 2 5" xfId="30334"/>
    <cellStyle name="Normal 2 6 4 2 5 2" xfId="30335"/>
    <cellStyle name="Normal 2 6 4 2 5 2 2" xfId="30336"/>
    <cellStyle name="Normal 2 6 4 2 5 3" xfId="30337"/>
    <cellStyle name="Normal 2 6 4 2 5 4" xfId="30338"/>
    <cellStyle name="Normal 2 6 4 2 5 5" xfId="30339"/>
    <cellStyle name="Normal 2 6 4 2 6" xfId="30340"/>
    <cellStyle name="Normal 2 6 4 2 6 2" xfId="30341"/>
    <cellStyle name="Normal 2 6 4 2 6 3" xfId="30342"/>
    <cellStyle name="Normal 2 6 4 2 6 4" xfId="30343"/>
    <cellStyle name="Normal 2 6 4 2 7" xfId="30344"/>
    <cellStyle name="Normal 2 6 4 2 7 2" xfId="30345"/>
    <cellStyle name="Normal 2 6 4 2 8" xfId="30346"/>
    <cellStyle name="Normal 2 6 4 2 9" xfId="30347"/>
    <cellStyle name="Normal 2 6 4 20" xfId="30348"/>
    <cellStyle name="Normal 2 6 4 21" xfId="30349"/>
    <cellStyle name="Normal 2 6 4 22" xfId="30350"/>
    <cellStyle name="Normal 2 6 4 3" xfId="30351"/>
    <cellStyle name="Normal 2 6 4 3 10" xfId="30352"/>
    <cellStyle name="Normal 2 6 4 3 11" xfId="30353"/>
    <cellStyle name="Normal 2 6 4 3 2" xfId="30354"/>
    <cellStyle name="Normal 2 6 4 3 2 2" xfId="30355"/>
    <cellStyle name="Normal 2 6 4 3 2 2 2" xfId="30356"/>
    <cellStyle name="Normal 2 6 4 3 2 2 2 2" xfId="30357"/>
    <cellStyle name="Normal 2 6 4 3 2 2 2 3" xfId="30358"/>
    <cellStyle name="Normal 2 6 4 3 2 2 3" xfId="30359"/>
    <cellStyle name="Normal 2 6 4 3 2 2 4" xfId="30360"/>
    <cellStyle name="Normal 2 6 4 3 2 2 5" xfId="30361"/>
    <cellStyle name="Normal 2 6 4 3 2 2 6" xfId="30362"/>
    <cellStyle name="Normal 2 6 4 3 2 3" xfId="30363"/>
    <cellStyle name="Normal 2 6 4 3 2 3 2" xfId="30364"/>
    <cellStyle name="Normal 2 6 4 3 2 3 2 2" xfId="30365"/>
    <cellStyle name="Normal 2 6 4 3 2 3 3" xfId="30366"/>
    <cellStyle name="Normal 2 6 4 3 2 3 4" xfId="30367"/>
    <cellStyle name="Normal 2 6 4 3 2 3 5" xfId="30368"/>
    <cellStyle name="Normal 2 6 4 3 2 4" xfId="30369"/>
    <cellStyle name="Normal 2 6 4 3 2 4 2" xfId="30370"/>
    <cellStyle name="Normal 2 6 4 3 2 4 3" xfId="30371"/>
    <cellStyle name="Normal 2 6 4 3 2 4 4" xfId="30372"/>
    <cellStyle name="Normal 2 6 4 3 2 5" xfId="30373"/>
    <cellStyle name="Normal 2 6 4 3 2 5 2" xfId="30374"/>
    <cellStyle name="Normal 2 6 4 3 2 6" xfId="30375"/>
    <cellStyle name="Normal 2 6 4 3 2 7" xfId="30376"/>
    <cellStyle name="Normal 2 6 4 3 2 8" xfId="30377"/>
    <cellStyle name="Normal 2 6 4 3 2 9" xfId="30378"/>
    <cellStyle name="Normal 2 6 4 3 3" xfId="30379"/>
    <cellStyle name="Normal 2 6 4 3 3 2" xfId="30380"/>
    <cellStyle name="Normal 2 6 4 3 3 2 2" xfId="30381"/>
    <cellStyle name="Normal 2 6 4 3 3 2 2 2" xfId="30382"/>
    <cellStyle name="Normal 2 6 4 3 3 2 2 3" xfId="30383"/>
    <cellStyle name="Normal 2 6 4 3 3 2 3" xfId="30384"/>
    <cellStyle name="Normal 2 6 4 3 3 2 4" xfId="30385"/>
    <cellStyle name="Normal 2 6 4 3 3 2 5" xfId="30386"/>
    <cellStyle name="Normal 2 6 4 3 3 2 6" xfId="30387"/>
    <cellStyle name="Normal 2 6 4 3 3 3" xfId="30388"/>
    <cellStyle name="Normal 2 6 4 3 3 3 2" xfId="30389"/>
    <cellStyle name="Normal 2 6 4 3 3 3 2 2" xfId="30390"/>
    <cellStyle name="Normal 2 6 4 3 3 3 3" xfId="30391"/>
    <cellStyle name="Normal 2 6 4 3 3 3 4" xfId="30392"/>
    <cellStyle name="Normal 2 6 4 3 3 3 5" xfId="30393"/>
    <cellStyle name="Normal 2 6 4 3 3 4" xfId="30394"/>
    <cellStyle name="Normal 2 6 4 3 3 4 2" xfId="30395"/>
    <cellStyle name="Normal 2 6 4 3 3 4 3" xfId="30396"/>
    <cellStyle name="Normal 2 6 4 3 3 4 4" xfId="30397"/>
    <cellStyle name="Normal 2 6 4 3 3 5" xfId="30398"/>
    <cellStyle name="Normal 2 6 4 3 3 5 2" xfId="30399"/>
    <cellStyle name="Normal 2 6 4 3 3 6" xfId="30400"/>
    <cellStyle name="Normal 2 6 4 3 3 7" xfId="30401"/>
    <cellStyle name="Normal 2 6 4 3 3 8" xfId="30402"/>
    <cellStyle name="Normal 2 6 4 3 3 9" xfId="30403"/>
    <cellStyle name="Normal 2 6 4 3 4" xfId="30404"/>
    <cellStyle name="Normal 2 6 4 3 4 2" xfId="30405"/>
    <cellStyle name="Normal 2 6 4 3 4 2 2" xfId="30406"/>
    <cellStyle name="Normal 2 6 4 3 4 2 3" xfId="30407"/>
    <cellStyle name="Normal 2 6 4 3 4 3" xfId="30408"/>
    <cellStyle name="Normal 2 6 4 3 4 4" xfId="30409"/>
    <cellStyle name="Normal 2 6 4 3 4 5" xfId="30410"/>
    <cellStyle name="Normal 2 6 4 3 4 6" xfId="30411"/>
    <cellStyle name="Normal 2 6 4 3 5" xfId="30412"/>
    <cellStyle name="Normal 2 6 4 3 5 2" xfId="30413"/>
    <cellStyle name="Normal 2 6 4 3 5 2 2" xfId="30414"/>
    <cellStyle name="Normal 2 6 4 3 5 3" xfId="30415"/>
    <cellStyle name="Normal 2 6 4 3 5 4" xfId="30416"/>
    <cellStyle name="Normal 2 6 4 3 5 5" xfId="30417"/>
    <cellStyle name="Normal 2 6 4 3 6" xfId="30418"/>
    <cellStyle name="Normal 2 6 4 3 6 2" xfId="30419"/>
    <cellStyle name="Normal 2 6 4 3 6 3" xfId="30420"/>
    <cellStyle name="Normal 2 6 4 3 6 4" xfId="30421"/>
    <cellStyle name="Normal 2 6 4 3 7" xfId="30422"/>
    <cellStyle name="Normal 2 6 4 3 7 2" xfId="30423"/>
    <cellStyle name="Normal 2 6 4 3 8" xfId="30424"/>
    <cellStyle name="Normal 2 6 4 3 9" xfId="30425"/>
    <cellStyle name="Normal 2 6 4 4" xfId="30426"/>
    <cellStyle name="Normal 2 6 4 4 10" xfId="30427"/>
    <cellStyle name="Normal 2 6 4 4 11" xfId="30428"/>
    <cellStyle name="Normal 2 6 4 4 2" xfId="30429"/>
    <cellStyle name="Normal 2 6 4 4 2 2" xfId="30430"/>
    <cellStyle name="Normal 2 6 4 4 2 2 2" xfId="30431"/>
    <cellStyle name="Normal 2 6 4 4 2 2 2 2" xfId="30432"/>
    <cellStyle name="Normal 2 6 4 4 2 2 2 3" xfId="30433"/>
    <cellStyle name="Normal 2 6 4 4 2 2 3" xfId="30434"/>
    <cellStyle name="Normal 2 6 4 4 2 2 4" xfId="30435"/>
    <cellStyle name="Normal 2 6 4 4 2 2 5" xfId="30436"/>
    <cellStyle name="Normal 2 6 4 4 2 2 6" xfId="30437"/>
    <cellStyle name="Normal 2 6 4 4 2 3" xfId="30438"/>
    <cellStyle name="Normal 2 6 4 4 2 3 2" xfId="30439"/>
    <cellStyle name="Normal 2 6 4 4 2 3 2 2" xfId="30440"/>
    <cellStyle name="Normal 2 6 4 4 2 3 3" xfId="30441"/>
    <cellStyle name="Normal 2 6 4 4 2 3 4" xfId="30442"/>
    <cellStyle name="Normal 2 6 4 4 2 3 5" xfId="30443"/>
    <cellStyle name="Normal 2 6 4 4 2 4" xfId="30444"/>
    <cellStyle name="Normal 2 6 4 4 2 4 2" xfId="30445"/>
    <cellStyle name="Normal 2 6 4 4 2 4 3" xfId="30446"/>
    <cellStyle name="Normal 2 6 4 4 2 4 4" xfId="30447"/>
    <cellStyle name="Normal 2 6 4 4 2 5" xfId="30448"/>
    <cellStyle name="Normal 2 6 4 4 2 5 2" xfId="30449"/>
    <cellStyle name="Normal 2 6 4 4 2 6" xfId="30450"/>
    <cellStyle name="Normal 2 6 4 4 2 7" xfId="30451"/>
    <cellStyle name="Normal 2 6 4 4 2 8" xfId="30452"/>
    <cellStyle name="Normal 2 6 4 4 2 9" xfId="30453"/>
    <cellStyle name="Normal 2 6 4 4 3" xfId="30454"/>
    <cellStyle name="Normal 2 6 4 4 3 2" xfId="30455"/>
    <cellStyle name="Normal 2 6 4 4 3 2 2" xfId="30456"/>
    <cellStyle name="Normal 2 6 4 4 3 2 2 2" xfId="30457"/>
    <cellStyle name="Normal 2 6 4 4 3 2 2 3" xfId="30458"/>
    <cellStyle name="Normal 2 6 4 4 3 2 3" xfId="30459"/>
    <cellStyle name="Normal 2 6 4 4 3 2 4" xfId="30460"/>
    <cellStyle name="Normal 2 6 4 4 3 2 5" xfId="30461"/>
    <cellStyle name="Normal 2 6 4 4 3 2 6" xfId="30462"/>
    <cellStyle name="Normal 2 6 4 4 3 3" xfId="30463"/>
    <cellStyle name="Normal 2 6 4 4 3 3 2" xfId="30464"/>
    <cellStyle name="Normal 2 6 4 4 3 3 2 2" xfId="30465"/>
    <cellStyle name="Normal 2 6 4 4 3 3 3" xfId="30466"/>
    <cellStyle name="Normal 2 6 4 4 3 3 4" xfId="30467"/>
    <cellStyle name="Normal 2 6 4 4 3 3 5" xfId="30468"/>
    <cellStyle name="Normal 2 6 4 4 3 4" xfId="30469"/>
    <cellStyle name="Normal 2 6 4 4 3 4 2" xfId="30470"/>
    <cellStyle name="Normal 2 6 4 4 3 4 3" xfId="30471"/>
    <cellStyle name="Normal 2 6 4 4 3 4 4" xfId="30472"/>
    <cellStyle name="Normal 2 6 4 4 3 5" xfId="30473"/>
    <cellStyle name="Normal 2 6 4 4 3 5 2" xfId="30474"/>
    <cellStyle name="Normal 2 6 4 4 3 6" xfId="30475"/>
    <cellStyle name="Normal 2 6 4 4 3 7" xfId="30476"/>
    <cellStyle name="Normal 2 6 4 4 3 8" xfId="30477"/>
    <cellStyle name="Normal 2 6 4 4 3 9" xfId="30478"/>
    <cellStyle name="Normal 2 6 4 4 4" xfId="30479"/>
    <cellStyle name="Normal 2 6 4 4 4 2" xfId="30480"/>
    <cellStyle name="Normal 2 6 4 4 4 2 2" xfId="30481"/>
    <cellStyle name="Normal 2 6 4 4 4 2 3" xfId="30482"/>
    <cellStyle name="Normal 2 6 4 4 4 3" xfId="30483"/>
    <cellStyle name="Normal 2 6 4 4 4 4" xfId="30484"/>
    <cellStyle name="Normal 2 6 4 4 4 5" xfId="30485"/>
    <cellStyle name="Normal 2 6 4 4 4 6" xfId="30486"/>
    <cellStyle name="Normal 2 6 4 4 5" xfId="30487"/>
    <cellStyle name="Normal 2 6 4 4 5 2" xfId="30488"/>
    <cellStyle name="Normal 2 6 4 4 5 2 2" xfId="30489"/>
    <cellStyle name="Normal 2 6 4 4 5 3" xfId="30490"/>
    <cellStyle name="Normal 2 6 4 4 5 4" xfId="30491"/>
    <cellStyle name="Normal 2 6 4 4 5 5" xfId="30492"/>
    <cellStyle name="Normal 2 6 4 4 6" xfId="30493"/>
    <cellStyle name="Normal 2 6 4 4 6 2" xfId="30494"/>
    <cellStyle name="Normal 2 6 4 4 6 3" xfId="30495"/>
    <cellStyle name="Normal 2 6 4 4 6 4" xfId="30496"/>
    <cellStyle name="Normal 2 6 4 4 7" xfId="30497"/>
    <cellStyle name="Normal 2 6 4 4 7 2" xfId="30498"/>
    <cellStyle name="Normal 2 6 4 4 8" xfId="30499"/>
    <cellStyle name="Normal 2 6 4 4 9" xfId="30500"/>
    <cellStyle name="Normal 2 6 4 5" xfId="30501"/>
    <cellStyle name="Normal 2 6 4 5 10" xfId="30502"/>
    <cellStyle name="Normal 2 6 4 5 11" xfId="30503"/>
    <cellStyle name="Normal 2 6 4 5 2" xfId="30504"/>
    <cellStyle name="Normal 2 6 4 5 2 2" xfId="30505"/>
    <cellStyle name="Normal 2 6 4 5 2 2 2" xfId="30506"/>
    <cellStyle name="Normal 2 6 4 5 2 2 2 2" xfId="30507"/>
    <cellStyle name="Normal 2 6 4 5 2 2 2 3" xfId="30508"/>
    <cellStyle name="Normal 2 6 4 5 2 2 3" xfId="30509"/>
    <cellStyle name="Normal 2 6 4 5 2 2 4" xfId="30510"/>
    <cellStyle name="Normal 2 6 4 5 2 2 5" xfId="30511"/>
    <cellStyle name="Normal 2 6 4 5 2 2 6" xfId="30512"/>
    <cellStyle name="Normal 2 6 4 5 2 3" xfId="30513"/>
    <cellStyle name="Normal 2 6 4 5 2 3 2" xfId="30514"/>
    <cellStyle name="Normal 2 6 4 5 2 3 2 2" xfId="30515"/>
    <cellStyle name="Normal 2 6 4 5 2 3 3" xfId="30516"/>
    <cellStyle name="Normal 2 6 4 5 2 3 4" xfId="30517"/>
    <cellStyle name="Normal 2 6 4 5 2 3 5" xfId="30518"/>
    <cellStyle name="Normal 2 6 4 5 2 4" xfId="30519"/>
    <cellStyle name="Normal 2 6 4 5 2 4 2" xfId="30520"/>
    <cellStyle name="Normal 2 6 4 5 2 4 3" xfId="30521"/>
    <cellStyle name="Normal 2 6 4 5 2 4 4" xfId="30522"/>
    <cellStyle name="Normal 2 6 4 5 2 5" xfId="30523"/>
    <cellStyle name="Normal 2 6 4 5 2 5 2" xfId="30524"/>
    <cellStyle name="Normal 2 6 4 5 2 6" xfId="30525"/>
    <cellStyle name="Normal 2 6 4 5 2 7" xfId="30526"/>
    <cellStyle name="Normal 2 6 4 5 2 8" xfId="30527"/>
    <cellStyle name="Normal 2 6 4 5 2 9" xfId="30528"/>
    <cellStyle name="Normal 2 6 4 5 3" xfId="30529"/>
    <cellStyle name="Normal 2 6 4 5 3 2" xfId="30530"/>
    <cellStyle name="Normal 2 6 4 5 3 2 2" xfId="30531"/>
    <cellStyle name="Normal 2 6 4 5 3 2 2 2" xfId="30532"/>
    <cellStyle name="Normal 2 6 4 5 3 2 2 3" xfId="30533"/>
    <cellStyle name="Normal 2 6 4 5 3 2 3" xfId="30534"/>
    <cellStyle name="Normal 2 6 4 5 3 2 4" xfId="30535"/>
    <cellStyle name="Normal 2 6 4 5 3 2 5" xfId="30536"/>
    <cellStyle name="Normal 2 6 4 5 3 2 6" xfId="30537"/>
    <cellStyle name="Normal 2 6 4 5 3 3" xfId="30538"/>
    <cellStyle name="Normal 2 6 4 5 3 3 2" xfId="30539"/>
    <cellStyle name="Normal 2 6 4 5 3 3 2 2" xfId="30540"/>
    <cellStyle name="Normal 2 6 4 5 3 3 3" xfId="30541"/>
    <cellStyle name="Normal 2 6 4 5 3 3 4" xfId="30542"/>
    <cellStyle name="Normal 2 6 4 5 3 3 5" xfId="30543"/>
    <cellStyle name="Normal 2 6 4 5 3 4" xfId="30544"/>
    <cellStyle name="Normal 2 6 4 5 3 4 2" xfId="30545"/>
    <cellStyle name="Normal 2 6 4 5 3 4 3" xfId="30546"/>
    <cellStyle name="Normal 2 6 4 5 3 4 4" xfId="30547"/>
    <cellStyle name="Normal 2 6 4 5 3 5" xfId="30548"/>
    <cellStyle name="Normal 2 6 4 5 3 5 2" xfId="30549"/>
    <cellStyle name="Normal 2 6 4 5 3 6" xfId="30550"/>
    <cellStyle name="Normal 2 6 4 5 3 7" xfId="30551"/>
    <cellStyle name="Normal 2 6 4 5 3 8" xfId="30552"/>
    <cellStyle name="Normal 2 6 4 5 3 9" xfId="30553"/>
    <cellStyle name="Normal 2 6 4 5 4" xfId="30554"/>
    <cellStyle name="Normal 2 6 4 5 4 2" xfId="30555"/>
    <cellStyle name="Normal 2 6 4 5 4 2 2" xfId="30556"/>
    <cellStyle name="Normal 2 6 4 5 4 2 3" xfId="30557"/>
    <cellStyle name="Normal 2 6 4 5 4 3" xfId="30558"/>
    <cellStyle name="Normal 2 6 4 5 4 4" xfId="30559"/>
    <cellStyle name="Normal 2 6 4 5 4 5" xfId="30560"/>
    <cellStyle name="Normal 2 6 4 5 4 6" xfId="30561"/>
    <cellStyle name="Normal 2 6 4 5 5" xfId="30562"/>
    <cellStyle name="Normal 2 6 4 5 5 2" xfId="30563"/>
    <cellStyle name="Normal 2 6 4 5 5 2 2" xfId="30564"/>
    <cellStyle name="Normal 2 6 4 5 5 3" xfId="30565"/>
    <cellStyle name="Normal 2 6 4 5 5 4" xfId="30566"/>
    <cellStyle name="Normal 2 6 4 5 5 5" xfId="30567"/>
    <cellStyle name="Normal 2 6 4 5 6" xfId="30568"/>
    <cellStyle name="Normal 2 6 4 5 6 2" xfId="30569"/>
    <cellStyle name="Normal 2 6 4 5 6 3" xfId="30570"/>
    <cellStyle name="Normal 2 6 4 5 6 4" xfId="30571"/>
    <cellStyle name="Normal 2 6 4 5 7" xfId="30572"/>
    <cellStyle name="Normal 2 6 4 5 7 2" xfId="30573"/>
    <cellStyle name="Normal 2 6 4 5 8" xfId="30574"/>
    <cellStyle name="Normal 2 6 4 5 9" xfId="30575"/>
    <cellStyle name="Normal 2 6 4 6" xfId="30576"/>
    <cellStyle name="Normal 2 6 4 6 10" xfId="30577"/>
    <cellStyle name="Normal 2 6 4 6 11" xfId="30578"/>
    <cellStyle name="Normal 2 6 4 6 2" xfId="30579"/>
    <cellStyle name="Normal 2 6 4 6 2 2" xfId="30580"/>
    <cellStyle name="Normal 2 6 4 6 2 2 2" xfId="30581"/>
    <cellStyle name="Normal 2 6 4 6 2 2 2 2" xfId="30582"/>
    <cellStyle name="Normal 2 6 4 6 2 2 2 3" xfId="30583"/>
    <cellStyle name="Normal 2 6 4 6 2 2 3" xfId="30584"/>
    <cellStyle name="Normal 2 6 4 6 2 2 4" xfId="30585"/>
    <cellStyle name="Normal 2 6 4 6 2 2 5" xfId="30586"/>
    <cellStyle name="Normal 2 6 4 6 2 2 6" xfId="30587"/>
    <cellStyle name="Normal 2 6 4 6 2 3" xfId="30588"/>
    <cellStyle name="Normal 2 6 4 6 2 3 2" xfId="30589"/>
    <cellStyle name="Normal 2 6 4 6 2 3 2 2" xfId="30590"/>
    <cellStyle name="Normal 2 6 4 6 2 3 3" xfId="30591"/>
    <cellStyle name="Normal 2 6 4 6 2 3 4" xfId="30592"/>
    <cellStyle name="Normal 2 6 4 6 2 3 5" xfId="30593"/>
    <cellStyle name="Normal 2 6 4 6 2 4" xfId="30594"/>
    <cellStyle name="Normal 2 6 4 6 2 4 2" xfId="30595"/>
    <cellStyle name="Normal 2 6 4 6 2 4 3" xfId="30596"/>
    <cellStyle name="Normal 2 6 4 6 2 4 4" xfId="30597"/>
    <cellStyle name="Normal 2 6 4 6 2 5" xfId="30598"/>
    <cellStyle name="Normal 2 6 4 6 2 5 2" xfId="30599"/>
    <cellStyle name="Normal 2 6 4 6 2 6" xfId="30600"/>
    <cellStyle name="Normal 2 6 4 6 2 7" xfId="30601"/>
    <cellStyle name="Normal 2 6 4 6 2 8" xfId="30602"/>
    <cellStyle name="Normal 2 6 4 6 2 9" xfId="30603"/>
    <cellStyle name="Normal 2 6 4 6 3" xfId="30604"/>
    <cellStyle name="Normal 2 6 4 6 3 2" xfId="30605"/>
    <cellStyle name="Normal 2 6 4 6 3 2 2" xfId="30606"/>
    <cellStyle name="Normal 2 6 4 6 3 2 2 2" xfId="30607"/>
    <cellStyle name="Normal 2 6 4 6 3 2 2 3" xfId="30608"/>
    <cellStyle name="Normal 2 6 4 6 3 2 3" xfId="30609"/>
    <cellStyle name="Normal 2 6 4 6 3 2 4" xfId="30610"/>
    <cellStyle name="Normal 2 6 4 6 3 2 5" xfId="30611"/>
    <cellStyle name="Normal 2 6 4 6 3 2 6" xfId="30612"/>
    <cellStyle name="Normal 2 6 4 6 3 3" xfId="30613"/>
    <cellStyle name="Normal 2 6 4 6 3 3 2" xfId="30614"/>
    <cellStyle name="Normal 2 6 4 6 3 3 2 2" xfId="30615"/>
    <cellStyle name="Normal 2 6 4 6 3 3 3" xfId="30616"/>
    <cellStyle name="Normal 2 6 4 6 3 3 4" xfId="30617"/>
    <cellStyle name="Normal 2 6 4 6 3 3 5" xfId="30618"/>
    <cellStyle name="Normal 2 6 4 6 3 4" xfId="30619"/>
    <cellStyle name="Normal 2 6 4 6 3 4 2" xfId="30620"/>
    <cellStyle name="Normal 2 6 4 6 3 4 3" xfId="30621"/>
    <cellStyle name="Normal 2 6 4 6 3 4 4" xfId="30622"/>
    <cellStyle name="Normal 2 6 4 6 3 5" xfId="30623"/>
    <cellStyle name="Normal 2 6 4 6 3 5 2" xfId="30624"/>
    <cellStyle name="Normal 2 6 4 6 3 6" xfId="30625"/>
    <cellStyle name="Normal 2 6 4 6 3 7" xfId="30626"/>
    <cellStyle name="Normal 2 6 4 6 3 8" xfId="30627"/>
    <cellStyle name="Normal 2 6 4 6 3 9" xfId="30628"/>
    <cellStyle name="Normal 2 6 4 6 4" xfId="30629"/>
    <cellStyle name="Normal 2 6 4 6 4 2" xfId="30630"/>
    <cellStyle name="Normal 2 6 4 6 4 2 2" xfId="30631"/>
    <cellStyle name="Normal 2 6 4 6 4 2 3" xfId="30632"/>
    <cellStyle name="Normal 2 6 4 6 4 3" xfId="30633"/>
    <cellStyle name="Normal 2 6 4 6 4 4" xfId="30634"/>
    <cellStyle name="Normal 2 6 4 6 4 5" xfId="30635"/>
    <cellStyle name="Normal 2 6 4 6 4 6" xfId="30636"/>
    <cellStyle name="Normal 2 6 4 6 5" xfId="30637"/>
    <cellStyle name="Normal 2 6 4 6 5 2" xfId="30638"/>
    <cellStyle name="Normal 2 6 4 6 5 2 2" xfId="30639"/>
    <cellStyle name="Normal 2 6 4 6 5 3" xfId="30640"/>
    <cellStyle name="Normal 2 6 4 6 5 4" xfId="30641"/>
    <cellStyle name="Normal 2 6 4 6 5 5" xfId="30642"/>
    <cellStyle name="Normal 2 6 4 6 6" xfId="30643"/>
    <cellStyle name="Normal 2 6 4 6 6 2" xfId="30644"/>
    <cellStyle name="Normal 2 6 4 6 6 3" xfId="30645"/>
    <cellStyle name="Normal 2 6 4 6 6 4" xfId="30646"/>
    <cellStyle name="Normal 2 6 4 6 7" xfId="30647"/>
    <cellStyle name="Normal 2 6 4 6 7 2" xfId="30648"/>
    <cellStyle name="Normal 2 6 4 6 8" xfId="30649"/>
    <cellStyle name="Normal 2 6 4 6 9" xfId="30650"/>
    <cellStyle name="Normal 2 6 4 7" xfId="30651"/>
    <cellStyle name="Normal 2 6 4 7 10" xfId="30652"/>
    <cellStyle name="Normal 2 6 4 7 11" xfId="30653"/>
    <cellStyle name="Normal 2 6 4 7 2" xfId="30654"/>
    <cellStyle name="Normal 2 6 4 7 2 2" xfId="30655"/>
    <cellStyle name="Normal 2 6 4 7 2 2 2" xfId="30656"/>
    <cellStyle name="Normal 2 6 4 7 2 2 2 2" xfId="30657"/>
    <cellStyle name="Normal 2 6 4 7 2 2 2 3" xfId="30658"/>
    <cellStyle name="Normal 2 6 4 7 2 2 3" xfId="30659"/>
    <cellStyle name="Normal 2 6 4 7 2 2 4" xfId="30660"/>
    <cellStyle name="Normal 2 6 4 7 2 2 5" xfId="30661"/>
    <cellStyle name="Normal 2 6 4 7 2 2 6" xfId="30662"/>
    <cellStyle name="Normal 2 6 4 7 2 3" xfId="30663"/>
    <cellStyle name="Normal 2 6 4 7 2 3 2" xfId="30664"/>
    <cellStyle name="Normal 2 6 4 7 2 3 2 2" xfId="30665"/>
    <cellStyle name="Normal 2 6 4 7 2 3 3" xfId="30666"/>
    <cellStyle name="Normal 2 6 4 7 2 3 4" xfId="30667"/>
    <cellStyle name="Normal 2 6 4 7 2 3 5" xfId="30668"/>
    <cellStyle name="Normal 2 6 4 7 2 4" xfId="30669"/>
    <cellStyle name="Normal 2 6 4 7 2 4 2" xfId="30670"/>
    <cellStyle name="Normal 2 6 4 7 2 4 3" xfId="30671"/>
    <cellStyle name="Normal 2 6 4 7 2 4 4" xfId="30672"/>
    <cellStyle name="Normal 2 6 4 7 2 5" xfId="30673"/>
    <cellStyle name="Normal 2 6 4 7 2 5 2" xfId="30674"/>
    <cellStyle name="Normal 2 6 4 7 2 6" xfId="30675"/>
    <cellStyle name="Normal 2 6 4 7 2 7" xfId="30676"/>
    <cellStyle name="Normal 2 6 4 7 2 8" xfId="30677"/>
    <cellStyle name="Normal 2 6 4 7 2 9" xfId="30678"/>
    <cellStyle name="Normal 2 6 4 7 3" xfId="30679"/>
    <cellStyle name="Normal 2 6 4 7 3 2" xfId="30680"/>
    <cellStyle name="Normal 2 6 4 7 3 2 2" xfId="30681"/>
    <cellStyle name="Normal 2 6 4 7 3 2 2 2" xfId="30682"/>
    <cellStyle name="Normal 2 6 4 7 3 2 2 3" xfId="30683"/>
    <cellStyle name="Normal 2 6 4 7 3 2 3" xfId="30684"/>
    <cellStyle name="Normal 2 6 4 7 3 2 4" xfId="30685"/>
    <cellStyle name="Normal 2 6 4 7 3 2 5" xfId="30686"/>
    <cellStyle name="Normal 2 6 4 7 3 2 6" xfId="30687"/>
    <cellStyle name="Normal 2 6 4 7 3 3" xfId="30688"/>
    <cellStyle name="Normal 2 6 4 7 3 3 2" xfId="30689"/>
    <cellStyle name="Normal 2 6 4 7 3 3 2 2" xfId="30690"/>
    <cellStyle name="Normal 2 6 4 7 3 3 3" xfId="30691"/>
    <cellStyle name="Normal 2 6 4 7 3 3 4" xfId="30692"/>
    <cellStyle name="Normal 2 6 4 7 3 3 5" xfId="30693"/>
    <cellStyle name="Normal 2 6 4 7 3 4" xfId="30694"/>
    <cellStyle name="Normal 2 6 4 7 3 4 2" xfId="30695"/>
    <cellStyle name="Normal 2 6 4 7 3 4 3" xfId="30696"/>
    <cellStyle name="Normal 2 6 4 7 3 4 4" xfId="30697"/>
    <cellStyle name="Normal 2 6 4 7 3 5" xfId="30698"/>
    <cellStyle name="Normal 2 6 4 7 3 5 2" xfId="30699"/>
    <cellStyle name="Normal 2 6 4 7 3 6" xfId="30700"/>
    <cellStyle name="Normal 2 6 4 7 3 7" xfId="30701"/>
    <cellStyle name="Normal 2 6 4 7 3 8" xfId="30702"/>
    <cellStyle name="Normal 2 6 4 7 3 9" xfId="30703"/>
    <cellStyle name="Normal 2 6 4 7 4" xfId="30704"/>
    <cellStyle name="Normal 2 6 4 7 4 2" xfId="30705"/>
    <cellStyle name="Normal 2 6 4 7 4 2 2" xfId="30706"/>
    <cellStyle name="Normal 2 6 4 7 4 2 3" xfId="30707"/>
    <cellStyle name="Normal 2 6 4 7 4 3" xfId="30708"/>
    <cellStyle name="Normal 2 6 4 7 4 4" xfId="30709"/>
    <cellStyle name="Normal 2 6 4 7 4 5" xfId="30710"/>
    <cellStyle name="Normal 2 6 4 7 4 6" xfId="30711"/>
    <cellStyle name="Normal 2 6 4 7 5" xfId="30712"/>
    <cellStyle name="Normal 2 6 4 7 5 2" xfId="30713"/>
    <cellStyle name="Normal 2 6 4 7 5 2 2" xfId="30714"/>
    <cellStyle name="Normal 2 6 4 7 5 3" xfId="30715"/>
    <cellStyle name="Normal 2 6 4 7 5 4" xfId="30716"/>
    <cellStyle name="Normal 2 6 4 7 5 5" xfId="30717"/>
    <cellStyle name="Normal 2 6 4 7 6" xfId="30718"/>
    <cellStyle name="Normal 2 6 4 7 6 2" xfId="30719"/>
    <cellStyle name="Normal 2 6 4 7 6 3" xfId="30720"/>
    <cellStyle name="Normal 2 6 4 7 6 4" xfId="30721"/>
    <cellStyle name="Normal 2 6 4 7 7" xfId="30722"/>
    <cellStyle name="Normal 2 6 4 7 7 2" xfId="30723"/>
    <cellStyle name="Normal 2 6 4 7 8" xfId="30724"/>
    <cellStyle name="Normal 2 6 4 7 9" xfId="30725"/>
    <cellStyle name="Normal 2 6 4 8" xfId="30726"/>
    <cellStyle name="Normal 2 6 4 8 10" xfId="30727"/>
    <cellStyle name="Normal 2 6 4 8 2" xfId="30728"/>
    <cellStyle name="Normal 2 6 4 8 2 2" xfId="30729"/>
    <cellStyle name="Normal 2 6 4 8 2 2 2" xfId="30730"/>
    <cellStyle name="Normal 2 6 4 8 2 2 3" xfId="30731"/>
    <cellStyle name="Normal 2 6 4 8 2 3" xfId="30732"/>
    <cellStyle name="Normal 2 6 4 8 2 4" xfId="30733"/>
    <cellStyle name="Normal 2 6 4 8 2 5" xfId="30734"/>
    <cellStyle name="Normal 2 6 4 8 2 6" xfId="30735"/>
    <cellStyle name="Normal 2 6 4 8 3" xfId="30736"/>
    <cellStyle name="Normal 2 6 4 8 3 2" xfId="30737"/>
    <cellStyle name="Normal 2 6 4 8 3 2 2" xfId="30738"/>
    <cellStyle name="Normal 2 6 4 8 3 2 3" xfId="30739"/>
    <cellStyle name="Normal 2 6 4 8 3 3" xfId="30740"/>
    <cellStyle name="Normal 2 6 4 8 3 4" xfId="30741"/>
    <cellStyle name="Normal 2 6 4 8 3 5" xfId="30742"/>
    <cellStyle name="Normal 2 6 4 8 3 6" xfId="30743"/>
    <cellStyle name="Normal 2 6 4 8 4" xfId="30744"/>
    <cellStyle name="Normal 2 6 4 8 4 2" xfId="30745"/>
    <cellStyle name="Normal 2 6 4 8 4 2 2" xfId="30746"/>
    <cellStyle name="Normal 2 6 4 8 4 3" xfId="30747"/>
    <cellStyle name="Normal 2 6 4 8 4 4" xfId="30748"/>
    <cellStyle name="Normal 2 6 4 8 4 5" xfId="30749"/>
    <cellStyle name="Normal 2 6 4 8 5" xfId="30750"/>
    <cellStyle name="Normal 2 6 4 8 5 2" xfId="30751"/>
    <cellStyle name="Normal 2 6 4 8 5 3" xfId="30752"/>
    <cellStyle name="Normal 2 6 4 8 5 4" xfId="30753"/>
    <cellStyle name="Normal 2 6 4 8 6" xfId="30754"/>
    <cellStyle name="Normal 2 6 4 8 6 2" xfId="30755"/>
    <cellStyle name="Normal 2 6 4 8 7" xfId="30756"/>
    <cellStyle name="Normal 2 6 4 8 8" xfId="30757"/>
    <cellStyle name="Normal 2 6 4 8 9" xfId="30758"/>
    <cellStyle name="Normal 2 6 4 9" xfId="30759"/>
    <cellStyle name="Normal 2 6 4 9 10" xfId="30760"/>
    <cellStyle name="Normal 2 6 4 9 2" xfId="30761"/>
    <cellStyle name="Normal 2 6 4 9 2 2" xfId="30762"/>
    <cellStyle name="Normal 2 6 4 9 2 2 2" xfId="30763"/>
    <cellStyle name="Normal 2 6 4 9 2 2 3" xfId="30764"/>
    <cellStyle name="Normal 2 6 4 9 2 3" xfId="30765"/>
    <cellStyle name="Normal 2 6 4 9 2 4" xfId="30766"/>
    <cellStyle name="Normal 2 6 4 9 2 5" xfId="30767"/>
    <cellStyle name="Normal 2 6 4 9 2 6" xfId="30768"/>
    <cellStyle name="Normal 2 6 4 9 3" xfId="30769"/>
    <cellStyle name="Normal 2 6 4 9 3 2" xfId="30770"/>
    <cellStyle name="Normal 2 6 4 9 3 2 2" xfId="30771"/>
    <cellStyle name="Normal 2 6 4 9 3 2 3" xfId="30772"/>
    <cellStyle name="Normal 2 6 4 9 3 3" xfId="30773"/>
    <cellStyle name="Normal 2 6 4 9 3 4" xfId="30774"/>
    <cellStyle name="Normal 2 6 4 9 3 5" xfId="30775"/>
    <cellStyle name="Normal 2 6 4 9 3 6" xfId="30776"/>
    <cellStyle name="Normal 2 6 4 9 4" xfId="30777"/>
    <cellStyle name="Normal 2 6 4 9 4 2" xfId="30778"/>
    <cellStyle name="Normal 2 6 4 9 4 2 2" xfId="30779"/>
    <cellStyle name="Normal 2 6 4 9 4 3" xfId="30780"/>
    <cellStyle name="Normal 2 6 4 9 4 4" xfId="30781"/>
    <cellStyle name="Normal 2 6 4 9 4 5" xfId="30782"/>
    <cellStyle name="Normal 2 6 4 9 5" xfId="30783"/>
    <cellStyle name="Normal 2 6 4 9 5 2" xfId="30784"/>
    <cellStyle name="Normal 2 6 4 9 5 3" xfId="30785"/>
    <cellStyle name="Normal 2 6 4 9 5 4" xfId="30786"/>
    <cellStyle name="Normal 2 6 4 9 6" xfId="30787"/>
    <cellStyle name="Normal 2 6 4 9 6 2" xfId="30788"/>
    <cellStyle name="Normal 2 6 4 9 7" xfId="30789"/>
    <cellStyle name="Normal 2 6 4 9 8" xfId="30790"/>
    <cellStyle name="Normal 2 6 4 9 9" xfId="30791"/>
    <cellStyle name="Normal 2 6 5" xfId="30792"/>
    <cellStyle name="Normal 2 6 5 10" xfId="30793"/>
    <cellStyle name="Normal 2 6 5 11" xfId="30794"/>
    <cellStyle name="Normal 2 6 5 2" xfId="30795"/>
    <cellStyle name="Normal 2 6 5 2 2" xfId="30796"/>
    <cellStyle name="Normal 2 6 5 2 2 2" xfId="30797"/>
    <cellStyle name="Normal 2 6 5 2 2 2 2" xfId="30798"/>
    <cellStyle name="Normal 2 6 5 2 2 2 3" xfId="30799"/>
    <cellStyle name="Normal 2 6 5 2 2 3" xfId="30800"/>
    <cellStyle name="Normal 2 6 5 2 2 4" xfId="30801"/>
    <cellStyle name="Normal 2 6 5 2 2 5" xfId="30802"/>
    <cellStyle name="Normal 2 6 5 2 2 6" xfId="30803"/>
    <cellStyle name="Normal 2 6 5 2 3" xfId="30804"/>
    <cellStyle name="Normal 2 6 5 2 3 2" xfId="30805"/>
    <cellStyle name="Normal 2 6 5 2 3 2 2" xfId="30806"/>
    <cellStyle name="Normal 2 6 5 2 3 3" xfId="30807"/>
    <cellStyle name="Normal 2 6 5 2 3 4" xfId="30808"/>
    <cellStyle name="Normal 2 6 5 2 3 5" xfId="30809"/>
    <cellStyle name="Normal 2 6 5 2 4" xfId="30810"/>
    <cellStyle name="Normal 2 6 5 2 4 2" xfId="30811"/>
    <cellStyle name="Normal 2 6 5 2 4 3" xfId="30812"/>
    <cellStyle name="Normal 2 6 5 2 4 4" xfId="30813"/>
    <cellStyle name="Normal 2 6 5 2 5" xfId="30814"/>
    <cellStyle name="Normal 2 6 5 2 5 2" xfId="30815"/>
    <cellStyle name="Normal 2 6 5 2 6" xfId="30816"/>
    <cellStyle name="Normal 2 6 5 2 7" xfId="30817"/>
    <cellStyle name="Normal 2 6 5 2 8" xfId="30818"/>
    <cellStyle name="Normal 2 6 5 2 9" xfId="30819"/>
    <cellStyle name="Normal 2 6 5 3" xfId="30820"/>
    <cellStyle name="Normal 2 6 5 3 2" xfId="30821"/>
    <cellStyle name="Normal 2 6 5 3 2 2" xfId="30822"/>
    <cellStyle name="Normal 2 6 5 3 2 2 2" xfId="30823"/>
    <cellStyle name="Normal 2 6 5 3 2 2 3" xfId="30824"/>
    <cellStyle name="Normal 2 6 5 3 2 3" xfId="30825"/>
    <cellStyle name="Normal 2 6 5 3 2 4" xfId="30826"/>
    <cellStyle name="Normal 2 6 5 3 2 5" xfId="30827"/>
    <cellStyle name="Normal 2 6 5 3 2 6" xfId="30828"/>
    <cellStyle name="Normal 2 6 5 3 3" xfId="30829"/>
    <cellStyle name="Normal 2 6 5 3 3 2" xfId="30830"/>
    <cellStyle name="Normal 2 6 5 3 3 2 2" xfId="30831"/>
    <cellStyle name="Normal 2 6 5 3 3 3" xfId="30832"/>
    <cellStyle name="Normal 2 6 5 3 3 4" xfId="30833"/>
    <cellStyle name="Normal 2 6 5 3 3 5" xfId="30834"/>
    <cellStyle name="Normal 2 6 5 3 4" xfId="30835"/>
    <cellStyle name="Normal 2 6 5 3 4 2" xfId="30836"/>
    <cellStyle name="Normal 2 6 5 3 4 3" xfId="30837"/>
    <cellStyle name="Normal 2 6 5 3 4 4" xfId="30838"/>
    <cellStyle name="Normal 2 6 5 3 5" xfId="30839"/>
    <cellStyle name="Normal 2 6 5 3 5 2" xfId="30840"/>
    <cellStyle name="Normal 2 6 5 3 6" xfId="30841"/>
    <cellStyle name="Normal 2 6 5 3 7" xfId="30842"/>
    <cellStyle name="Normal 2 6 5 3 8" xfId="30843"/>
    <cellStyle name="Normal 2 6 5 3 9" xfId="30844"/>
    <cellStyle name="Normal 2 6 5 4" xfId="30845"/>
    <cellStyle name="Normal 2 6 5 4 2" xfId="30846"/>
    <cellStyle name="Normal 2 6 5 4 2 2" xfId="30847"/>
    <cellStyle name="Normal 2 6 5 4 2 3" xfId="30848"/>
    <cellStyle name="Normal 2 6 5 4 3" xfId="30849"/>
    <cellStyle name="Normal 2 6 5 4 4" xfId="30850"/>
    <cellStyle name="Normal 2 6 5 4 5" xfId="30851"/>
    <cellStyle name="Normal 2 6 5 4 6" xfId="30852"/>
    <cellStyle name="Normal 2 6 5 5" xfId="30853"/>
    <cellStyle name="Normal 2 6 5 5 2" xfId="30854"/>
    <cellStyle name="Normal 2 6 5 5 2 2" xfId="30855"/>
    <cellStyle name="Normal 2 6 5 5 3" xfId="30856"/>
    <cellStyle name="Normal 2 6 5 5 4" xfId="30857"/>
    <cellStyle name="Normal 2 6 5 5 5" xfId="30858"/>
    <cellStyle name="Normal 2 6 5 6" xfId="30859"/>
    <cellStyle name="Normal 2 6 5 6 2" xfId="30860"/>
    <cellStyle name="Normal 2 6 5 6 3" xfId="30861"/>
    <cellStyle name="Normal 2 6 5 6 4" xfId="30862"/>
    <cellStyle name="Normal 2 6 5 7" xfId="30863"/>
    <cellStyle name="Normal 2 6 5 7 2" xfId="30864"/>
    <cellStyle name="Normal 2 6 5 8" xfId="30865"/>
    <cellStyle name="Normal 2 6 5 9" xfId="30866"/>
    <cellStyle name="Normal 2 6 6" xfId="30867"/>
    <cellStyle name="Normal 2 6 6 10" xfId="30868"/>
    <cellStyle name="Normal 2 6 6 11" xfId="30869"/>
    <cellStyle name="Normal 2 6 6 2" xfId="30870"/>
    <cellStyle name="Normal 2 6 6 2 2" xfId="30871"/>
    <cellStyle name="Normal 2 6 6 2 2 2" xfId="30872"/>
    <cellStyle name="Normal 2 6 6 2 2 2 2" xfId="30873"/>
    <cellStyle name="Normal 2 6 6 2 2 2 3" xfId="30874"/>
    <cellStyle name="Normal 2 6 6 2 2 3" xfId="30875"/>
    <cellStyle name="Normal 2 6 6 2 2 4" xfId="30876"/>
    <cellStyle name="Normal 2 6 6 2 2 5" xfId="30877"/>
    <cellStyle name="Normal 2 6 6 2 2 6" xfId="30878"/>
    <cellStyle name="Normal 2 6 6 2 3" xfId="30879"/>
    <cellStyle name="Normal 2 6 6 2 3 2" xfId="30880"/>
    <cellStyle name="Normal 2 6 6 2 3 2 2" xfId="30881"/>
    <cellStyle name="Normal 2 6 6 2 3 3" xfId="30882"/>
    <cellStyle name="Normal 2 6 6 2 3 4" xfId="30883"/>
    <cellStyle name="Normal 2 6 6 2 3 5" xfId="30884"/>
    <cellStyle name="Normal 2 6 6 2 4" xfId="30885"/>
    <cellStyle name="Normal 2 6 6 2 4 2" xfId="30886"/>
    <cellStyle name="Normal 2 6 6 2 4 3" xfId="30887"/>
    <cellStyle name="Normal 2 6 6 2 4 4" xfId="30888"/>
    <cellStyle name="Normal 2 6 6 2 5" xfId="30889"/>
    <cellStyle name="Normal 2 6 6 2 5 2" xfId="30890"/>
    <cellStyle name="Normal 2 6 6 2 6" xfId="30891"/>
    <cellStyle name="Normal 2 6 6 2 7" xfId="30892"/>
    <cellStyle name="Normal 2 6 6 2 8" xfId="30893"/>
    <cellStyle name="Normal 2 6 6 2 9" xfId="30894"/>
    <cellStyle name="Normal 2 6 6 3" xfId="30895"/>
    <cellStyle name="Normal 2 6 6 3 2" xfId="30896"/>
    <cellStyle name="Normal 2 6 6 3 2 2" xfId="30897"/>
    <cellStyle name="Normal 2 6 6 3 2 2 2" xfId="30898"/>
    <cellStyle name="Normal 2 6 6 3 2 2 3" xfId="30899"/>
    <cellStyle name="Normal 2 6 6 3 2 3" xfId="30900"/>
    <cellStyle name="Normal 2 6 6 3 2 4" xfId="30901"/>
    <cellStyle name="Normal 2 6 6 3 2 5" xfId="30902"/>
    <cellStyle name="Normal 2 6 6 3 2 6" xfId="30903"/>
    <cellStyle name="Normal 2 6 6 3 3" xfId="30904"/>
    <cellStyle name="Normal 2 6 6 3 3 2" xfId="30905"/>
    <cellStyle name="Normal 2 6 6 3 3 2 2" xfId="30906"/>
    <cellStyle name="Normal 2 6 6 3 3 3" xfId="30907"/>
    <cellStyle name="Normal 2 6 6 3 3 4" xfId="30908"/>
    <cellStyle name="Normal 2 6 6 3 3 5" xfId="30909"/>
    <cellStyle name="Normal 2 6 6 3 4" xfId="30910"/>
    <cellStyle name="Normal 2 6 6 3 4 2" xfId="30911"/>
    <cellStyle name="Normal 2 6 6 3 4 3" xfId="30912"/>
    <cellStyle name="Normal 2 6 6 3 4 4" xfId="30913"/>
    <cellStyle name="Normal 2 6 6 3 5" xfId="30914"/>
    <cellStyle name="Normal 2 6 6 3 5 2" xfId="30915"/>
    <cellStyle name="Normal 2 6 6 3 6" xfId="30916"/>
    <cellStyle name="Normal 2 6 6 3 7" xfId="30917"/>
    <cellStyle name="Normal 2 6 6 3 8" xfId="30918"/>
    <cellStyle name="Normal 2 6 6 3 9" xfId="30919"/>
    <cellStyle name="Normal 2 6 6 4" xfId="30920"/>
    <cellStyle name="Normal 2 6 6 4 2" xfId="30921"/>
    <cellStyle name="Normal 2 6 6 4 2 2" xfId="30922"/>
    <cellStyle name="Normal 2 6 6 4 2 3" xfId="30923"/>
    <cellStyle name="Normal 2 6 6 4 3" xfId="30924"/>
    <cellStyle name="Normal 2 6 6 4 4" xfId="30925"/>
    <cellStyle name="Normal 2 6 6 4 5" xfId="30926"/>
    <cellStyle name="Normal 2 6 6 4 6" xfId="30927"/>
    <cellStyle name="Normal 2 6 6 5" xfId="30928"/>
    <cellStyle name="Normal 2 6 6 5 2" xfId="30929"/>
    <cellStyle name="Normal 2 6 6 5 2 2" xfId="30930"/>
    <cellStyle name="Normal 2 6 6 5 3" xfId="30931"/>
    <cellStyle name="Normal 2 6 6 5 4" xfId="30932"/>
    <cellStyle name="Normal 2 6 6 5 5" xfId="30933"/>
    <cellStyle name="Normal 2 6 6 6" xfId="30934"/>
    <cellStyle name="Normal 2 6 6 6 2" xfId="30935"/>
    <cellStyle name="Normal 2 6 6 6 3" xfId="30936"/>
    <cellStyle name="Normal 2 6 6 6 4" xfId="30937"/>
    <cellStyle name="Normal 2 6 6 7" xfId="30938"/>
    <cellStyle name="Normal 2 6 6 7 2" xfId="30939"/>
    <cellStyle name="Normal 2 6 6 8" xfId="30940"/>
    <cellStyle name="Normal 2 6 6 9" xfId="30941"/>
    <cellStyle name="Normal 2 6 7" xfId="30942"/>
    <cellStyle name="Normal 2 6 7 10" xfId="30943"/>
    <cellStyle name="Normal 2 6 7 11" xfId="30944"/>
    <cellStyle name="Normal 2 6 7 2" xfId="30945"/>
    <cellStyle name="Normal 2 6 7 2 2" xfId="30946"/>
    <cellStyle name="Normal 2 6 7 2 2 2" xfId="30947"/>
    <cellStyle name="Normal 2 6 7 2 2 2 2" xfId="30948"/>
    <cellStyle name="Normal 2 6 7 2 2 2 3" xfId="30949"/>
    <cellStyle name="Normal 2 6 7 2 2 3" xfId="30950"/>
    <cellStyle name="Normal 2 6 7 2 2 4" xfId="30951"/>
    <cellStyle name="Normal 2 6 7 2 2 5" xfId="30952"/>
    <cellStyle name="Normal 2 6 7 2 2 6" xfId="30953"/>
    <cellStyle name="Normal 2 6 7 2 3" xfId="30954"/>
    <cellStyle name="Normal 2 6 7 2 3 2" xfId="30955"/>
    <cellStyle name="Normal 2 6 7 2 3 2 2" xfId="30956"/>
    <cellStyle name="Normal 2 6 7 2 3 3" xfId="30957"/>
    <cellStyle name="Normal 2 6 7 2 3 4" xfId="30958"/>
    <cellStyle name="Normal 2 6 7 2 3 5" xfId="30959"/>
    <cellStyle name="Normal 2 6 7 2 4" xfId="30960"/>
    <cellStyle name="Normal 2 6 7 2 4 2" xfId="30961"/>
    <cellStyle name="Normal 2 6 7 2 4 3" xfId="30962"/>
    <cellStyle name="Normal 2 6 7 2 4 4" xfId="30963"/>
    <cellStyle name="Normal 2 6 7 2 5" xfId="30964"/>
    <cellStyle name="Normal 2 6 7 2 5 2" xfId="30965"/>
    <cellStyle name="Normal 2 6 7 2 6" xfId="30966"/>
    <cellStyle name="Normal 2 6 7 2 7" xfId="30967"/>
    <cellStyle name="Normal 2 6 7 2 8" xfId="30968"/>
    <cellStyle name="Normal 2 6 7 2 9" xfId="30969"/>
    <cellStyle name="Normal 2 6 7 3" xfId="30970"/>
    <cellStyle name="Normal 2 6 7 3 2" xfId="30971"/>
    <cellStyle name="Normal 2 6 7 3 2 2" xfId="30972"/>
    <cellStyle name="Normal 2 6 7 3 2 2 2" xfId="30973"/>
    <cellStyle name="Normal 2 6 7 3 2 2 3" xfId="30974"/>
    <cellStyle name="Normal 2 6 7 3 2 3" xfId="30975"/>
    <cellStyle name="Normal 2 6 7 3 2 4" xfId="30976"/>
    <cellStyle name="Normal 2 6 7 3 2 5" xfId="30977"/>
    <cellStyle name="Normal 2 6 7 3 2 6" xfId="30978"/>
    <cellStyle name="Normal 2 6 7 3 3" xfId="30979"/>
    <cellStyle name="Normal 2 6 7 3 3 2" xfId="30980"/>
    <cellStyle name="Normal 2 6 7 3 3 2 2" xfId="30981"/>
    <cellStyle name="Normal 2 6 7 3 3 3" xfId="30982"/>
    <cellStyle name="Normal 2 6 7 3 3 4" xfId="30983"/>
    <cellStyle name="Normal 2 6 7 3 3 5" xfId="30984"/>
    <cellStyle name="Normal 2 6 7 3 4" xfId="30985"/>
    <cellStyle name="Normal 2 6 7 3 4 2" xfId="30986"/>
    <cellStyle name="Normal 2 6 7 3 4 3" xfId="30987"/>
    <cellStyle name="Normal 2 6 7 3 4 4" xfId="30988"/>
    <cellStyle name="Normal 2 6 7 3 5" xfId="30989"/>
    <cellStyle name="Normal 2 6 7 3 5 2" xfId="30990"/>
    <cellStyle name="Normal 2 6 7 3 6" xfId="30991"/>
    <cellStyle name="Normal 2 6 7 3 7" xfId="30992"/>
    <cellStyle name="Normal 2 6 7 3 8" xfId="30993"/>
    <cellStyle name="Normal 2 6 7 3 9" xfId="30994"/>
    <cellStyle name="Normal 2 6 7 4" xfId="30995"/>
    <cellStyle name="Normal 2 6 7 4 2" xfId="30996"/>
    <cellStyle name="Normal 2 6 7 4 2 2" xfId="30997"/>
    <cellStyle name="Normal 2 6 7 4 2 3" xfId="30998"/>
    <cellStyle name="Normal 2 6 7 4 3" xfId="30999"/>
    <cellStyle name="Normal 2 6 7 4 4" xfId="31000"/>
    <cellStyle name="Normal 2 6 7 4 5" xfId="31001"/>
    <cellStyle name="Normal 2 6 7 4 6" xfId="31002"/>
    <cellStyle name="Normal 2 6 7 5" xfId="31003"/>
    <cellStyle name="Normal 2 6 7 5 2" xfId="31004"/>
    <cellStyle name="Normal 2 6 7 5 2 2" xfId="31005"/>
    <cellStyle name="Normal 2 6 7 5 3" xfId="31006"/>
    <cellStyle name="Normal 2 6 7 5 4" xfId="31007"/>
    <cellStyle name="Normal 2 6 7 5 5" xfId="31008"/>
    <cellStyle name="Normal 2 6 7 6" xfId="31009"/>
    <cellStyle name="Normal 2 6 7 6 2" xfId="31010"/>
    <cellStyle name="Normal 2 6 7 6 3" xfId="31011"/>
    <cellStyle name="Normal 2 6 7 6 4" xfId="31012"/>
    <cellStyle name="Normal 2 6 7 7" xfId="31013"/>
    <cellStyle name="Normal 2 6 7 7 2" xfId="31014"/>
    <cellStyle name="Normal 2 6 7 8" xfId="31015"/>
    <cellStyle name="Normal 2 6 7 9" xfId="31016"/>
    <cellStyle name="Normal 2 6 8" xfId="31017"/>
    <cellStyle name="Normal 2 6 8 10" xfId="31018"/>
    <cellStyle name="Normal 2 6 8 11" xfId="31019"/>
    <cellStyle name="Normal 2 6 8 2" xfId="31020"/>
    <cellStyle name="Normal 2 6 8 2 2" xfId="31021"/>
    <cellStyle name="Normal 2 6 8 2 2 2" xfId="31022"/>
    <cellStyle name="Normal 2 6 8 2 2 2 2" xfId="31023"/>
    <cellStyle name="Normal 2 6 8 2 2 2 3" xfId="31024"/>
    <cellStyle name="Normal 2 6 8 2 2 3" xfId="31025"/>
    <cellStyle name="Normal 2 6 8 2 2 4" xfId="31026"/>
    <cellStyle name="Normal 2 6 8 2 2 5" xfId="31027"/>
    <cellStyle name="Normal 2 6 8 2 2 6" xfId="31028"/>
    <cellStyle name="Normal 2 6 8 2 3" xfId="31029"/>
    <cellStyle name="Normal 2 6 8 2 3 2" xfId="31030"/>
    <cellStyle name="Normal 2 6 8 2 3 2 2" xfId="31031"/>
    <cellStyle name="Normal 2 6 8 2 3 3" xfId="31032"/>
    <cellStyle name="Normal 2 6 8 2 3 4" xfId="31033"/>
    <cellStyle name="Normal 2 6 8 2 3 5" xfId="31034"/>
    <cellStyle name="Normal 2 6 8 2 4" xfId="31035"/>
    <cellStyle name="Normal 2 6 8 2 4 2" xfId="31036"/>
    <cellStyle name="Normal 2 6 8 2 4 3" xfId="31037"/>
    <cellStyle name="Normal 2 6 8 2 4 4" xfId="31038"/>
    <cellStyle name="Normal 2 6 8 2 5" xfId="31039"/>
    <cellStyle name="Normal 2 6 8 2 5 2" xfId="31040"/>
    <cellStyle name="Normal 2 6 8 2 6" xfId="31041"/>
    <cellStyle name="Normal 2 6 8 2 7" xfId="31042"/>
    <cellStyle name="Normal 2 6 8 2 8" xfId="31043"/>
    <cellStyle name="Normal 2 6 8 2 9" xfId="31044"/>
    <cellStyle name="Normal 2 6 8 3" xfId="31045"/>
    <cellStyle name="Normal 2 6 8 3 2" xfId="31046"/>
    <cellStyle name="Normal 2 6 8 3 2 2" xfId="31047"/>
    <cellStyle name="Normal 2 6 8 3 2 2 2" xfId="31048"/>
    <cellStyle name="Normal 2 6 8 3 2 2 3" xfId="31049"/>
    <cellStyle name="Normal 2 6 8 3 2 3" xfId="31050"/>
    <cellStyle name="Normal 2 6 8 3 2 4" xfId="31051"/>
    <cellStyle name="Normal 2 6 8 3 2 5" xfId="31052"/>
    <cellStyle name="Normal 2 6 8 3 2 6" xfId="31053"/>
    <cellStyle name="Normal 2 6 8 3 3" xfId="31054"/>
    <cellStyle name="Normal 2 6 8 3 3 2" xfId="31055"/>
    <cellStyle name="Normal 2 6 8 3 3 2 2" xfId="31056"/>
    <cellStyle name="Normal 2 6 8 3 3 3" xfId="31057"/>
    <cellStyle name="Normal 2 6 8 3 3 4" xfId="31058"/>
    <cellStyle name="Normal 2 6 8 3 3 5" xfId="31059"/>
    <cellStyle name="Normal 2 6 8 3 4" xfId="31060"/>
    <cellStyle name="Normal 2 6 8 3 4 2" xfId="31061"/>
    <cellStyle name="Normal 2 6 8 3 4 3" xfId="31062"/>
    <cellStyle name="Normal 2 6 8 3 4 4" xfId="31063"/>
    <cellStyle name="Normal 2 6 8 3 5" xfId="31064"/>
    <cellStyle name="Normal 2 6 8 3 5 2" xfId="31065"/>
    <cellStyle name="Normal 2 6 8 3 6" xfId="31066"/>
    <cellStyle name="Normal 2 6 8 3 7" xfId="31067"/>
    <cellStyle name="Normal 2 6 8 3 8" xfId="31068"/>
    <cellStyle name="Normal 2 6 8 3 9" xfId="31069"/>
    <cellStyle name="Normal 2 6 8 4" xfId="31070"/>
    <cellStyle name="Normal 2 6 8 4 2" xfId="31071"/>
    <cellStyle name="Normal 2 6 8 4 2 2" xfId="31072"/>
    <cellStyle name="Normal 2 6 8 4 2 3" xfId="31073"/>
    <cellStyle name="Normal 2 6 8 4 3" xfId="31074"/>
    <cellStyle name="Normal 2 6 8 4 4" xfId="31075"/>
    <cellStyle name="Normal 2 6 8 4 5" xfId="31076"/>
    <cellStyle name="Normal 2 6 8 4 6" xfId="31077"/>
    <cellStyle name="Normal 2 6 8 5" xfId="31078"/>
    <cellStyle name="Normal 2 6 8 5 2" xfId="31079"/>
    <cellStyle name="Normal 2 6 8 5 2 2" xfId="31080"/>
    <cellStyle name="Normal 2 6 8 5 3" xfId="31081"/>
    <cellStyle name="Normal 2 6 8 5 4" xfId="31082"/>
    <cellStyle name="Normal 2 6 8 5 5" xfId="31083"/>
    <cellStyle name="Normal 2 6 8 6" xfId="31084"/>
    <cellStyle name="Normal 2 6 8 6 2" xfId="31085"/>
    <cellStyle name="Normal 2 6 8 6 3" xfId="31086"/>
    <cellStyle name="Normal 2 6 8 6 4" xfId="31087"/>
    <cellStyle name="Normal 2 6 8 7" xfId="31088"/>
    <cellStyle name="Normal 2 6 8 7 2" xfId="31089"/>
    <cellStyle name="Normal 2 6 8 8" xfId="31090"/>
    <cellStyle name="Normal 2 6 8 9" xfId="31091"/>
    <cellStyle name="Normal 2 6 9" xfId="31092"/>
    <cellStyle name="Normal 2 6 9 10" xfId="31093"/>
    <cellStyle name="Normal 2 6 9 11" xfId="31094"/>
    <cellStyle name="Normal 2 6 9 2" xfId="31095"/>
    <cellStyle name="Normal 2 6 9 2 2" xfId="31096"/>
    <cellStyle name="Normal 2 6 9 2 2 2" xfId="31097"/>
    <cellStyle name="Normal 2 6 9 2 2 2 2" xfId="31098"/>
    <cellStyle name="Normal 2 6 9 2 2 2 3" xfId="31099"/>
    <cellStyle name="Normal 2 6 9 2 2 3" xfId="31100"/>
    <cellStyle name="Normal 2 6 9 2 2 4" xfId="31101"/>
    <cellStyle name="Normal 2 6 9 2 2 5" xfId="31102"/>
    <cellStyle name="Normal 2 6 9 2 2 6" xfId="31103"/>
    <cellStyle name="Normal 2 6 9 2 3" xfId="31104"/>
    <cellStyle name="Normal 2 6 9 2 3 2" xfId="31105"/>
    <cellStyle name="Normal 2 6 9 2 3 2 2" xfId="31106"/>
    <cellStyle name="Normal 2 6 9 2 3 3" xfId="31107"/>
    <cellStyle name="Normal 2 6 9 2 3 4" xfId="31108"/>
    <cellStyle name="Normal 2 6 9 2 3 5" xfId="31109"/>
    <cellStyle name="Normal 2 6 9 2 4" xfId="31110"/>
    <cellStyle name="Normal 2 6 9 2 4 2" xfId="31111"/>
    <cellStyle name="Normal 2 6 9 2 4 3" xfId="31112"/>
    <cellStyle name="Normal 2 6 9 2 4 4" xfId="31113"/>
    <cellStyle name="Normal 2 6 9 2 5" xfId="31114"/>
    <cellStyle name="Normal 2 6 9 2 5 2" xfId="31115"/>
    <cellStyle name="Normal 2 6 9 2 6" xfId="31116"/>
    <cellStyle name="Normal 2 6 9 2 7" xfId="31117"/>
    <cellStyle name="Normal 2 6 9 2 8" xfId="31118"/>
    <cellStyle name="Normal 2 6 9 2 9" xfId="31119"/>
    <cellStyle name="Normal 2 6 9 3" xfId="31120"/>
    <cellStyle name="Normal 2 6 9 3 2" xfId="31121"/>
    <cellStyle name="Normal 2 6 9 3 2 2" xfId="31122"/>
    <cellStyle name="Normal 2 6 9 3 2 2 2" xfId="31123"/>
    <cellStyle name="Normal 2 6 9 3 2 2 3" xfId="31124"/>
    <cellStyle name="Normal 2 6 9 3 2 3" xfId="31125"/>
    <cellStyle name="Normal 2 6 9 3 2 4" xfId="31126"/>
    <cellStyle name="Normal 2 6 9 3 2 5" xfId="31127"/>
    <cellStyle name="Normal 2 6 9 3 2 6" xfId="31128"/>
    <cellStyle name="Normal 2 6 9 3 3" xfId="31129"/>
    <cellStyle name="Normal 2 6 9 3 3 2" xfId="31130"/>
    <cellStyle name="Normal 2 6 9 3 3 2 2" xfId="31131"/>
    <cellStyle name="Normal 2 6 9 3 3 3" xfId="31132"/>
    <cellStyle name="Normal 2 6 9 3 3 4" xfId="31133"/>
    <cellStyle name="Normal 2 6 9 3 3 5" xfId="31134"/>
    <cellStyle name="Normal 2 6 9 3 4" xfId="31135"/>
    <cellStyle name="Normal 2 6 9 3 4 2" xfId="31136"/>
    <cellStyle name="Normal 2 6 9 3 4 3" xfId="31137"/>
    <cellStyle name="Normal 2 6 9 3 4 4" xfId="31138"/>
    <cellStyle name="Normal 2 6 9 3 5" xfId="31139"/>
    <cellStyle name="Normal 2 6 9 3 5 2" xfId="31140"/>
    <cellStyle name="Normal 2 6 9 3 6" xfId="31141"/>
    <cellStyle name="Normal 2 6 9 3 7" xfId="31142"/>
    <cellStyle name="Normal 2 6 9 3 8" xfId="31143"/>
    <cellStyle name="Normal 2 6 9 3 9" xfId="31144"/>
    <cellStyle name="Normal 2 6 9 4" xfId="31145"/>
    <cellStyle name="Normal 2 6 9 4 2" xfId="31146"/>
    <cellStyle name="Normal 2 6 9 4 2 2" xfId="31147"/>
    <cellStyle name="Normal 2 6 9 4 2 3" xfId="31148"/>
    <cellStyle name="Normal 2 6 9 4 3" xfId="31149"/>
    <cellStyle name="Normal 2 6 9 4 4" xfId="31150"/>
    <cellStyle name="Normal 2 6 9 4 5" xfId="31151"/>
    <cellStyle name="Normal 2 6 9 4 6" xfId="31152"/>
    <cellStyle name="Normal 2 6 9 5" xfId="31153"/>
    <cellStyle name="Normal 2 6 9 5 2" xfId="31154"/>
    <cellStyle name="Normal 2 6 9 5 2 2" xfId="31155"/>
    <cellStyle name="Normal 2 6 9 5 3" xfId="31156"/>
    <cellStyle name="Normal 2 6 9 5 4" xfId="31157"/>
    <cellStyle name="Normal 2 6 9 5 5" xfId="31158"/>
    <cellStyle name="Normal 2 6 9 6" xfId="31159"/>
    <cellStyle name="Normal 2 6 9 6 2" xfId="31160"/>
    <cellStyle name="Normal 2 6 9 6 3" xfId="31161"/>
    <cellStyle name="Normal 2 6 9 6 4" xfId="31162"/>
    <cellStyle name="Normal 2 6 9 7" xfId="31163"/>
    <cellStyle name="Normal 2 6 9 7 2" xfId="31164"/>
    <cellStyle name="Normal 2 6 9 8" xfId="31165"/>
    <cellStyle name="Normal 2 6 9 9" xfId="31166"/>
    <cellStyle name="Normal 2 60" xfId="31167"/>
    <cellStyle name="Normal 2 60 10" xfId="31168"/>
    <cellStyle name="Normal 2 60 2" xfId="31169"/>
    <cellStyle name="Normal 2 60 2 2" xfId="31170"/>
    <cellStyle name="Normal 2 60 2 2 2" xfId="31171"/>
    <cellStyle name="Normal 2 60 2 2 3" xfId="31172"/>
    <cellStyle name="Normal 2 60 2 3" xfId="31173"/>
    <cellStyle name="Normal 2 60 2 4" xfId="31174"/>
    <cellStyle name="Normal 2 60 2 5" xfId="31175"/>
    <cellStyle name="Normal 2 60 2 6" xfId="31176"/>
    <cellStyle name="Normal 2 60 3" xfId="31177"/>
    <cellStyle name="Normal 2 60 3 2" xfId="31178"/>
    <cellStyle name="Normal 2 60 3 2 2" xfId="31179"/>
    <cellStyle name="Normal 2 60 3 2 3" xfId="31180"/>
    <cellStyle name="Normal 2 60 3 3" xfId="31181"/>
    <cellStyle name="Normal 2 60 3 4" xfId="31182"/>
    <cellStyle name="Normal 2 60 3 5" xfId="31183"/>
    <cellStyle name="Normal 2 60 3 6" xfId="31184"/>
    <cellStyle name="Normal 2 60 4" xfId="31185"/>
    <cellStyle name="Normal 2 60 4 2" xfId="31186"/>
    <cellStyle name="Normal 2 60 4 2 2" xfId="31187"/>
    <cellStyle name="Normal 2 60 4 3" xfId="31188"/>
    <cellStyle name="Normal 2 60 4 4" xfId="31189"/>
    <cellStyle name="Normal 2 60 4 5" xfId="31190"/>
    <cellStyle name="Normal 2 60 5" xfId="31191"/>
    <cellStyle name="Normal 2 60 5 2" xfId="31192"/>
    <cellStyle name="Normal 2 60 5 3" xfId="31193"/>
    <cellStyle name="Normal 2 60 5 4" xfId="31194"/>
    <cellStyle name="Normal 2 60 6" xfId="31195"/>
    <cellStyle name="Normal 2 60 6 2" xfId="31196"/>
    <cellStyle name="Normal 2 60 7" xfId="31197"/>
    <cellStyle name="Normal 2 60 8" xfId="31198"/>
    <cellStyle name="Normal 2 60 9" xfId="31199"/>
    <cellStyle name="Normal 2 61" xfId="31200"/>
    <cellStyle name="Normal 2 61 2" xfId="31201"/>
    <cellStyle name="Normal 2 61 2 2" xfId="31202"/>
    <cellStyle name="Normal 2 61 2 2 2" xfId="31203"/>
    <cellStyle name="Normal 2 61 2 2 3" xfId="31204"/>
    <cellStyle name="Normal 2 61 2 3" xfId="31205"/>
    <cellStyle name="Normal 2 61 2 4" xfId="31206"/>
    <cellStyle name="Normal 2 61 2 5" xfId="31207"/>
    <cellStyle name="Normal 2 61 2 6" xfId="31208"/>
    <cellStyle name="Normal 2 61 3" xfId="31209"/>
    <cellStyle name="Normal 2 61 3 2" xfId="31210"/>
    <cellStyle name="Normal 2 61 3 2 2" xfId="31211"/>
    <cellStyle name="Normal 2 61 3 3" xfId="31212"/>
    <cellStyle name="Normal 2 61 3 4" xfId="31213"/>
    <cellStyle name="Normal 2 61 3 5" xfId="31214"/>
    <cellStyle name="Normal 2 61 4" xfId="31215"/>
    <cellStyle name="Normal 2 61 4 2" xfId="31216"/>
    <cellStyle name="Normal 2 61 4 3" xfId="31217"/>
    <cellStyle name="Normal 2 61 4 4" xfId="31218"/>
    <cellStyle name="Normal 2 61 5" xfId="31219"/>
    <cellStyle name="Normal 2 61 5 2" xfId="31220"/>
    <cellStyle name="Normal 2 61 6" xfId="31221"/>
    <cellStyle name="Normal 2 61 7" xfId="31222"/>
    <cellStyle name="Normal 2 61 8" xfId="31223"/>
    <cellStyle name="Normal 2 61 9" xfId="31224"/>
    <cellStyle name="Normal 2 62" xfId="31225"/>
    <cellStyle name="Normal 2 62 2" xfId="31226"/>
    <cellStyle name="Normal 2 62 2 2" xfId="31227"/>
    <cellStyle name="Normal 2 62 2 2 2" xfId="31228"/>
    <cellStyle name="Normal 2 62 2 3" xfId="31229"/>
    <cellStyle name="Normal 2 62 2 4" xfId="31230"/>
    <cellStyle name="Normal 2 62 2 5" xfId="31231"/>
    <cellStyle name="Normal 2 62 3" xfId="31232"/>
    <cellStyle name="Normal 2 62 3 2" xfId="31233"/>
    <cellStyle name="Normal 2 62 3 3" xfId="31234"/>
    <cellStyle name="Normal 2 62 3 4" xfId="31235"/>
    <cellStyle name="Normal 2 62 4" xfId="31236"/>
    <cellStyle name="Normal 2 62 4 2" xfId="31237"/>
    <cellStyle name="Normal 2 62 5" xfId="31238"/>
    <cellStyle name="Normal 2 62 6" xfId="31239"/>
    <cellStyle name="Normal 2 62 7" xfId="31240"/>
    <cellStyle name="Normal 2 62 8" xfId="31241"/>
    <cellStyle name="Normal 2 63" xfId="31242"/>
    <cellStyle name="Normal 2 63 2" xfId="31243"/>
    <cellStyle name="Normal 2 63 2 2" xfId="31244"/>
    <cellStyle name="Normal 2 63 2 3" xfId="31245"/>
    <cellStyle name="Normal 2 63 2 4" xfId="31246"/>
    <cellStyle name="Normal 2 63 3" xfId="31247"/>
    <cellStyle name="Normal 2 63 3 2" xfId="31248"/>
    <cellStyle name="Normal 2 63 4" xfId="31249"/>
    <cellStyle name="Normal 2 63 5" xfId="31250"/>
    <cellStyle name="Normal 2 63 6" xfId="31251"/>
    <cellStyle name="Normal 2 63 7" xfId="31252"/>
    <cellStyle name="Normal 2 64" xfId="31253"/>
    <cellStyle name="Normal 2 64 2" xfId="31254"/>
    <cellStyle name="Normal 2 64 2 2" xfId="31255"/>
    <cellStyle name="Normal 2 64 3" xfId="31256"/>
    <cellStyle name="Normal 2 64 4" xfId="31257"/>
    <cellStyle name="Normal 2 64 5" xfId="31258"/>
    <cellStyle name="Normal 2 65" xfId="31259"/>
    <cellStyle name="Normal 2 65 2" xfId="31260"/>
    <cellStyle name="Normal 2 65 3" xfId="31261"/>
    <cellStyle name="Normal 2 65 4" xfId="31262"/>
    <cellStyle name="Normal 2 66" xfId="31263"/>
    <cellStyle name="Normal 2 66 2" xfId="31264"/>
    <cellStyle name="Normal 2 67" xfId="31265"/>
    <cellStyle name="Normal 2 68" xfId="31266"/>
    <cellStyle name="Normal 2 69" xfId="31267"/>
    <cellStyle name="Normal 2 7" xfId="31268"/>
    <cellStyle name="Normal 2 7 10" xfId="31269"/>
    <cellStyle name="Normal 2 7 10 10" xfId="31270"/>
    <cellStyle name="Normal 2 7 10 11" xfId="31271"/>
    <cellStyle name="Normal 2 7 10 2" xfId="31272"/>
    <cellStyle name="Normal 2 7 10 2 2" xfId="31273"/>
    <cellStyle name="Normal 2 7 10 2 2 2" xfId="31274"/>
    <cellStyle name="Normal 2 7 10 2 2 2 2" xfId="31275"/>
    <cellStyle name="Normal 2 7 10 2 2 2 3" xfId="31276"/>
    <cellStyle name="Normal 2 7 10 2 2 3" xfId="31277"/>
    <cellStyle name="Normal 2 7 10 2 2 4" xfId="31278"/>
    <cellStyle name="Normal 2 7 10 2 2 5" xfId="31279"/>
    <cellStyle name="Normal 2 7 10 2 2 6" xfId="31280"/>
    <cellStyle name="Normal 2 7 10 2 3" xfId="31281"/>
    <cellStyle name="Normal 2 7 10 2 3 2" xfId="31282"/>
    <cellStyle name="Normal 2 7 10 2 3 2 2" xfId="31283"/>
    <cellStyle name="Normal 2 7 10 2 3 3" xfId="31284"/>
    <cellStyle name="Normal 2 7 10 2 3 4" xfId="31285"/>
    <cellStyle name="Normal 2 7 10 2 3 5" xfId="31286"/>
    <cellStyle name="Normal 2 7 10 2 4" xfId="31287"/>
    <cellStyle name="Normal 2 7 10 2 4 2" xfId="31288"/>
    <cellStyle name="Normal 2 7 10 2 4 3" xfId="31289"/>
    <cellStyle name="Normal 2 7 10 2 4 4" xfId="31290"/>
    <cellStyle name="Normal 2 7 10 2 5" xfId="31291"/>
    <cellStyle name="Normal 2 7 10 2 5 2" xfId="31292"/>
    <cellStyle name="Normal 2 7 10 2 6" xfId="31293"/>
    <cellStyle name="Normal 2 7 10 2 7" xfId="31294"/>
    <cellStyle name="Normal 2 7 10 2 8" xfId="31295"/>
    <cellStyle name="Normal 2 7 10 2 9" xfId="31296"/>
    <cellStyle name="Normal 2 7 10 3" xfId="31297"/>
    <cellStyle name="Normal 2 7 10 3 2" xfId="31298"/>
    <cellStyle name="Normal 2 7 10 3 2 2" xfId="31299"/>
    <cellStyle name="Normal 2 7 10 3 2 2 2" xfId="31300"/>
    <cellStyle name="Normal 2 7 10 3 2 2 3" xfId="31301"/>
    <cellStyle name="Normal 2 7 10 3 2 3" xfId="31302"/>
    <cellStyle name="Normal 2 7 10 3 2 4" xfId="31303"/>
    <cellStyle name="Normal 2 7 10 3 2 5" xfId="31304"/>
    <cellStyle name="Normal 2 7 10 3 2 6" xfId="31305"/>
    <cellStyle name="Normal 2 7 10 3 3" xfId="31306"/>
    <cellStyle name="Normal 2 7 10 3 3 2" xfId="31307"/>
    <cellStyle name="Normal 2 7 10 3 3 2 2" xfId="31308"/>
    <cellStyle name="Normal 2 7 10 3 3 3" xfId="31309"/>
    <cellStyle name="Normal 2 7 10 3 3 4" xfId="31310"/>
    <cellStyle name="Normal 2 7 10 3 3 5" xfId="31311"/>
    <cellStyle name="Normal 2 7 10 3 4" xfId="31312"/>
    <cellStyle name="Normal 2 7 10 3 4 2" xfId="31313"/>
    <cellStyle name="Normal 2 7 10 3 4 3" xfId="31314"/>
    <cellStyle name="Normal 2 7 10 3 4 4" xfId="31315"/>
    <cellStyle name="Normal 2 7 10 3 5" xfId="31316"/>
    <cellStyle name="Normal 2 7 10 3 5 2" xfId="31317"/>
    <cellStyle name="Normal 2 7 10 3 6" xfId="31318"/>
    <cellStyle name="Normal 2 7 10 3 7" xfId="31319"/>
    <cellStyle name="Normal 2 7 10 3 8" xfId="31320"/>
    <cellStyle name="Normal 2 7 10 3 9" xfId="31321"/>
    <cellStyle name="Normal 2 7 10 4" xfId="31322"/>
    <cellStyle name="Normal 2 7 10 4 2" xfId="31323"/>
    <cellStyle name="Normal 2 7 10 4 2 2" xfId="31324"/>
    <cellStyle name="Normal 2 7 10 4 2 3" xfId="31325"/>
    <cellStyle name="Normal 2 7 10 4 3" xfId="31326"/>
    <cellStyle name="Normal 2 7 10 4 4" xfId="31327"/>
    <cellStyle name="Normal 2 7 10 4 5" xfId="31328"/>
    <cellStyle name="Normal 2 7 10 4 6" xfId="31329"/>
    <cellStyle name="Normal 2 7 10 5" xfId="31330"/>
    <cellStyle name="Normal 2 7 10 5 2" xfId="31331"/>
    <cellStyle name="Normal 2 7 10 5 2 2" xfId="31332"/>
    <cellStyle name="Normal 2 7 10 5 3" xfId="31333"/>
    <cellStyle name="Normal 2 7 10 5 4" xfId="31334"/>
    <cellStyle name="Normal 2 7 10 5 5" xfId="31335"/>
    <cellStyle name="Normal 2 7 10 6" xfId="31336"/>
    <cellStyle name="Normal 2 7 10 6 2" xfId="31337"/>
    <cellStyle name="Normal 2 7 10 6 3" xfId="31338"/>
    <cellStyle name="Normal 2 7 10 6 4" xfId="31339"/>
    <cellStyle name="Normal 2 7 10 7" xfId="31340"/>
    <cellStyle name="Normal 2 7 10 7 2" xfId="31341"/>
    <cellStyle name="Normal 2 7 10 8" xfId="31342"/>
    <cellStyle name="Normal 2 7 10 9" xfId="31343"/>
    <cellStyle name="Normal 2 7 11" xfId="31344"/>
    <cellStyle name="Normal 2 7 11 10" xfId="31345"/>
    <cellStyle name="Normal 2 7 11 2" xfId="31346"/>
    <cellStyle name="Normal 2 7 11 2 2" xfId="31347"/>
    <cellStyle name="Normal 2 7 11 2 2 2" xfId="31348"/>
    <cellStyle name="Normal 2 7 11 2 2 3" xfId="31349"/>
    <cellStyle name="Normal 2 7 11 2 3" xfId="31350"/>
    <cellStyle name="Normal 2 7 11 2 4" xfId="31351"/>
    <cellStyle name="Normal 2 7 11 2 5" xfId="31352"/>
    <cellStyle name="Normal 2 7 11 2 6" xfId="31353"/>
    <cellStyle name="Normal 2 7 11 3" xfId="31354"/>
    <cellStyle name="Normal 2 7 11 3 2" xfId="31355"/>
    <cellStyle name="Normal 2 7 11 3 2 2" xfId="31356"/>
    <cellStyle name="Normal 2 7 11 3 2 3" xfId="31357"/>
    <cellStyle name="Normal 2 7 11 3 3" xfId="31358"/>
    <cellStyle name="Normal 2 7 11 3 4" xfId="31359"/>
    <cellStyle name="Normal 2 7 11 3 5" xfId="31360"/>
    <cellStyle name="Normal 2 7 11 3 6" xfId="31361"/>
    <cellStyle name="Normal 2 7 11 4" xfId="31362"/>
    <cellStyle name="Normal 2 7 11 4 2" xfId="31363"/>
    <cellStyle name="Normal 2 7 11 4 2 2" xfId="31364"/>
    <cellStyle name="Normal 2 7 11 4 3" xfId="31365"/>
    <cellStyle name="Normal 2 7 11 4 4" xfId="31366"/>
    <cellStyle name="Normal 2 7 11 4 5" xfId="31367"/>
    <cellStyle name="Normal 2 7 11 5" xfId="31368"/>
    <cellStyle name="Normal 2 7 11 5 2" xfId="31369"/>
    <cellStyle name="Normal 2 7 11 5 3" xfId="31370"/>
    <cellStyle name="Normal 2 7 11 5 4" xfId="31371"/>
    <cellStyle name="Normal 2 7 11 6" xfId="31372"/>
    <cellStyle name="Normal 2 7 11 6 2" xfId="31373"/>
    <cellStyle name="Normal 2 7 11 7" xfId="31374"/>
    <cellStyle name="Normal 2 7 11 8" xfId="31375"/>
    <cellStyle name="Normal 2 7 11 9" xfId="31376"/>
    <cellStyle name="Normal 2 7 12" xfId="31377"/>
    <cellStyle name="Normal 2 7 12 10" xfId="31378"/>
    <cellStyle name="Normal 2 7 12 2" xfId="31379"/>
    <cellStyle name="Normal 2 7 12 2 2" xfId="31380"/>
    <cellStyle name="Normal 2 7 12 2 2 2" xfId="31381"/>
    <cellStyle name="Normal 2 7 12 2 2 3" xfId="31382"/>
    <cellStyle name="Normal 2 7 12 2 3" xfId="31383"/>
    <cellStyle name="Normal 2 7 12 2 4" xfId="31384"/>
    <cellStyle name="Normal 2 7 12 2 5" xfId="31385"/>
    <cellStyle name="Normal 2 7 12 2 6" xfId="31386"/>
    <cellStyle name="Normal 2 7 12 3" xfId="31387"/>
    <cellStyle name="Normal 2 7 12 3 2" xfId="31388"/>
    <cellStyle name="Normal 2 7 12 3 2 2" xfId="31389"/>
    <cellStyle name="Normal 2 7 12 3 2 3" xfId="31390"/>
    <cellStyle name="Normal 2 7 12 3 3" xfId="31391"/>
    <cellStyle name="Normal 2 7 12 3 4" xfId="31392"/>
    <cellStyle name="Normal 2 7 12 3 5" xfId="31393"/>
    <cellStyle name="Normal 2 7 12 3 6" xfId="31394"/>
    <cellStyle name="Normal 2 7 12 4" xfId="31395"/>
    <cellStyle name="Normal 2 7 12 4 2" xfId="31396"/>
    <cellStyle name="Normal 2 7 12 4 2 2" xfId="31397"/>
    <cellStyle name="Normal 2 7 12 4 3" xfId="31398"/>
    <cellStyle name="Normal 2 7 12 4 4" xfId="31399"/>
    <cellStyle name="Normal 2 7 12 4 5" xfId="31400"/>
    <cellStyle name="Normal 2 7 12 5" xfId="31401"/>
    <cellStyle name="Normal 2 7 12 5 2" xfId="31402"/>
    <cellStyle name="Normal 2 7 12 5 3" xfId="31403"/>
    <cellStyle name="Normal 2 7 12 5 4" xfId="31404"/>
    <cellStyle name="Normal 2 7 12 6" xfId="31405"/>
    <cellStyle name="Normal 2 7 12 6 2" xfId="31406"/>
    <cellStyle name="Normal 2 7 12 7" xfId="31407"/>
    <cellStyle name="Normal 2 7 12 8" xfId="31408"/>
    <cellStyle name="Normal 2 7 12 9" xfId="31409"/>
    <cellStyle name="Normal 2 7 13" xfId="31410"/>
    <cellStyle name="Normal 2 7 13 10" xfId="31411"/>
    <cellStyle name="Normal 2 7 13 2" xfId="31412"/>
    <cellStyle name="Normal 2 7 13 2 2" xfId="31413"/>
    <cellStyle name="Normal 2 7 13 2 2 2" xfId="31414"/>
    <cellStyle name="Normal 2 7 13 2 2 3" xfId="31415"/>
    <cellStyle name="Normal 2 7 13 2 3" xfId="31416"/>
    <cellStyle name="Normal 2 7 13 2 4" xfId="31417"/>
    <cellStyle name="Normal 2 7 13 2 5" xfId="31418"/>
    <cellStyle name="Normal 2 7 13 2 6" xfId="31419"/>
    <cellStyle name="Normal 2 7 13 3" xfId="31420"/>
    <cellStyle name="Normal 2 7 13 3 2" xfId="31421"/>
    <cellStyle name="Normal 2 7 13 3 2 2" xfId="31422"/>
    <cellStyle name="Normal 2 7 13 3 2 3" xfId="31423"/>
    <cellStyle name="Normal 2 7 13 3 3" xfId="31424"/>
    <cellStyle name="Normal 2 7 13 3 4" xfId="31425"/>
    <cellStyle name="Normal 2 7 13 3 5" xfId="31426"/>
    <cellStyle name="Normal 2 7 13 3 6" xfId="31427"/>
    <cellStyle name="Normal 2 7 13 4" xfId="31428"/>
    <cellStyle name="Normal 2 7 13 4 2" xfId="31429"/>
    <cellStyle name="Normal 2 7 13 4 2 2" xfId="31430"/>
    <cellStyle name="Normal 2 7 13 4 3" xfId="31431"/>
    <cellStyle name="Normal 2 7 13 4 4" xfId="31432"/>
    <cellStyle name="Normal 2 7 13 4 5" xfId="31433"/>
    <cellStyle name="Normal 2 7 13 5" xfId="31434"/>
    <cellStyle name="Normal 2 7 13 5 2" xfId="31435"/>
    <cellStyle name="Normal 2 7 13 5 3" xfId="31436"/>
    <cellStyle name="Normal 2 7 13 5 4" xfId="31437"/>
    <cellStyle name="Normal 2 7 13 6" xfId="31438"/>
    <cellStyle name="Normal 2 7 13 6 2" xfId="31439"/>
    <cellStyle name="Normal 2 7 13 7" xfId="31440"/>
    <cellStyle name="Normal 2 7 13 8" xfId="31441"/>
    <cellStyle name="Normal 2 7 13 9" xfId="31442"/>
    <cellStyle name="Normal 2 7 14" xfId="31443"/>
    <cellStyle name="Normal 2 7 14 10" xfId="31444"/>
    <cellStyle name="Normal 2 7 14 2" xfId="31445"/>
    <cellStyle name="Normal 2 7 14 2 2" xfId="31446"/>
    <cellStyle name="Normal 2 7 14 2 2 2" xfId="31447"/>
    <cellStyle name="Normal 2 7 14 2 2 3" xfId="31448"/>
    <cellStyle name="Normal 2 7 14 2 3" xfId="31449"/>
    <cellStyle name="Normal 2 7 14 2 4" xfId="31450"/>
    <cellStyle name="Normal 2 7 14 2 5" xfId="31451"/>
    <cellStyle name="Normal 2 7 14 2 6" xfId="31452"/>
    <cellStyle name="Normal 2 7 14 3" xfId="31453"/>
    <cellStyle name="Normal 2 7 14 3 2" xfId="31454"/>
    <cellStyle name="Normal 2 7 14 3 2 2" xfId="31455"/>
    <cellStyle name="Normal 2 7 14 3 2 3" xfId="31456"/>
    <cellStyle name="Normal 2 7 14 3 3" xfId="31457"/>
    <cellStyle name="Normal 2 7 14 3 4" xfId="31458"/>
    <cellStyle name="Normal 2 7 14 3 5" xfId="31459"/>
    <cellStyle name="Normal 2 7 14 3 6" xfId="31460"/>
    <cellStyle name="Normal 2 7 14 4" xfId="31461"/>
    <cellStyle name="Normal 2 7 14 4 2" xfId="31462"/>
    <cellStyle name="Normal 2 7 14 4 2 2" xfId="31463"/>
    <cellStyle name="Normal 2 7 14 4 3" xfId="31464"/>
    <cellStyle name="Normal 2 7 14 4 4" xfId="31465"/>
    <cellStyle name="Normal 2 7 14 4 5" xfId="31466"/>
    <cellStyle name="Normal 2 7 14 5" xfId="31467"/>
    <cellStyle name="Normal 2 7 14 5 2" xfId="31468"/>
    <cellStyle name="Normal 2 7 14 5 3" xfId="31469"/>
    <cellStyle name="Normal 2 7 14 5 4" xfId="31470"/>
    <cellStyle name="Normal 2 7 14 6" xfId="31471"/>
    <cellStyle name="Normal 2 7 14 6 2" xfId="31472"/>
    <cellStyle name="Normal 2 7 14 7" xfId="31473"/>
    <cellStyle name="Normal 2 7 14 8" xfId="31474"/>
    <cellStyle name="Normal 2 7 14 9" xfId="31475"/>
    <cellStyle name="Normal 2 7 15" xfId="31476"/>
    <cellStyle name="Normal 2 7 15 10" xfId="31477"/>
    <cellStyle name="Normal 2 7 15 2" xfId="31478"/>
    <cellStyle name="Normal 2 7 15 2 2" xfId="31479"/>
    <cellStyle name="Normal 2 7 15 2 2 2" xfId="31480"/>
    <cellStyle name="Normal 2 7 15 2 2 3" xfId="31481"/>
    <cellStyle name="Normal 2 7 15 2 3" xfId="31482"/>
    <cellStyle name="Normal 2 7 15 2 4" xfId="31483"/>
    <cellStyle name="Normal 2 7 15 2 5" xfId="31484"/>
    <cellStyle name="Normal 2 7 15 2 6" xfId="31485"/>
    <cellStyle name="Normal 2 7 15 3" xfId="31486"/>
    <cellStyle name="Normal 2 7 15 3 2" xfId="31487"/>
    <cellStyle name="Normal 2 7 15 3 2 2" xfId="31488"/>
    <cellStyle name="Normal 2 7 15 3 2 3" xfId="31489"/>
    <cellStyle name="Normal 2 7 15 3 3" xfId="31490"/>
    <cellStyle name="Normal 2 7 15 3 4" xfId="31491"/>
    <cellStyle name="Normal 2 7 15 3 5" xfId="31492"/>
    <cellStyle name="Normal 2 7 15 3 6" xfId="31493"/>
    <cellStyle name="Normal 2 7 15 4" xfId="31494"/>
    <cellStyle name="Normal 2 7 15 4 2" xfId="31495"/>
    <cellStyle name="Normal 2 7 15 4 2 2" xfId="31496"/>
    <cellStyle name="Normal 2 7 15 4 3" xfId="31497"/>
    <cellStyle name="Normal 2 7 15 4 4" xfId="31498"/>
    <cellStyle name="Normal 2 7 15 4 5" xfId="31499"/>
    <cellStyle name="Normal 2 7 15 5" xfId="31500"/>
    <cellStyle name="Normal 2 7 15 5 2" xfId="31501"/>
    <cellStyle name="Normal 2 7 15 5 3" xfId="31502"/>
    <cellStyle name="Normal 2 7 15 5 4" xfId="31503"/>
    <cellStyle name="Normal 2 7 15 6" xfId="31504"/>
    <cellStyle name="Normal 2 7 15 6 2" xfId="31505"/>
    <cellStyle name="Normal 2 7 15 7" xfId="31506"/>
    <cellStyle name="Normal 2 7 15 8" xfId="31507"/>
    <cellStyle name="Normal 2 7 15 9" xfId="31508"/>
    <cellStyle name="Normal 2 7 16" xfId="31509"/>
    <cellStyle name="Normal 2 7 16 10" xfId="31510"/>
    <cellStyle name="Normal 2 7 16 2" xfId="31511"/>
    <cellStyle name="Normal 2 7 16 2 2" xfId="31512"/>
    <cellStyle name="Normal 2 7 16 2 2 2" xfId="31513"/>
    <cellStyle name="Normal 2 7 16 2 2 3" xfId="31514"/>
    <cellStyle name="Normal 2 7 16 2 3" xfId="31515"/>
    <cellStyle name="Normal 2 7 16 2 4" xfId="31516"/>
    <cellStyle name="Normal 2 7 16 2 5" xfId="31517"/>
    <cellStyle name="Normal 2 7 16 2 6" xfId="31518"/>
    <cellStyle name="Normal 2 7 16 3" xfId="31519"/>
    <cellStyle name="Normal 2 7 16 3 2" xfId="31520"/>
    <cellStyle name="Normal 2 7 16 3 2 2" xfId="31521"/>
    <cellStyle name="Normal 2 7 16 3 2 3" xfId="31522"/>
    <cellStyle name="Normal 2 7 16 3 3" xfId="31523"/>
    <cellStyle name="Normal 2 7 16 3 4" xfId="31524"/>
    <cellStyle name="Normal 2 7 16 3 5" xfId="31525"/>
    <cellStyle name="Normal 2 7 16 3 6" xfId="31526"/>
    <cellStyle name="Normal 2 7 16 4" xfId="31527"/>
    <cellStyle name="Normal 2 7 16 4 2" xfId="31528"/>
    <cellStyle name="Normal 2 7 16 4 2 2" xfId="31529"/>
    <cellStyle name="Normal 2 7 16 4 3" xfId="31530"/>
    <cellStyle name="Normal 2 7 16 4 4" xfId="31531"/>
    <cellStyle name="Normal 2 7 16 4 5" xfId="31532"/>
    <cellStyle name="Normal 2 7 16 5" xfId="31533"/>
    <cellStyle name="Normal 2 7 16 5 2" xfId="31534"/>
    <cellStyle name="Normal 2 7 16 5 3" xfId="31535"/>
    <cellStyle name="Normal 2 7 16 5 4" xfId="31536"/>
    <cellStyle name="Normal 2 7 16 6" xfId="31537"/>
    <cellStyle name="Normal 2 7 16 6 2" xfId="31538"/>
    <cellStyle name="Normal 2 7 16 7" xfId="31539"/>
    <cellStyle name="Normal 2 7 16 8" xfId="31540"/>
    <cellStyle name="Normal 2 7 16 9" xfId="31541"/>
    <cellStyle name="Normal 2 7 17" xfId="31542"/>
    <cellStyle name="Normal 2 7 17 10" xfId="31543"/>
    <cellStyle name="Normal 2 7 17 2" xfId="31544"/>
    <cellStyle name="Normal 2 7 17 2 2" xfId="31545"/>
    <cellStyle name="Normal 2 7 17 2 2 2" xfId="31546"/>
    <cellStyle name="Normal 2 7 17 2 2 3" xfId="31547"/>
    <cellStyle name="Normal 2 7 17 2 3" xfId="31548"/>
    <cellStyle name="Normal 2 7 17 2 4" xfId="31549"/>
    <cellStyle name="Normal 2 7 17 2 5" xfId="31550"/>
    <cellStyle name="Normal 2 7 17 2 6" xfId="31551"/>
    <cellStyle name="Normal 2 7 17 3" xfId="31552"/>
    <cellStyle name="Normal 2 7 17 3 2" xfId="31553"/>
    <cellStyle name="Normal 2 7 17 3 2 2" xfId="31554"/>
    <cellStyle name="Normal 2 7 17 3 2 3" xfId="31555"/>
    <cellStyle name="Normal 2 7 17 3 3" xfId="31556"/>
    <cellStyle name="Normal 2 7 17 3 4" xfId="31557"/>
    <cellStyle name="Normal 2 7 17 3 5" xfId="31558"/>
    <cellStyle name="Normal 2 7 17 3 6" xfId="31559"/>
    <cellStyle name="Normal 2 7 17 4" xfId="31560"/>
    <cellStyle name="Normal 2 7 17 4 2" xfId="31561"/>
    <cellStyle name="Normal 2 7 17 4 2 2" xfId="31562"/>
    <cellStyle name="Normal 2 7 17 4 3" xfId="31563"/>
    <cellStyle name="Normal 2 7 17 4 4" xfId="31564"/>
    <cellStyle name="Normal 2 7 17 4 5" xfId="31565"/>
    <cellStyle name="Normal 2 7 17 5" xfId="31566"/>
    <cellStyle name="Normal 2 7 17 5 2" xfId="31567"/>
    <cellStyle name="Normal 2 7 17 5 3" xfId="31568"/>
    <cellStyle name="Normal 2 7 17 5 4" xfId="31569"/>
    <cellStyle name="Normal 2 7 17 6" xfId="31570"/>
    <cellStyle name="Normal 2 7 17 6 2" xfId="31571"/>
    <cellStyle name="Normal 2 7 17 7" xfId="31572"/>
    <cellStyle name="Normal 2 7 17 8" xfId="31573"/>
    <cellStyle name="Normal 2 7 17 9" xfId="31574"/>
    <cellStyle name="Normal 2 7 18" xfId="31575"/>
    <cellStyle name="Normal 2 7 18 10" xfId="31576"/>
    <cellStyle name="Normal 2 7 18 2" xfId="31577"/>
    <cellStyle name="Normal 2 7 18 2 2" xfId="31578"/>
    <cellStyle name="Normal 2 7 18 2 2 2" xfId="31579"/>
    <cellStyle name="Normal 2 7 18 2 2 3" xfId="31580"/>
    <cellStyle name="Normal 2 7 18 2 3" xfId="31581"/>
    <cellStyle name="Normal 2 7 18 2 4" xfId="31582"/>
    <cellStyle name="Normal 2 7 18 2 5" xfId="31583"/>
    <cellStyle name="Normal 2 7 18 2 6" xfId="31584"/>
    <cellStyle name="Normal 2 7 18 3" xfId="31585"/>
    <cellStyle name="Normal 2 7 18 3 2" xfId="31586"/>
    <cellStyle name="Normal 2 7 18 3 2 2" xfId="31587"/>
    <cellStyle name="Normal 2 7 18 3 2 3" xfId="31588"/>
    <cellStyle name="Normal 2 7 18 3 3" xfId="31589"/>
    <cellStyle name="Normal 2 7 18 3 4" xfId="31590"/>
    <cellStyle name="Normal 2 7 18 3 5" xfId="31591"/>
    <cellStyle name="Normal 2 7 18 3 6" xfId="31592"/>
    <cellStyle name="Normal 2 7 18 4" xfId="31593"/>
    <cellStyle name="Normal 2 7 18 4 2" xfId="31594"/>
    <cellStyle name="Normal 2 7 18 4 2 2" xfId="31595"/>
    <cellStyle name="Normal 2 7 18 4 3" xfId="31596"/>
    <cellStyle name="Normal 2 7 18 4 4" xfId="31597"/>
    <cellStyle name="Normal 2 7 18 4 5" xfId="31598"/>
    <cellStyle name="Normal 2 7 18 5" xfId="31599"/>
    <cellStyle name="Normal 2 7 18 5 2" xfId="31600"/>
    <cellStyle name="Normal 2 7 18 5 3" xfId="31601"/>
    <cellStyle name="Normal 2 7 18 5 4" xfId="31602"/>
    <cellStyle name="Normal 2 7 18 6" xfId="31603"/>
    <cellStyle name="Normal 2 7 18 6 2" xfId="31604"/>
    <cellStyle name="Normal 2 7 18 7" xfId="31605"/>
    <cellStyle name="Normal 2 7 18 8" xfId="31606"/>
    <cellStyle name="Normal 2 7 18 9" xfId="31607"/>
    <cellStyle name="Normal 2 7 19" xfId="31608"/>
    <cellStyle name="Normal 2 7 19 10" xfId="31609"/>
    <cellStyle name="Normal 2 7 19 2" xfId="31610"/>
    <cellStyle name="Normal 2 7 19 2 2" xfId="31611"/>
    <cellStyle name="Normal 2 7 19 2 2 2" xfId="31612"/>
    <cellStyle name="Normal 2 7 19 2 2 3" xfId="31613"/>
    <cellStyle name="Normal 2 7 19 2 3" xfId="31614"/>
    <cellStyle name="Normal 2 7 19 2 4" xfId="31615"/>
    <cellStyle name="Normal 2 7 19 2 5" xfId="31616"/>
    <cellStyle name="Normal 2 7 19 2 6" xfId="31617"/>
    <cellStyle name="Normal 2 7 19 3" xfId="31618"/>
    <cellStyle name="Normal 2 7 19 3 2" xfId="31619"/>
    <cellStyle name="Normal 2 7 19 3 2 2" xfId="31620"/>
    <cellStyle name="Normal 2 7 19 3 2 3" xfId="31621"/>
    <cellStyle name="Normal 2 7 19 3 3" xfId="31622"/>
    <cellStyle name="Normal 2 7 19 3 4" xfId="31623"/>
    <cellStyle name="Normal 2 7 19 3 5" xfId="31624"/>
    <cellStyle name="Normal 2 7 19 3 6" xfId="31625"/>
    <cellStyle name="Normal 2 7 19 4" xfId="31626"/>
    <cellStyle name="Normal 2 7 19 4 2" xfId="31627"/>
    <cellStyle name="Normal 2 7 19 4 2 2" xfId="31628"/>
    <cellStyle name="Normal 2 7 19 4 3" xfId="31629"/>
    <cellStyle name="Normal 2 7 19 4 4" xfId="31630"/>
    <cellStyle name="Normal 2 7 19 4 5" xfId="31631"/>
    <cellStyle name="Normal 2 7 19 5" xfId="31632"/>
    <cellStyle name="Normal 2 7 19 5 2" xfId="31633"/>
    <cellStyle name="Normal 2 7 19 5 3" xfId="31634"/>
    <cellStyle name="Normal 2 7 19 5 4" xfId="31635"/>
    <cellStyle name="Normal 2 7 19 6" xfId="31636"/>
    <cellStyle name="Normal 2 7 19 6 2" xfId="31637"/>
    <cellStyle name="Normal 2 7 19 7" xfId="31638"/>
    <cellStyle name="Normal 2 7 19 8" xfId="31639"/>
    <cellStyle name="Normal 2 7 19 9" xfId="31640"/>
    <cellStyle name="Normal 2 7 2" xfId="31641"/>
    <cellStyle name="Normal 2 7 2 10" xfId="31642"/>
    <cellStyle name="Normal 2 7 2 10 10" xfId="31643"/>
    <cellStyle name="Normal 2 7 2 10 2" xfId="31644"/>
    <cellStyle name="Normal 2 7 2 10 2 2" xfId="31645"/>
    <cellStyle name="Normal 2 7 2 10 2 2 2" xfId="31646"/>
    <cellStyle name="Normal 2 7 2 10 2 2 3" xfId="31647"/>
    <cellStyle name="Normal 2 7 2 10 2 3" xfId="31648"/>
    <cellStyle name="Normal 2 7 2 10 2 4" xfId="31649"/>
    <cellStyle name="Normal 2 7 2 10 2 5" xfId="31650"/>
    <cellStyle name="Normal 2 7 2 10 2 6" xfId="31651"/>
    <cellStyle name="Normal 2 7 2 10 3" xfId="31652"/>
    <cellStyle name="Normal 2 7 2 10 3 2" xfId="31653"/>
    <cellStyle name="Normal 2 7 2 10 3 2 2" xfId="31654"/>
    <cellStyle name="Normal 2 7 2 10 3 2 3" xfId="31655"/>
    <cellStyle name="Normal 2 7 2 10 3 3" xfId="31656"/>
    <cellStyle name="Normal 2 7 2 10 3 4" xfId="31657"/>
    <cellStyle name="Normal 2 7 2 10 3 5" xfId="31658"/>
    <cellStyle name="Normal 2 7 2 10 3 6" xfId="31659"/>
    <cellStyle name="Normal 2 7 2 10 4" xfId="31660"/>
    <cellStyle name="Normal 2 7 2 10 4 2" xfId="31661"/>
    <cellStyle name="Normal 2 7 2 10 4 2 2" xfId="31662"/>
    <cellStyle name="Normal 2 7 2 10 4 3" xfId="31663"/>
    <cellStyle name="Normal 2 7 2 10 4 4" xfId="31664"/>
    <cellStyle name="Normal 2 7 2 10 4 5" xfId="31665"/>
    <cellStyle name="Normal 2 7 2 10 5" xfId="31666"/>
    <cellStyle name="Normal 2 7 2 10 5 2" xfId="31667"/>
    <cellStyle name="Normal 2 7 2 10 5 3" xfId="31668"/>
    <cellStyle name="Normal 2 7 2 10 5 4" xfId="31669"/>
    <cellStyle name="Normal 2 7 2 10 6" xfId="31670"/>
    <cellStyle name="Normal 2 7 2 10 6 2" xfId="31671"/>
    <cellStyle name="Normal 2 7 2 10 7" xfId="31672"/>
    <cellStyle name="Normal 2 7 2 10 8" xfId="31673"/>
    <cellStyle name="Normal 2 7 2 10 9" xfId="31674"/>
    <cellStyle name="Normal 2 7 2 11" xfId="31675"/>
    <cellStyle name="Normal 2 7 2 11 10" xfId="31676"/>
    <cellStyle name="Normal 2 7 2 11 2" xfId="31677"/>
    <cellStyle name="Normal 2 7 2 11 2 2" xfId="31678"/>
    <cellStyle name="Normal 2 7 2 11 2 2 2" xfId="31679"/>
    <cellStyle name="Normal 2 7 2 11 2 2 3" xfId="31680"/>
    <cellStyle name="Normal 2 7 2 11 2 3" xfId="31681"/>
    <cellStyle name="Normal 2 7 2 11 2 4" xfId="31682"/>
    <cellStyle name="Normal 2 7 2 11 2 5" xfId="31683"/>
    <cellStyle name="Normal 2 7 2 11 2 6" xfId="31684"/>
    <cellStyle name="Normal 2 7 2 11 3" xfId="31685"/>
    <cellStyle name="Normal 2 7 2 11 3 2" xfId="31686"/>
    <cellStyle name="Normal 2 7 2 11 3 2 2" xfId="31687"/>
    <cellStyle name="Normal 2 7 2 11 3 2 3" xfId="31688"/>
    <cellStyle name="Normal 2 7 2 11 3 3" xfId="31689"/>
    <cellStyle name="Normal 2 7 2 11 3 4" xfId="31690"/>
    <cellStyle name="Normal 2 7 2 11 3 5" xfId="31691"/>
    <cellStyle name="Normal 2 7 2 11 3 6" xfId="31692"/>
    <cellStyle name="Normal 2 7 2 11 4" xfId="31693"/>
    <cellStyle name="Normal 2 7 2 11 4 2" xfId="31694"/>
    <cellStyle name="Normal 2 7 2 11 4 2 2" xfId="31695"/>
    <cellStyle name="Normal 2 7 2 11 4 3" xfId="31696"/>
    <cellStyle name="Normal 2 7 2 11 4 4" xfId="31697"/>
    <cellStyle name="Normal 2 7 2 11 4 5" xfId="31698"/>
    <cellStyle name="Normal 2 7 2 11 5" xfId="31699"/>
    <cellStyle name="Normal 2 7 2 11 5 2" xfId="31700"/>
    <cellStyle name="Normal 2 7 2 11 5 3" xfId="31701"/>
    <cellStyle name="Normal 2 7 2 11 5 4" xfId="31702"/>
    <cellStyle name="Normal 2 7 2 11 6" xfId="31703"/>
    <cellStyle name="Normal 2 7 2 11 6 2" xfId="31704"/>
    <cellStyle name="Normal 2 7 2 11 7" xfId="31705"/>
    <cellStyle name="Normal 2 7 2 11 8" xfId="31706"/>
    <cellStyle name="Normal 2 7 2 11 9" xfId="31707"/>
    <cellStyle name="Normal 2 7 2 12" xfId="31708"/>
    <cellStyle name="Normal 2 7 2 12 10" xfId="31709"/>
    <cellStyle name="Normal 2 7 2 12 2" xfId="31710"/>
    <cellStyle name="Normal 2 7 2 12 2 2" xfId="31711"/>
    <cellStyle name="Normal 2 7 2 12 2 2 2" xfId="31712"/>
    <cellStyle name="Normal 2 7 2 12 2 2 3" xfId="31713"/>
    <cellStyle name="Normal 2 7 2 12 2 3" xfId="31714"/>
    <cellStyle name="Normal 2 7 2 12 2 4" xfId="31715"/>
    <cellStyle name="Normal 2 7 2 12 2 5" xfId="31716"/>
    <cellStyle name="Normal 2 7 2 12 2 6" xfId="31717"/>
    <cellStyle name="Normal 2 7 2 12 3" xfId="31718"/>
    <cellStyle name="Normal 2 7 2 12 3 2" xfId="31719"/>
    <cellStyle name="Normal 2 7 2 12 3 2 2" xfId="31720"/>
    <cellStyle name="Normal 2 7 2 12 3 2 3" xfId="31721"/>
    <cellStyle name="Normal 2 7 2 12 3 3" xfId="31722"/>
    <cellStyle name="Normal 2 7 2 12 3 4" xfId="31723"/>
    <cellStyle name="Normal 2 7 2 12 3 5" xfId="31724"/>
    <cellStyle name="Normal 2 7 2 12 3 6" xfId="31725"/>
    <cellStyle name="Normal 2 7 2 12 4" xfId="31726"/>
    <cellStyle name="Normal 2 7 2 12 4 2" xfId="31727"/>
    <cellStyle name="Normal 2 7 2 12 4 2 2" xfId="31728"/>
    <cellStyle name="Normal 2 7 2 12 4 3" xfId="31729"/>
    <cellStyle name="Normal 2 7 2 12 4 4" xfId="31730"/>
    <cellStyle name="Normal 2 7 2 12 4 5" xfId="31731"/>
    <cellStyle name="Normal 2 7 2 12 5" xfId="31732"/>
    <cellStyle name="Normal 2 7 2 12 5 2" xfId="31733"/>
    <cellStyle name="Normal 2 7 2 12 5 3" xfId="31734"/>
    <cellStyle name="Normal 2 7 2 12 5 4" xfId="31735"/>
    <cellStyle name="Normal 2 7 2 12 6" xfId="31736"/>
    <cellStyle name="Normal 2 7 2 12 6 2" xfId="31737"/>
    <cellStyle name="Normal 2 7 2 12 7" xfId="31738"/>
    <cellStyle name="Normal 2 7 2 12 8" xfId="31739"/>
    <cellStyle name="Normal 2 7 2 12 9" xfId="31740"/>
    <cellStyle name="Normal 2 7 2 13" xfId="31741"/>
    <cellStyle name="Normal 2 7 2 13 2" xfId="31742"/>
    <cellStyle name="Normal 2 7 2 13 2 2" xfId="31743"/>
    <cellStyle name="Normal 2 7 2 13 2 2 2" xfId="31744"/>
    <cellStyle name="Normal 2 7 2 13 2 2 3" xfId="31745"/>
    <cellStyle name="Normal 2 7 2 13 2 3" xfId="31746"/>
    <cellStyle name="Normal 2 7 2 13 2 4" xfId="31747"/>
    <cellStyle name="Normal 2 7 2 13 2 5" xfId="31748"/>
    <cellStyle name="Normal 2 7 2 13 2 6" xfId="31749"/>
    <cellStyle name="Normal 2 7 2 13 3" xfId="31750"/>
    <cellStyle name="Normal 2 7 2 13 3 2" xfId="31751"/>
    <cellStyle name="Normal 2 7 2 13 3 2 2" xfId="31752"/>
    <cellStyle name="Normal 2 7 2 13 3 3" xfId="31753"/>
    <cellStyle name="Normal 2 7 2 13 3 4" xfId="31754"/>
    <cellStyle name="Normal 2 7 2 13 3 5" xfId="31755"/>
    <cellStyle name="Normal 2 7 2 13 4" xfId="31756"/>
    <cellStyle name="Normal 2 7 2 13 4 2" xfId="31757"/>
    <cellStyle name="Normal 2 7 2 13 4 3" xfId="31758"/>
    <cellStyle name="Normal 2 7 2 13 4 4" xfId="31759"/>
    <cellStyle name="Normal 2 7 2 13 5" xfId="31760"/>
    <cellStyle name="Normal 2 7 2 13 5 2" xfId="31761"/>
    <cellStyle name="Normal 2 7 2 13 6" xfId="31762"/>
    <cellStyle name="Normal 2 7 2 13 7" xfId="31763"/>
    <cellStyle name="Normal 2 7 2 13 8" xfId="31764"/>
    <cellStyle name="Normal 2 7 2 13 9" xfId="31765"/>
    <cellStyle name="Normal 2 7 2 14" xfId="31766"/>
    <cellStyle name="Normal 2 7 2 14 2" xfId="31767"/>
    <cellStyle name="Normal 2 7 2 14 2 2" xfId="31768"/>
    <cellStyle name="Normal 2 7 2 14 2 2 2" xfId="31769"/>
    <cellStyle name="Normal 2 7 2 14 2 2 3" xfId="31770"/>
    <cellStyle name="Normal 2 7 2 14 2 3" xfId="31771"/>
    <cellStyle name="Normal 2 7 2 14 2 4" xfId="31772"/>
    <cellStyle name="Normal 2 7 2 14 2 5" xfId="31773"/>
    <cellStyle name="Normal 2 7 2 14 2 6" xfId="31774"/>
    <cellStyle name="Normal 2 7 2 14 3" xfId="31775"/>
    <cellStyle name="Normal 2 7 2 14 3 2" xfId="31776"/>
    <cellStyle name="Normal 2 7 2 14 3 2 2" xfId="31777"/>
    <cellStyle name="Normal 2 7 2 14 3 3" xfId="31778"/>
    <cellStyle name="Normal 2 7 2 14 3 4" xfId="31779"/>
    <cellStyle name="Normal 2 7 2 14 3 5" xfId="31780"/>
    <cellStyle name="Normal 2 7 2 14 4" xfId="31781"/>
    <cellStyle name="Normal 2 7 2 14 4 2" xfId="31782"/>
    <cellStyle name="Normal 2 7 2 14 4 3" xfId="31783"/>
    <cellStyle name="Normal 2 7 2 14 4 4" xfId="31784"/>
    <cellStyle name="Normal 2 7 2 14 5" xfId="31785"/>
    <cellStyle name="Normal 2 7 2 14 5 2" xfId="31786"/>
    <cellStyle name="Normal 2 7 2 14 6" xfId="31787"/>
    <cellStyle name="Normal 2 7 2 14 7" xfId="31788"/>
    <cellStyle name="Normal 2 7 2 14 8" xfId="31789"/>
    <cellStyle name="Normal 2 7 2 14 9" xfId="31790"/>
    <cellStyle name="Normal 2 7 2 15" xfId="31791"/>
    <cellStyle name="Normal 2 7 2 15 2" xfId="31792"/>
    <cellStyle name="Normal 2 7 2 15 2 2" xfId="31793"/>
    <cellStyle name="Normal 2 7 2 15 2 3" xfId="31794"/>
    <cellStyle name="Normal 2 7 2 15 3" xfId="31795"/>
    <cellStyle name="Normal 2 7 2 15 4" xfId="31796"/>
    <cellStyle name="Normal 2 7 2 15 5" xfId="31797"/>
    <cellStyle name="Normal 2 7 2 15 6" xfId="31798"/>
    <cellStyle name="Normal 2 7 2 16" xfId="31799"/>
    <cellStyle name="Normal 2 7 2 16 2" xfId="31800"/>
    <cellStyle name="Normal 2 7 2 16 2 2" xfId="31801"/>
    <cellStyle name="Normal 2 7 2 16 3" xfId="31802"/>
    <cellStyle name="Normal 2 7 2 16 4" xfId="31803"/>
    <cellStyle name="Normal 2 7 2 16 5" xfId="31804"/>
    <cellStyle name="Normal 2 7 2 17" xfId="31805"/>
    <cellStyle name="Normal 2 7 2 17 2" xfId="31806"/>
    <cellStyle name="Normal 2 7 2 17 2 2" xfId="31807"/>
    <cellStyle name="Normal 2 7 2 17 3" xfId="31808"/>
    <cellStyle name="Normal 2 7 2 17 4" xfId="31809"/>
    <cellStyle name="Normal 2 7 2 17 5" xfId="31810"/>
    <cellStyle name="Normal 2 7 2 18" xfId="31811"/>
    <cellStyle name="Normal 2 7 2 18 2" xfId="31812"/>
    <cellStyle name="Normal 2 7 2 19" xfId="31813"/>
    <cellStyle name="Normal 2 7 2 2" xfId="31814"/>
    <cellStyle name="Normal 2 7 2 2 10" xfId="31815"/>
    <cellStyle name="Normal 2 7 2 2 11" xfId="31816"/>
    <cellStyle name="Normal 2 7 2 2 2" xfId="31817"/>
    <cellStyle name="Normal 2 7 2 2 2 2" xfId="31818"/>
    <cellStyle name="Normal 2 7 2 2 2 2 2" xfId="31819"/>
    <cellStyle name="Normal 2 7 2 2 2 2 2 2" xfId="31820"/>
    <cellStyle name="Normal 2 7 2 2 2 2 2 3" xfId="31821"/>
    <cellStyle name="Normal 2 7 2 2 2 2 3" xfId="31822"/>
    <cellStyle name="Normal 2 7 2 2 2 2 4" xfId="31823"/>
    <cellStyle name="Normal 2 7 2 2 2 2 5" xfId="31824"/>
    <cellStyle name="Normal 2 7 2 2 2 2 6" xfId="31825"/>
    <cellStyle name="Normal 2 7 2 2 2 3" xfId="31826"/>
    <cellStyle name="Normal 2 7 2 2 2 3 2" xfId="31827"/>
    <cellStyle name="Normal 2 7 2 2 2 3 2 2" xfId="31828"/>
    <cellStyle name="Normal 2 7 2 2 2 3 3" xfId="31829"/>
    <cellStyle name="Normal 2 7 2 2 2 3 4" xfId="31830"/>
    <cellStyle name="Normal 2 7 2 2 2 3 5" xfId="31831"/>
    <cellStyle name="Normal 2 7 2 2 2 4" xfId="31832"/>
    <cellStyle name="Normal 2 7 2 2 2 4 2" xfId="31833"/>
    <cellStyle name="Normal 2 7 2 2 2 4 3" xfId="31834"/>
    <cellStyle name="Normal 2 7 2 2 2 4 4" xfId="31835"/>
    <cellStyle name="Normal 2 7 2 2 2 5" xfId="31836"/>
    <cellStyle name="Normal 2 7 2 2 2 5 2" xfId="31837"/>
    <cellStyle name="Normal 2 7 2 2 2 6" xfId="31838"/>
    <cellStyle name="Normal 2 7 2 2 2 7" xfId="31839"/>
    <cellStyle name="Normal 2 7 2 2 2 8" xfId="31840"/>
    <cellStyle name="Normal 2 7 2 2 2 9" xfId="31841"/>
    <cellStyle name="Normal 2 7 2 2 3" xfId="31842"/>
    <cellStyle name="Normal 2 7 2 2 3 2" xfId="31843"/>
    <cellStyle name="Normal 2 7 2 2 3 2 2" xfId="31844"/>
    <cellStyle name="Normal 2 7 2 2 3 2 2 2" xfId="31845"/>
    <cellStyle name="Normal 2 7 2 2 3 2 2 3" xfId="31846"/>
    <cellStyle name="Normal 2 7 2 2 3 2 3" xfId="31847"/>
    <cellStyle name="Normal 2 7 2 2 3 2 4" xfId="31848"/>
    <cellStyle name="Normal 2 7 2 2 3 2 5" xfId="31849"/>
    <cellStyle name="Normal 2 7 2 2 3 2 6" xfId="31850"/>
    <cellStyle name="Normal 2 7 2 2 3 3" xfId="31851"/>
    <cellStyle name="Normal 2 7 2 2 3 3 2" xfId="31852"/>
    <cellStyle name="Normal 2 7 2 2 3 3 2 2" xfId="31853"/>
    <cellStyle name="Normal 2 7 2 2 3 3 3" xfId="31854"/>
    <cellStyle name="Normal 2 7 2 2 3 3 4" xfId="31855"/>
    <cellStyle name="Normal 2 7 2 2 3 3 5" xfId="31856"/>
    <cellStyle name="Normal 2 7 2 2 3 4" xfId="31857"/>
    <cellStyle name="Normal 2 7 2 2 3 4 2" xfId="31858"/>
    <cellStyle name="Normal 2 7 2 2 3 4 3" xfId="31859"/>
    <cellStyle name="Normal 2 7 2 2 3 4 4" xfId="31860"/>
    <cellStyle name="Normal 2 7 2 2 3 5" xfId="31861"/>
    <cellStyle name="Normal 2 7 2 2 3 5 2" xfId="31862"/>
    <cellStyle name="Normal 2 7 2 2 3 6" xfId="31863"/>
    <cellStyle name="Normal 2 7 2 2 3 7" xfId="31864"/>
    <cellStyle name="Normal 2 7 2 2 3 8" xfId="31865"/>
    <cellStyle name="Normal 2 7 2 2 3 9" xfId="31866"/>
    <cellStyle name="Normal 2 7 2 2 4" xfId="31867"/>
    <cellStyle name="Normal 2 7 2 2 4 2" xfId="31868"/>
    <cellStyle name="Normal 2 7 2 2 4 2 2" xfId="31869"/>
    <cellStyle name="Normal 2 7 2 2 4 2 3" xfId="31870"/>
    <cellStyle name="Normal 2 7 2 2 4 3" xfId="31871"/>
    <cellStyle name="Normal 2 7 2 2 4 4" xfId="31872"/>
    <cellStyle name="Normal 2 7 2 2 4 5" xfId="31873"/>
    <cellStyle name="Normal 2 7 2 2 4 6" xfId="31874"/>
    <cellStyle name="Normal 2 7 2 2 5" xfId="31875"/>
    <cellStyle name="Normal 2 7 2 2 5 2" xfId="31876"/>
    <cellStyle name="Normal 2 7 2 2 5 2 2" xfId="31877"/>
    <cellStyle name="Normal 2 7 2 2 5 3" xfId="31878"/>
    <cellStyle name="Normal 2 7 2 2 5 4" xfId="31879"/>
    <cellStyle name="Normal 2 7 2 2 5 5" xfId="31880"/>
    <cellStyle name="Normal 2 7 2 2 6" xfId="31881"/>
    <cellStyle name="Normal 2 7 2 2 6 2" xfId="31882"/>
    <cellStyle name="Normal 2 7 2 2 6 3" xfId="31883"/>
    <cellStyle name="Normal 2 7 2 2 6 4" xfId="31884"/>
    <cellStyle name="Normal 2 7 2 2 7" xfId="31885"/>
    <cellStyle name="Normal 2 7 2 2 7 2" xfId="31886"/>
    <cellStyle name="Normal 2 7 2 2 8" xfId="31887"/>
    <cellStyle name="Normal 2 7 2 2 9" xfId="31888"/>
    <cellStyle name="Normal 2 7 2 20" xfId="31889"/>
    <cellStyle name="Normal 2 7 2 21" xfId="31890"/>
    <cellStyle name="Normal 2 7 2 22" xfId="31891"/>
    <cellStyle name="Normal 2 7 2 3" xfId="31892"/>
    <cellStyle name="Normal 2 7 2 3 10" xfId="31893"/>
    <cellStyle name="Normal 2 7 2 3 11" xfId="31894"/>
    <cellStyle name="Normal 2 7 2 3 2" xfId="31895"/>
    <cellStyle name="Normal 2 7 2 3 2 2" xfId="31896"/>
    <cellStyle name="Normal 2 7 2 3 2 2 2" xfId="31897"/>
    <cellStyle name="Normal 2 7 2 3 2 2 2 2" xfId="31898"/>
    <cellStyle name="Normal 2 7 2 3 2 2 2 3" xfId="31899"/>
    <cellStyle name="Normal 2 7 2 3 2 2 3" xfId="31900"/>
    <cellStyle name="Normal 2 7 2 3 2 2 4" xfId="31901"/>
    <cellStyle name="Normal 2 7 2 3 2 2 5" xfId="31902"/>
    <cellStyle name="Normal 2 7 2 3 2 2 6" xfId="31903"/>
    <cellStyle name="Normal 2 7 2 3 2 3" xfId="31904"/>
    <cellStyle name="Normal 2 7 2 3 2 3 2" xfId="31905"/>
    <cellStyle name="Normal 2 7 2 3 2 3 2 2" xfId="31906"/>
    <cellStyle name="Normal 2 7 2 3 2 3 3" xfId="31907"/>
    <cellStyle name="Normal 2 7 2 3 2 3 4" xfId="31908"/>
    <cellStyle name="Normal 2 7 2 3 2 3 5" xfId="31909"/>
    <cellStyle name="Normal 2 7 2 3 2 4" xfId="31910"/>
    <cellStyle name="Normal 2 7 2 3 2 4 2" xfId="31911"/>
    <cellStyle name="Normal 2 7 2 3 2 4 3" xfId="31912"/>
    <cellStyle name="Normal 2 7 2 3 2 4 4" xfId="31913"/>
    <cellStyle name="Normal 2 7 2 3 2 5" xfId="31914"/>
    <cellStyle name="Normal 2 7 2 3 2 5 2" xfId="31915"/>
    <cellStyle name="Normal 2 7 2 3 2 6" xfId="31916"/>
    <cellStyle name="Normal 2 7 2 3 2 7" xfId="31917"/>
    <cellStyle name="Normal 2 7 2 3 2 8" xfId="31918"/>
    <cellStyle name="Normal 2 7 2 3 2 9" xfId="31919"/>
    <cellStyle name="Normal 2 7 2 3 3" xfId="31920"/>
    <cellStyle name="Normal 2 7 2 3 3 2" xfId="31921"/>
    <cellStyle name="Normal 2 7 2 3 3 2 2" xfId="31922"/>
    <cellStyle name="Normal 2 7 2 3 3 2 2 2" xfId="31923"/>
    <cellStyle name="Normal 2 7 2 3 3 2 2 3" xfId="31924"/>
    <cellStyle name="Normal 2 7 2 3 3 2 3" xfId="31925"/>
    <cellStyle name="Normal 2 7 2 3 3 2 4" xfId="31926"/>
    <cellStyle name="Normal 2 7 2 3 3 2 5" xfId="31927"/>
    <cellStyle name="Normal 2 7 2 3 3 2 6" xfId="31928"/>
    <cellStyle name="Normal 2 7 2 3 3 3" xfId="31929"/>
    <cellStyle name="Normal 2 7 2 3 3 3 2" xfId="31930"/>
    <cellStyle name="Normal 2 7 2 3 3 3 2 2" xfId="31931"/>
    <cellStyle name="Normal 2 7 2 3 3 3 3" xfId="31932"/>
    <cellStyle name="Normal 2 7 2 3 3 3 4" xfId="31933"/>
    <cellStyle name="Normal 2 7 2 3 3 3 5" xfId="31934"/>
    <cellStyle name="Normal 2 7 2 3 3 4" xfId="31935"/>
    <cellStyle name="Normal 2 7 2 3 3 4 2" xfId="31936"/>
    <cellStyle name="Normal 2 7 2 3 3 4 3" xfId="31937"/>
    <cellStyle name="Normal 2 7 2 3 3 4 4" xfId="31938"/>
    <cellStyle name="Normal 2 7 2 3 3 5" xfId="31939"/>
    <cellStyle name="Normal 2 7 2 3 3 5 2" xfId="31940"/>
    <cellStyle name="Normal 2 7 2 3 3 6" xfId="31941"/>
    <cellStyle name="Normal 2 7 2 3 3 7" xfId="31942"/>
    <cellStyle name="Normal 2 7 2 3 3 8" xfId="31943"/>
    <cellStyle name="Normal 2 7 2 3 3 9" xfId="31944"/>
    <cellStyle name="Normal 2 7 2 3 4" xfId="31945"/>
    <cellStyle name="Normal 2 7 2 3 4 2" xfId="31946"/>
    <cellStyle name="Normal 2 7 2 3 4 2 2" xfId="31947"/>
    <cellStyle name="Normal 2 7 2 3 4 2 3" xfId="31948"/>
    <cellStyle name="Normal 2 7 2 3 4 3" xfId="31949"/>
    <cellStyle name="Normal 2 7 2 3 4 4" xfId="31950"/>
    <cellStyle name="Normal 2 7 2 3 4 5" xfId="31951"/>
    <cellStyle name="Normal 2 7 2 3 4 6" xfId="31952"/>
    <cellStyle name="Normal 2 7 2 3 5" xfId="31953"/>
    <cellStyle name="Normal 2 7 2 3 5 2" xfId="31954"/>
    <cellStyle name="Normal 2 7 2 3 5 2 2" xfId="31955"/>
    <cellStyle name="Normal 2 7 2 3 5 3" xfId="31956"/>
    <cellStyle name="Normal 2 7 2 3 5 4" xfId="31957"/>
    <cellStyle name="Normal 2 7 2 3 5 5" xfId="31958"/>
    <cellStyle name="Normal 2 7 2 3 6" xfId="31959"/>
    <cellStyle name="Normal 2 7 2 3 6 2" xfId="31960"/>
    <cellStyle name="Normal 2 7 2 3 6 3" xfId="31961"/>
    <cellStyle name="Normal 2 7 2 3 6 4" xfId="31962"/>
    <cellStyle name="Normal 2 7 2 3 7" xfId="31963"/>
    <cellStyle name="Normal 2 7 2 3 7 2" xfId="31964"/>
    <cellStyle name="Normal 2 7 2 3 8" xfId="31965"/>
    <cellStyle name="Normal 2 7 2 3 9" xfId="31966"/>
    <cellStyle name="Normal 2 7 2 4" xfId="31967"/>
    <cellStyle name="Normal 2 7 2 4 10" xfId="31968"/>
    <cellStyle name="Normal 2 7 2 4 11" xfId="31969"/>
    <cellStyle name="Normal 2 7 2 4 2" xfId="31970"/>
    <cellStyle name="Normal 2 7 2 4 2 2" xfId="31971"/>
    <cellStyle name="Normal 2 7 2 4 2 2 2" xfId="31972"/>
    <cellStyle name="Normal 2 7 2 4 2 2 2 2" xfId="31973"/>
    <cellStyle name="Normal 2 7 2 4 2 2 2 3" xfId="31974"/>
    <cellStyle name="Normal 2 7 2 4 2 2 3" xfId="31975"/>
    <cellStyle name="Normal 2 7 2 4 2 2 4" xfId="31976"/>
    <cellStyle name="Normal 2 7 2 4 2 2 5" xfId="31977"/>
    <cellStyle name="Normal 2 7 2 4 2 2 6" xfId="31978"/>
    <cellStyle name="Normal 2 7 2 4 2 3" xfId="31979"/>
    <cellStyle name="Normal 2 7 2 4 2 3 2" xfId="31980"/>
    <cellStyle name="Normal 2 7 2 4 2 3 2 2" xfId="31981"/>
    <cellStyle name="Normal 2 7 2 4 2 3 3" xfId="31982"/>
    <cellStyle name="Normal 2 7 2 4 2 3 4" xfId="31983"/>
    <cellStyle name="Normal 2 7 2 4 2 3 5" xfId="31984"/>
    <cellStyle name="Normal 2 7 2 4 2 4" xfId="31985"/>
    <cellStyle name="Normal 2 7 2 4 2 4 2" xfId="31986"/>
    <cellStyle name="Normal 2 7 2 4 2 4 3" xfId="31987"/>
    <cellStyle name="Normal 2 7 2 4 2 4 4" xfId="31988"/>
    <cellStyle name="Normal 2 7 2 4 2 5" xfId="31989"/>
    <cellStyle name="Normal 2 7 2 4 2 5 2" xfId="31990"/>
    <cellStyle name="Normal 2 7 2 4 2 6" xfId="31991"/>
    <cellStyle name="Normal 2 7 2 4 2 7" xfId="31992"/>
    <cellStyle name="Normal 2 7 2 4 2 8" xfId="31993"/>
    <cellStyle name="Normal 2 7 2 4 2 9" xfId="31994"/>
    <cellStyle name="Normal 2 7 2 4 3" xfId="31995"/>
    <cellStyle name="Normal 2 7 2 4 3 2" xfId="31996"/>
    <cellStyle name="Normal 2 7 2 4 3 2 2" xfId="31997"/>
    <cellStyle name="Normal 2 7 2 4 3 2 2 2" xfId="31998"/>
    <cellStyle name="Normal 2 7 2 4 3 2 2 3" xfId="31999"/>
    <cellStyle name="Normal 2 7 2 4 3 2 3" xfId="32000"/>
    <cellStyle name="Normal 2 7 2 4 3 2 4" xfId="32001"/>
    <cellStyle name="Normal 2 7 2 4 3 2 5" xfId="32002"/>
    <cellStyle name="Normal 2 7 2 4 3 2 6" xfId="32003"/>
    <cellStyle name="Normal 2 7 2 4 3 3" xfId="32004"/>
    <cellStyle name="Normal 2 7 2 4 3 3 2" xfId="32005"/>
    <cellStyle name="Normal 2 7 2 4 3 3 2 2" xfId="32006"/>
    <cellStyle name="Normal 2 7 2 4 3 3 3" xfId="32007"/>
    <cellStyle name="Normal 2 7 2 4 3 3 4" xfId="32008"/>
    <cellStyle name="Normal 2 7 2 4 3 3 5" xfId="32009"/>
    <cellStyle name="Normal 2 7 2 4 3 4" xfId="32010"/>
    <cellStyle name="Normal 2 7 2 4 3 4 2" xfId="32011"/>
    <cellStyle name="Normal 2 7 2 4 3 4 3" xfId="32012"/>
    <cellStyle name="Normal 2 7 2 4 3 4 4" xfId="32013"/>
    <cellStyle name="Normal 2 7 2 4 3 5" xfId="32014"/>
    <cellStyle name="Normal 2 7 2 4 3 5 2" xfId="32015"/>
    <cellStyle name="Normal 2 7 2 4 3 6" xfId="32016"/>
    <cellStyle name="Normal 2 7 2 4 3 7" xfId="32017"/>
    <cellStyle name="Normal 2 7 2 4 3 8" xfId="32018"/>
    <cellStyle name="Normal 2 7 2 4 3 9" xfId="32019"/>
    <cellStyle name="Normal 2 7 2 4 4" xfId="32020"/>
    <cellStyle name="Normal 2 7 2 4 4 2" xfId="32021"/>
    <cellStyle name="Normal 2 7 2 4 4 2 2" xfId="32022"/>
    <cellStyle name="Normal 2 7 2 4 4 2 3" xfId="32023"/>
    <cellStyle name="Normal 2 7 2 4 4 3" xfId="32024"/>
    <cellStyle name="Normal 2 7 2 4 4 4" xfId="32025"/>
    <cellStyle name="Normal 2 7 2 4 4 5" xfId="32026"/>
    <cellStyle name="Normal 2 7 2 4 4 6" xfId="32027"/>
    <cellStyle name="Normal 2 7 2 4 5" xfId="32028"/>
    <cellStyle name="Normal 2 7 2 4 5 2" xfId="32029"/>
    <cellStyle name="Normal 2 7 2 4 5 2 2" xfId="32030"/>
    <cellStyle name="Normal 2 7 2 4 5 3" xfId="32031"/>
    <cellStyle name="Normal 2 7 2 4 5 4" xfId="32032"/>
    <cellStyle name="Normal 2 7 2 4 5 5" xfId="32033"/>
    <cellStyle name="Normal 2 7 2 4 6" xfId="32034"/>
    <cellStyle name="Normal 2 7 2 4 6 2" xfId="32035"/>
    <cellStyle name="Normal 2 7 2 4 6 3" xfId="32036"/>
    <cellStyle name="Normal 2 7 2 4 6 4" xfId="32037"/>
    <cellStyle name="Normal 2 7 2 4 7" xfId="32038"/>
    <cellStyle name="Normal 2 7 2 4 7 2" xfId="32039"/>
    <cellStyle name="Normal 2 7 2 4 8" xfId="32040"/>
    <cellStyle name="Normal 2 7 2 4 9" xfId="32041"/>
    <cellStyle name="Normal 2 7 2 5" xfId="32042"/>
    <cellStyle name="Normal 2 7 2 5 10" xfId="32043"/>
    <cellStyle name="Normal 2 7 2 5 11" xfId="32044"/>
    <cellStyle name="Normal 2 7 2 5 2" xfId="32045"/>
    <cellStyle name="Normal 2 7 2 5 2 2" xfId="32046"/>
    <cellStyle name="Normal 2 7 2 5 2 2 2" xfId="32047"/>
    <cellStyle name="Normal 2 7 2 5 2 2 2 2" xfId="32048"/>
    <cellStyle name="Normal 2 7 2 5 2 2 2 3" xfId="32049"/>
    <cellStyle name="Normal 2 7 2 5 2 2 3" xfId="32050"/>
    <cellStyle name="Normal 2 7 2 5 2 2 4" xfId="32051"/>
    <cellStyle name="Normal 2 7 2 5 2 2 5" xfId="32052"/>
    <cellStyle name="Normal 2 7 2 5 2 2 6" xfId="32053"/>
    <cellStyle name="Normal 2 7 2 5 2 3" xfId="32054"/>
    <cellStyle name="Normal 2 7 2 5 2 3 2" xfId="32055"/>
    <cellStyle name="Normal 2 7 2 5 2 3 2 2" xfId="32056"/>
    <cellStyle name="Normal 2 7 2 5 2 3 3" xfId="32057"/>
    <cellStyle name="Normal 2 7 2 5 2 3 4" xfId="32058"/>
    <cellStyle name="Normal 2 7 2 5 2 3 5" xfId="32059"/>
    <cellStyle name="Normal 2 7 2 5 2 4" xfId="32060"/>
    <cellStyle name="Normal 2 7 2 5 2 4 2" xfId="32061"/>
    <cellStyle name="Normal 2 7 2 5 2 4 3" xfId="32062"/>
    <cellStyle name="Normal 2 7 2 5 2 4 4" xfId="32063"/>
    <cellStyle name="Normal 2 7 2 5 2 5" xfId="32064"/>
    <cellStyle name="Normal 2 7 2 5 2 5 2" xfId="32065"/>
    <cellStyle name="Normal 2 7 2 5 2 6" xfId="32066"/>
    <cellStyle name="Normal 2 7 2 5 2 7" xfId="32067"/>
    <cellStyle name="Normal 2 7 2 5 2 8" xfId="32068"/>
    <cellStyle name="Normal 2 7 2 5 2 9" xfId="32069"/>
    <cellStyle name="Normal 2 7 2 5 3" xfId="32070"/>
    <cellStyle name="Normal 2 7 2 5 3 2" xfId="32071"/>
    <cellStyle name="Normal 2 7 2 5 3 2 2" xfId="32072"/>
    <cellStyle name="Normal 2 7 2 5 3 2 2 2" xfId="32073"/>
    <cellStyle name="Normal 2 7 2 5 3 2 2 3" xfId="32074"/>
    <cellStyle name="Normal 2 7 2 5 3 2 3" xfId="32075"/>
    <cellStyle name="Normal 2 7 2 5 3 2 4" xfId="32076"/>
    <cellStyle name="Normal 2 7 2 5 3 2 5" xfId="32077"/>
    <cellStyle name="Normal 2 7 2 5 3 2 6" xfId="32078"/>
    <cellStyle name="Normal 2 7 2 5 3 3" xfId="32079"/>
    <cellStyle name="Normal 2 7 2 5 3 3 2" xfId="32080"/>
    <cellStyle name="Normal 2 7 2 5 3 3 2 2" xfId="32081"/>
    <cellStyle name="Normal 2 7 2 5 3 3 3" xfId="32082"/>
    <cellStyle name="Normal 2 7 2 5 3 3 4" xfId="32083"/>
    <cellStyle name="Normal 2 7 2 5 3 3 5" xfId="32084"/>
    <cellStyle name="Normal 2 7 2 5 3 4" xfId="32085"/>
    <cellStyle name="Normal 2 7 2 5 3 4 2" xfId="32086"/>
    <cellStyle name="Normal 2 7 2 5 3 4 3" xfId="32087"/>
    <cellStyle name="Normal 2 7 2 5 3 4 4" xfId="32088"/>
    <cellStyle name="Normal 2 7 2 5 3 5" xfId="32089"/>
    <cellStyle name="Normal 2 7 2 5 3 5 2" xfId="32090"/>
    <cellStyle name="Normal 2 7 2 5 3 6" xfId="32091"/>
    <cellStyle name="Normal 2 7 2 5 3 7" xfId="32092"/>
    <cellStyle name="Normal 2 7 2 5 3 8" xfId="32093"/>
    <cellStyle name="Normal 2 7 2 5 3 9" xfId="32094"/>
    <cellStyle name="Normal 2 7 2 5 4" xfId="32095"/>
    <cellStyle name="Normal 2 7 2 5 4 2" xfId="32096"/>
    <cellStyle name="Normal 2 7 2 5 4 2 2" xfId="32097"/>
    <cellStyle name="Normal 2 7 2 5 4 2 3" xfId="32098"/>
    <cellStyle name="Normal 2 7 2 5 4 3" xfId="32099"/>
    <cellStyle name="Normal 2 7 2 5 4 4" xfId="32100"/>
    <cellStyle name="Normal 2 7 2 5 4 5" xfId="32101"/>
    <cellStyle name="Normal 2 7 2 5 4 6" xfId="32102"/>
    <cellStyle name="Normal 2 7 2 5 5" xfId="32103"/>
    <cellStyle name="Normal 2 7 2 5 5 2" xfId="32104"/>
    <cellStyle name="Normal 2 7 2 5 5 2 2" xfId="32105"/>
    <cellStyle name="Normal 2 7 2 5 5 3" xfId="32106"/>
    <cellStyle name="Normal 2 7 2 5 5 4" xfId="32107"/>
    <cellStyle name="Normal 2 7 2 5 5 5" xfId="32108"/>
    <cellStyle name="Normal 2 7 2 5 6" xfId="32109"/>
    <cellStyle name="Normal 2 7 2 5 6 2" xfId="32110"/>
    <cellStyle name="Normal 2 7 2 5 6 3" xfId="32111"/>
    <cellStyle name="Normal 2 7 2 5 6 4" xfId="32112"/>
    <cellStyle name="Normal 2 7 2 5 7" xfId="32113"/>
    <cellStyle name="Normal 2 7 2 5 7 2" xfId="32114"/>
    <cellStyle name="Normal 2 7 2 5 8" xfId="32115"/>
    <cellStyle name="Normal 2 7 2 5 9" xfId="32116"/>
    <cellStyle name="Normal 2 7 2 6" xfId="32117"/>
    <cellStyle name="Normal 2 7 2 6 10" xfId="32118"/>
    <cellStyle name="Normal 2 7 2 6 11" xfId="32119"/>
    <cellStyle name="Normal 2 7 2 6 2" xfId="32120"/>
    <cellStyle name="Normal 2 7 2 6 2 2" xfId="32121"/>
    <cellStyle name="Normal 2 7 2 6 2 2 2" xfId="32122"/>
    <cellStyle name="Normal 2 7 2 6 2 2 2 2" xfId="32123"/>
    <cellStyle name="Normal 2 7 2 6 2 2 2 3" xfId="32124"/>
    <cellStyle name="Normal 2 7 2 6 2 2 3" xfId="32125"/>
    <cellStyle name="Normal 2 7 2 6 2 2 4" xfId="32126"/>
    <cellStyle name="Normal 2 7 2 6 2 2 5" xfId="32127"/>
    <cellStyle name="Normal 2 7 2 6 2 2 6" xfId="32128"/>
    <cellStyle name="Normal 2 7 2 6 2 3" xfId="32129"/>
    <cellStyle name="Normal 2 7 2 6 2 3 2" xfId="32130"/>
    <cellStyle name="Normal 2 7 2 6 2 3 2 2" xfId="32131"/>
    <cellStyle name="Normal 2 7 2 6 2 3 3" xfId="32132"/>
    <cellStyle name="Normal 2 7 2 6 2 3 4" xfId="32133"/>
    <cellStyle name="Normal 2 7 2 6 2 3 5" xfId="32134"/>
    <cellStyle name="Normal 2 7 2 6 2 4" xfId="32135"/>
    <cellStyle name="Normal 2 7 2 6 2 4 2" xfId="32136"/>
    <cellStyle name="Normal 2 7 2 6 2 4 3" xfId="32137"/>
    <cellStyle name="Normal 2 7 2 6 2 4 4" xfId="32138"/>
    <cellStyle name="Normal 2 7 2 6 2 5" xfId="32139"/>
    <cellStyle name="Normal 2 7 2 6 2 5 2" xfId="32140"/>
    <cellStyle name="Normal 2 7 2 6 2 6" xfId="32141"/>
    <cellStyle name="Normal 2 7 2 6 2 7" xfId="32142"/>
    <cellStyle name="Normal 2 7 2 6 2 8" xfId="32143"/>
    <cellStyle name="Normal 2 7 2 6 2 9" xfId="32144"/>
    <cellStyle name="Normal 2 7 2 6 3" xfId="32145"/>
    <cellStyle name="Normal 2 7 2 6 3 2" xfId="32146"/>
    <cellStyle name="Normal 2 7 2 6 3 2 2" xfId="32147"/>
    <cellStyle name="Normal 2 7 2 6 3 2 2 2" xfId="32148"/>
    <cellStyle name="Normal 2 7 2 6 3 2 2 3" xfId="32149"/>
    <cellStyle name="Normal 2 7 2 6 3 2 3" xfId="32150"/>
    <cellStyle name="Normal 2 7 2 6 3 2 4" xfId="32151"/>
    <cellStyle name="Normal 2 7 2 6 3 2 5" xfId="32152"/>
    <cellStyle name="Normal 2 7 2 6 3 2 6" xfId="32153"/>
    <cellStyle name="Normal 2 7 2 6 3 3" xfId="32154"/>
    <cellStyle name="Normal 2 7 2 6 3 3 2" xfId="32155"/>
    <cellStyle name="Normal 2 7 2 6 3 3 2 2" xfId="32156"/>
    <cellStyle name="Normal 2 7 2 6 3 3 3" xfId="32157"/>
    <cellStyle name="Normal 2 7 2 6 3 3 4" xfId="32158"/>
    <cellStyle name="Normal 2 7 2 6 3 3 5" xfId="32159"/>
    <cellStyle name="Normal 2 7 2 6 3 4" xfId="32160"/>
    <cellStyle name="Normal 2 7 2 6 3 4 2" xfId="32161"/>
    <cellStyle name="Normal 2 7 2 6 3 4 3" xfId="32162"/>
    <cellStyle name="Normal 2 7 2 6 3 4 4" xfId="32163"/>
    <cellStyle name="Normal 2 7 2 6 3 5" xfId="32164"/>
    <cellStyle name="Normal 2 7 2 6 3 5 2" xfId="32165"/>
    <cellStyle name="Normal 2 7 2 6 3 6" xfId="32166"/>
    <cellStyle name="Normal 2 7 2 6 3 7" xfId="32167"/>
    <cellStyle name="Normal 2 7 2 6 3 8" xfId="32168"/>
    <cellStyle name="Normal 2 7 2 6 3 9" xfId="32169"/>
    <cellStyle name="Normal 2 7 2 6 4" xfId="32170"/>
    <cellStyle name="Normal 2 7 2 6 4 2" xfId="32171"/>
    <cellStyle name="Normal 2 7 2 6 4 2 2" xfId="32172"/>
    <cellStyle name="Normal 2 7 2 6 4 2 3" xfId="32173"/>
    <cellStyle name="Normal 2 7 2 6 4 3" xfId="32174"/>
    <cellStyle name="Normal 2 7 2 6 4 4" xfId="32175"/>
    <cellStyle name="Normal 2 7 2 6 4 5" xfId="32176"/>
    <cellStyle name="Normal 2 7 2 6 4 6" xfId="32177"/>
    <cellStyle name="Normal 2 7 2 6 5" xfId="32178"/>
    <cellStyle name="Normal 2 7 2 6 5 2" xfId="32179"/>
    <cellStyle name="Normal 2 7 2 6 5 2 2" xfId="32180"/>
    <cellStyle name="Normal 2 7 2 6 5 3" xfId="32181"/>
    <cellStyle name="Normal 2 7 2 6 5 4" xfId="32182"/>
    <cellStyle name="Normal 2 7 2 6 5 5" xfId="32183"/>
    <cellStyle name="Normal 2 7 2 6 6" xfId="32184"/>
    <cellStyle name="Normal 2 7 2 6 6 2" xfId="32185"/>
    <cellStyle name="Normal 2 7 2 6 6 3" xfId="32186"/>
    <cellStyle name="Normal 2 7 2 6 6 4" xfId="32187"/>
    <cellStyle name="Normal 2 7 2 6 7" xfId="32188"/>
    <cellStyle name="Normal 2 7 2 6 7 2" xfId="32189"/>
    <cellStyle name="Normal 2 7 2 6 8" xfId="32190"/>
    <cellStyle name="Normal 2 7 2 6 9" xfId="32191"/>
    <cellStyle name="Normal 2 7 2 7" xfId="32192"/>
    <cellStyle name="Normal 2 7 2 7 10" xfId="32193"/>
    <cellStyle name="Normal 2 7 2 7 11" xfId="32194"/>
    <cellStyle name="Normal 2 7 2 7 2" xfId="32195"/>
    <cellStyle name="Normal 2 7 2 7 2 2" xfId="32196"/>
    <cellStyle name="Normal 2 7 2 7 2 2 2" xfId="32197"/>
    <cellStyle name="Normal 2 7 2 7 2 2 2 2" xfId="32198"/>
    <cellStyle name="Normal 2 7 2 7 2 2 2 3" xfId="32199"/>
    <cellStyle name="Normal 2 7 2 7 2 2 3" xfId="32200"/>
    <cellStyle name="Normal 2 7 2 7 2 2 4" xfId="32201"/>
    <cellStyle name="Normal 2 7 2 7 2 2 5" xfId="32202"/>
    <cellStyle name="Normal 2 7 2 7 2 2 6" xfId="32203"/>
    <cellStyle name="Normal 2 7 2 7 2 3" xfId="32204"/>
    <cellStyle name="Normal 2 7 2 7 2 3 2" xfId="32205"/>
    <cellStyle name="Normal 2 7 2 7 2 3 2 2" xfId="32206"/>
    <cellStyle name="Normal 2 7 2 7 2 3 3" xfId="32207"/>
    <cellStyle name="Normal 2 7 2 7 2 3 4" xfId="32208"/>
    <cellStyle name="Normal 2 7 2 7 2 3 5" xfId="32209"/>
    <cellStyle name="Normal 2 7 2 7 2 4" xfId="32210"/>
    <cellStyle name="Normal 2 7 2 7 2 4 2" xfId="32211"/>
    <cellStyle name="Normal 2 7 2 7 2 4 3" xfId="32212"/>
    <cellStyle name="Normal 2 7 2 7 2 4 4" xfId="32213"/>
    <cellStyle name="Normal 2 7 2 7 2 5" xfId="32214"/>
    <cellStyle name="Normal 2 7 2 7 2 5 2" xfId="32215"/>
    <cellStyle name="Normal 2 7 2 7 2 6" xfId="32216"/>
    <cellStyle name="Normal 2 7 2 7 2 7" xfId="32217"/>
    <cellStyle name="Normal 2 7 2 7 2 8" xfId="32218"/>
    <cellStyle name="Normal 2 7 2 7 2 9" xfId="32219"/>
    <cellStyle name="Normal 2 7 2 7 3" xfId="32220"/>
    <cellStyle name="Normal 2 7 2 7 3 2" xfId="32221"/>
    <cellStyle name="Normal 2 7 2 7 3 2 2" xfId="32222"/>
    <cellStyle name="Normal 2 7 2 7 3 2 2 2" xfId="32223"/>
    <cellStyle name="Normal 2 7 2 7 3 2 2 3" xfId="32224"/>
    <cellStyle name="Normal 2 7 2 7 3 2 3" xfId="32225"/>
    <cellStyle name="Normal 2 7 2 7 3 2 4" xfId="32226"/>
    <cellStyle name="Normal 2 7 2 7 3 2 5" xfId="32227"/>
    <cellStyle name="Normal 2 7 2 7 3 2 6" xfId="32228"/>
    <cellStyle name="Normal 2 7 2 7 3 3" xfId="32229"/>
    <cellStyle name="Normal 2 7 2 7 3 3 2" xfId="32230"/>
    <cellStyle name="Normal 2 7 2 7 3 3 2 2" xfId="32231"/>
    <cellStyle name="Normal 2 7 2 7 3 3 3" xfId="32232"/>
    <cellStyle name="Normal 2 7 2 7 3 3 4" xfId="32233"/>
    <cellStyle name="Normal 2 7 2 7 3 3 5" xfId="32234"/>
    <cellStyle name="Normal 2 7 2 7 3 4" xfId="32235"/>
    <cellStyle name="Normal 2 7 2 7 3 4 2" xfId="32236"/>
    <cellStyle name="Normal 2 7 2 7 3 4 3" xfId="32237"/>
    <cellStyle name="Normal 2 7 2 7 3 4 4" xfId="32238"/>
    <cellStyle name="Normal 2 7 2 7 3 5" xfId="32239"/>
    <cellStyle name="Normal 2 7 2 7 3 5 2" xfId="32240"/>
    <cellStyle name="Normal 2 7 2 7 3 6" xfId="32241"/>
    <cellStyle name="Normal 2 7 2 7 3 7" xfId="32242"/>
    <cellStyle name="Normal 2 7 2 7 3 8" xfId="32243"/>
    <cellStyle name="Normal 2 7 2 7 3 9" xfId="32244"/>
    <cellStyle name="Normal 2 7 2 7 4" xfId="32245"/>
    <cellStyle name="Normal 2 7 2 7 4 2" xfId="32246"/>
    <cellStyle name="Normal 2 7 2 7 4 2 2" xfId="32247"/>
    <cellStyle name="Normal 2 7 2 7 4 2 3" xfId="32248"/>
    <cellStyle name="Normal 2 7 2 7 4 3" xfId="32249"/>
    <cellStyle name="Normal 2 7 2 7 4 4" xfId="32250"/>
    <cellStyle name="Normal 2 7 2 7 4 5" xfId="32251"/>
    <cellStyle name="Normal 2 7 2 7 4 6" xfId="32252"/>
    <cellStyle name="Normal 2 7 2 7 5" xfId="32253"/>
    <cellStyle name="Normal 2 7 2 7 5 2" xfId="32254"/>
    <cellStyle name="Normal 2 7 2 7 5 2 2" xfId="32255"/>
    <cellStyle name="Normal 2 7 2 7 5 3" xfId="32256"/>
    <cellStyle name="Normal 2 7 2 7 5 4" xfId="32257"/>
    <cellStyle name="Normal 2 7 2 7 5 5" xfId="32258"/>
    <cellStyle name="Normal 2 7 2 7 6" xfId="32259"/>
    <cellStyle name="Normal 2 7 2 7 6 2" xfId="32260"/>
    <cellStyle name="Normal 2 7 2 7 6 3" xfId="32261"/>
    <cellStyle name="Normal 2 7 2 7 6 4" xfId="32262"/>
    <cellStyle name="Normal 2 7 2 7 7" xfId="32263"/>
    <cellStyle name="Normal 2 7 2 7 7 2" xfId="32264"/>
    <cellStyle name="Normal 2 7 2 7 8" xfId="32265"/>
    <cellStyle name="Normal 2 7 2 7 9" xfId="32266"/>
    <cellStyle name="Normal 2 7 2 8" xfId="32267"/>
    <cellStyle name="Normal 2 7 2 8 10" xfId="32268"/>
    <cellStyle name="Normal 2 7 2 8 2" xfId="32269"/>
    <cellStyle name="Normal 2 7 2 8 2 2" xfId="32270"/>
    <cellStyle name="Normal 2 7 2 8 2 2 2" xfId="32271"/>
    <cellStyle name="Normal 2 7 2 8 2 2 3" xfId="32272"/>
    <cellStyle name="Normal 2 7 2 8 2 3" xfId="32273"/>
    <cellStyle name="Normal 2 7 2 8 2 4" xfId="32274"/>
    <cellStyle name="Normal 2 7 2 8 2 5" xfId="32275"/>
    <cellStyle name="Normal 2 7 2 8 2 6" xfId="32276"/>
    <cellStyle name="Normal 2 7 2 8 3" xfId="32277"/>
    <cellStyle name="Normal 2 7 2 8 3 2" xfId="32278"/>
    <cellStyle name="Normal 2 7 2 8 3 2 2" xfId="32279"/>
    <cellStyle name="Normal 2 7 2 8 3 2 3" xfId="32280"/>
    <cellStyle name="Normal 2 7 2 8 3 3" xfId="32281"/>
    <cellStyle name="Normal 2 7 2 8 3 4" xfId="32282"/>
    <cellStyle name="Normal 2 7 2 8 3 5" xfId="32283"/>
    <cellStyle name="Normal 2 7 2 8 3 6" xfId="32284"/>
    <cellStyle name="Normal 2 7 2 8 4" xfId="32285"/>
    <cellStyle name="Normal 2 7 2 8 4 2" xfId="32286"/>
    <cellStyle name="Normal 2 7 2 8 4 2 2" xfId="32287"/>
    <cellStyle name="Normal 2 7 2 8 4 3" xfId="32288"/>
    <cellStyle name="Normal 2 7 2 8 4 4" xfId="32289"/>
    <cellStyle name="Normal 2 7 2 8 4 5" xfId="32290"/>
    <cellStyle name="Normal 2 7 2 8 5" xfId="32291"/>
    <cellStyle name="Normal 2 7 2 8 5 2" xfId="32292"/>
    <cellStyle name="Normal 2 7 2 8 5 3" xfId="32293"/>
    <cellStyle name="Normal 2 7 2 8 5 4" xfId="32294"/>
    <cellStyle name="Normal 2 7 2 8 6" xfId="32295"/>
    <cellStyle name="Normal 2 7 2 8 6 2" xfId="32296"/>
    <cellStyle name="Normal 2 7 2 8 7" xfId="32297"/>
    <cellStyle name="Normal 2 7 2 8 8" xfId="32298"/>
    <cellStyle name="Normal 2 7 2 8 9" xfId="32299"/>
    <cellStyle name="Normal 2 7 2 9" xfId="32300"/>
    <cellStyle name="Normal 2 7 2 9 10" xfId="32301"/>
    <cellStyle name="Normal 2 7 2 9 2" xfId="32302"/>
    <cellStyle name="Normal 2 7 2 9 2 2" xfId="32303"/>
    <cellStyle name="Normal 2 7 2 9 2 2 2" xfId="32304"/>
    <cellStyle name="Normal 2 7 2 9 2 2 3" xfId="32305"/>
    <cellStyle name="Normal 2 7 2 9 2 3" xfId="32306"/>
    <cellStyle name="Normal 2 7 2 9 2 4" xfId="32307"/>
    <cellStyle name="Normal 2 7 2 9 2 5" xfId="32308"/>
    <cellStyle name="Normal 2 7 2 9 2 6" xfId="32309"/>
    <cellStyle name="Normal 2 7 2 9 3" xfId="32310"/>
    <cellStyle name="Normal 2 7 2 9 3 2" xfId="32311"/>
    <cellStyle name="Normal 2 7 2 9 3 2 2" xfId="32312"/>
    <cellStyle name="Normal 2 7 2 9 3 2 3" xfId="32313"/>
    <cellStyle name="Normal 2 7 2 9 3 3" xfId="32314"/>
    <cellStyle name="Normal 2 7 2 9 3 4" xfId="32315"/>
    <cellStyle name="Normal 2 7 2 9 3 5" xfId="32316"/>
    <cellStyle name="Normal 2 7 2 9 3 6" xfId="32317"/>
    <cellStyle name="Normal 2 7 2 9 4" xfId="32318"/>
    <cellStyle name="Normal 2 7 2 9 4 2" xfId="32319"/>
    <cellStyle name="Normal 2 7 2 9 4 2 2" xfId="32320"/>
    <cellStyle name="Normal 2 7 2 9 4 3" xfId="32321"/>
    <cellStyle name="Normal 2 7 2 9 4 4" xfId="32322"/>
    <cellStyle name="Normal 2 7 2 9 4 5" xfId="32323"/>
    <cellStyle name="Normal 2 7 2 9 5" xfId="32324"/>
    <cellStyle name="Normal 2 7 2 9 5 2" xfId="32325"/>
    <cellStyle name="Normal 2 7 2 9 5 3" xfId="32326"/>
    <cellStyle name="Normal 2 7 2 9 5 4" xfId="32327"/>
    <cellStyle name="Normal 2 7 2 9 6" xfId="32328"/>
    <cellStyle name="Normal 2 7 2 9 6 2" xfId="32329"/>
    <cellStyle name="Normal 2 7 2 9 7" xfId="32330"/>
    <cellStyle name="Normal 2 7 2 9 8" xfId="32331"/>
    <cellStyle name="Normal 2 7 2 9 9" xfId="32332"/>
    <cellStyle name="Normal 2 7 20" xfId="32333"/>
    <cellStyle name="Normal 2 7 20 10" xfId="32334"/>
    <cellStyle name="Normal 2 7 20 2" xfId="32335"/>
    <cellStyle name="Normal 2 7 20 2 2" xfId="32336"/>
    <cellStyle name="Normal 2 7 20 2 2 2" xfId="32337"/>
    <cellStyle name="Normal 2 7 20 2 2 3" xfId="32338"/>
    <cellStyle name="Normal 2 7 20 2 3" xfId="32339"/>
    <cellStyle name="Normal 2 7 20 2 4" xfId="32340"/>
    <cellStyle name="Normal 2 7 20 2 5" xfId="32341"/>
    <cellStyle name="Normal 2 7 20 2 6" xfId="32342"/>
    <cellStyle name="Normal 2 7 20 3" xfId="32343"/>
    <cellStyle name="Normal 2 7 20 3 2" xfId="32344"/>
    <cellStyle name="Normal 2 7 20 3 2 2" xfId="32345"/>
    <cellStyle name="Normal 2 7 20 3 2 3" xfId="32346"/>
    <cellStyle name="Normal 2 7 20 3 3" xfId="32347"/>
    <cellStyle name="Normal 2 7 20 3 4" xfId="32348"/>
    <cellStyle name="Normal 2 7 20 3 5" xfId="32349"/>
    <cellStyle name="Normal 2 7 20 3 6" xfId="32350"/>
    <cellStyle name="Normal 2 7 20 4" xfId="32351"/>
    <cellStyle name="Normal 2 7 20 4 2" xfId="32352"/>
    <cellStyle name="Normal 2 7 20 4 2 2" xfId="32353"/>
    <cellStyle name="Normal 2 7 20 4 3" xfId="32354"/>
    <cellStyle name="Normal 2 7 20 4 4" xfId="32355"/>
    <cellStyle name="Normal 2 7 20 4 5" xfId="32356"/>
    <cellStyle name="Normal 2 7 20 5" xfId="32357"/>
    <cellStyle name="Normal 2 7 20 5 2" xfId="32358"/>
    <cellStyle name="Normal 2 7 20 5 3" xfId="32359"/>
    <cellStyle name="Normal 2 7 20 5 4" xfId="32360"/>
    <cellStyle name="Normal 2 7 20 6" xfId="32361"/>
    <cellStyle name="Normal 2 7 20 6 2" xfId="32362"/>
    <cellStyle name="Normal 2 7 20 7" xfId="32363"/>
    <cellStyle name="Normal 2 7 20 8" xfId="32364"/>
    <cellStyle name="Normal 2 7 20 9" xfId="32365"/>
    <cellStyle name="Normal 2 7 21" xfId="32366"/>
    <cellStyle name="Normal 2 7 21 10" xfId="32367"/>
    <cellStyle name="Normal 2 7 21 2" xfId="32368"/>
    <cellStyle name="Normal 2 7 21 2 2" xfId="32369"/>
    <cellStyle name="Normal 2 7 21 2 2 2" xfId="32370"/>
    <cellStyle name="Normal 2 7 21 2 2 3" xfId="32371"/>
    <cellStyle name="Normal 2 7 21 2 3" xfId="32372"/>
    <cellStyle name="Normal 2 7 21 2 4" xfId="32373"/>
    <cellStyle name="Normal 2 7 21 2 5" xfId="32374"/>
    <cellStyle name="Normal 2 7 21 2 6" xfId="32375"/>
    <cellStyle name="Normal 2 7 21 3" xfId="32376"/>
    <cellStyle name="Normal 2 7 21 3 2" xfId="32377"/>
    <cellStyle name="Normal 2 7 21 3 2 2" xfId="32378"/>
    <cellStyle name="Normal 2 7 21 3 2 3" xfId="32379"/>
    <cellStyle name="Normal 2 7 21 3 3" xfId="32380"/>
    <cellStyle name="Normal 2 7 21 3 4" xfId="32381"/>
    <cellStyle name="Normal 2 7 21 3 5" xfId="32382"/>
    <cellStyle name="Normal 2 7 21 3 6" xfId="32383"/>
    <cellStyle name="Normal 2 7 21 4" xfId="32384"/>
    <cellStyle name="Normal 2 7 21 4 2" xfId="32385"/>
    <cellStyle name="Normal 2 7 21 4 2 2" xfId="32386"/>
    <cellStyle name="Normal 2 7 21 4 3" xfId="32387"/>
    <cellStyle name="Normal 2 7 21 4 4" xfId="32388"/>
    <cellStyle name="Normal 2 7 21 4 5" xfId="32389"/>
    <cellStyle name="Normal 2 7 21 5" xfId="32390"/>
    <cellStyle name="Normal 2 7 21 5 2" xfId="32391"/>
    <cellStyle name="Normal 2 7 21 5 3" xfId="32392"/>
    <cellStyle name="Normal 2 7 21 5 4" xfId="32393"/>
    <cellStyle name="Normal 2 7 21 6" xfId="32394"/>
    <cellStyle name="Normal 2 7 21 6 2" xfId="32395"/>
    <cellStyle name="Normal 2 7 21 7" xfId="32396"/>
    <cellStyle name="Normal 2 7 21 8" xfId="32397"/>
    <cellStyle name="Normal 2 7 21 9" xfId="32398"/>
    <cellStyle name="Normal 2 7 22" xfId="32399"/>
    <cellStyle name="Normal 2 7 22 10" xfId="32400"/>
    <cellStyle name="Normal 2 7 22 2" xfId="32401"/>
    <cellStyle name="Normal 2 7 22 2 2" xfId="32402"/>
    <cellStyle name="Normal 2 7 22 2 2 2" xfId="32403"/>
    <cellStyle name="Normal 2 7 22 2 2 3" xfId="32404"/>
    <cellStyle name="Normal 2 7 22 2 3" xfId="32405"/>
    <cellStyle name="Normal 2 7 22 2 4" xfId="32406"/>
    <cellStyle name="Normal 2 7 22 2 5" xfId="32407"/>
    <cellStyle name="Normal 2 7 22 2 6" xfId="32408"/>
    <cellStyle name="Normal 2 7 22 3" xfId="32409"/>
    <cellStyle name="Normal 2 7 22 3 2" xfId="32410"/>
    <cellStyle name="Normal 2 7 22 3 2 2" xfId="32411"/>
    <cellStyle name="Normal 2 7 22 3 2 3" xfId="32412"/>
    <cellStyle name="Normal 2 7 22 3 3" xfId="32413"/>
    <cellStyle name="Normal 2 7 22 3 4" xfId="32414"/>
    <cellStyle name="Normal 2 7 22 3 5" xfId="32415"/>
    <cellStyle name="Normal 2 7 22 3 6" xfId="32416"/>
    <cellStyle name="Normal 2 7 22 4" xfId="32417"/>
    <cellStyle name="Normal 2 7 22 4 2" xfId="32418"/>
    <cellStyle name="Normal 2 7 22 4 2 2" xfId="32419"/>
    <cellStyle name="Normal 2 7 22 4 3" xfId="32420"/>
    <cellStyle name="Normal 2 7 22 4 4" xfId="32421"/>
    <cellStyle name="Normal 2 7 22 4 5" xfId="32422"/>
    <cellStyle name="Normal 2 7 22 5" xfId="32423"/>
    <cellStyle name="Normal 2 7 22 5 2" xfId="32424"/>
    <cellStyle name="Normal 2 7 22 5 3" xfId="32425"/>
    <cellStyle name="Normal 2 7 22 5 4" xfId="32426"/>
    <cellStyle name="Normal 2 7 22 6" xfId="32427"/>
    <cellStyle name="Normal 2 7 22 6 2" xfId="32428"/>
    <cellStyle name="Normal 2 7 22 7" xfId="32429"/>
    <cellStyle name="Normal 2 7 22 8" xfId="32430"/>
    <cellStyle name="Normal 2 7 22 9" xfId="32431"/>
    <cellStyle name="Normal 2 7 23" xfId="32432"/>
    <cellStyle name="Normal 2 7 23 10" xfId="32433"/>
    <cellStyle name="Normal 2 7 23 2" xfId="32434"/>
    <cellStyle name="Normal 2 7 23 2 2" xfId="32435"/>
    <cellStyle name="Normal 2 7 23 2 2 2" xfId="32436"/>
    <cellStyle name="Normal 2 7 23 2 2 3" xfId="32437"/>
    <cellStyle name="Normal 2 7 23 2 3" xfId="32438"/>
    <cellStyle name="Normal 2 7 23 2 4" xfId="32439"/>
    <cellStyle name="Normal 2 7 23 2 5" xfId="32440"/>
    <cellStyle name="Normal 2 7 23 2 6" xfId="32441"/>
    <cellStyle name="Normal 2 7 23 3" xfId="32442"/>
    <cellStyle name="Normal 2 7 23 3 2" xfId="32443"/>
    <cellStyle name="Normal 2 7 23 3 2 2" xfId="32444"/>
    <cellStyle name="Normal 2 7 23 3 2 3" xfId="32445"/>
    <cellStyle name="Normal 2 7 23 3 3" xfId="32446"/>
    <cellStyle name="Normal 2 7 23 3 4" xfId="32447"/>
    <cellStyle name="Normal 2 7 23 3 5" xfId="32448"/>
    <cellStyle name="Normal 2 7 23 3 6" xfId="32449"/>
    <cellStyle name="Normal 2 7 23 4" xfId="32450"/>
    <cellStyle name="Normal 2 7 23 4 2" xfId="32451"/>
    <cellStyle name="Normal 2 7 23 4 2 2" xfId="32452"/>
    <cellStyle name="Normal 2 7 23 4 3" xfId="32453"/>
    <cellStyle name="Normal 2 7 23 4 4" xfId="32454"/>
    <cellStyle name="Normal 2 7 23 4 5" xfId="32455"/>
    <cellStyle name="Normal 2 7 23 5" xfId="32456"/>
    <cellStyle name="Normal 2 7 23 5 2" xfId="32457"/>
    <cellStyle name="Normal 2 7 23 5 3" xfId="32458"/>
    <cellStyle name="Normal 2 7 23 5 4" xfId="32459"/>
    <cellStyle name="Normal 2 7 23 6" xfId="32460"/>
    <cellStyle name="Normal 2 7 23 6 2" xfId="32461"/>
    <cellStyle name="Normal 2 7 23 7" xfId="32462"/>
    <cellStyle name="Normal 2 7 23 8" xfId="32463"/>
    <cellStyle name="Normal 2 7 23 9" xfId="32464"/>
    <cellStyle name="Normal 2 7 24" xfId="32465"/>
    <cellStyle name="Normal 2 7 24 10" xfId="32466"/>
    <cellStyle name="Normal 2 7 24 2" xfId="32467"/>
    <cellStyle name="Normal 2 7 24 2 2" xfId="32468"/>
    <cellStyle name="Normal 2 7 24 2 2 2" xfId="32469"/>
    <cellStyle name="Normal 2 7 24 2 2 3" xfId="32470"/>
    <cellStyle name="Normal 2 7 24 2 3" xfId="32471"/>
    <cellStyle name="Normal 2 7 24 2 4" xfId="32472"/>
    <cellStyle name="Normal 2 7 24 2 5" xfId="32473"/>
    <cellStyle name="Normal 2 7 24 2 6" xfId="32474"/>
    <cellStyle name="Normal 2 7 24 3" xfId="32475"/>
    <cellStyle name="Normal 2 7 24 3 2" xfId="32476"/>
    <cellStyle name="Normal 2 7 24 3 2 2" xfId="32477"/>
    <cellStyle name="Normal 2 7 24 3 2 3" xfId="32478"/>
    <cellStyle name="Normal 2 7 24 3 3" xfId="32479"/>
    <cellStyle name="Normal 2 7 24 3 4" xfId="32480"/>
    <cellStyle name="Normal 2 7 24 3 5" xfId="32481"/>
    <cellStyle name="Normal 2 7 24 3 6" xfId="32482"/>
    <cellStyle name="Normal 2 7 24 4" xfId="32483"/>
    <cellStyle name="Normal 2 7 24 4 2" xfId="32484"/>
    <cellStyle name="Normal 2 7 24 4 2 2" xfId="32485"/>
    <cellStyle name="Normal 2 7 24 4 3" xfId="32486"/>
    <cellStyle name="Normal 2 7 24 4 4" xfId="32487"/>
    <cellStyle name="Normal 2 7 24 4 5" xfId="32488"/>
    <cellStyle name="Normal 2 7 24 5" xfId="32489"/>
    <cellStyle name="Normal 2 7 24 5 2" xfId="32490"/>
    <cellStyle name="Normal 2 7 24 5 3" xfId="32491"/>
    <cellStyle name="Normal 2 7 24 5 4" xfId="32492"/>
    <cellStyle name="Normal 2 7 24 6" xfId="32493"/>
    <cellStyle name="Normal 2 7 24 6 2" xfId="32494"/>
    <cellStyle name="Normal 2 7 24 7" xfId="32495"/>
    <cellStyle name="Normal 2 7 24 8" xfId="32496"/>
    <cellStyle name="Normal 2 7 24 9" xfId="32497"/>
    <cellStyle name="Normal 2 7 25" xfId="32498"/>
    <cellStyle name="Normal 2 7 25 10" xfId="32499"/>
    <cellStyle name="Normal 2 7 25 2" xfId="32500"/>
    <cellStyle name="Normal 2 7 25 2 2" xfId="32501"/>
    <cellStyle name="Normal 2 7 25 2 2 2" xfId="32502"/>
    <cellStyle name="Normal 2 7 25 2 2 3" xfId="32503"/>
    <cellStyle name="Normal 2 7 25 2 3" xfId="32504"/>
    <cellStyle name="Normal 2 7 25 2 4" xfId="32505"/>
    <cellStyle name="Normal 2 7 25 2 5" xfId="32506"/>
    <cellStyle name="Normal 2 7 25 2 6" xfId="32507"/>
    <cellStyle name="Normal 2 7 25 3" xfId="32508"/>
    <cellStyle name="Normal 2 7 25 3 2" xfId="32509"/>
    <cellStyle name="Normal 2 7 25 3 2 2" xfId="32510"/>
    <cellStyle name="Normal 2 7 25 3 2 3" xfId="32511"/>
    <cellStyle name="Normal 2 7 25 3 3" xfId="32512"/>
    <cellStyle name="Normal 2 7 25 3 4" xfId="32513"/>
    <cellStyle name="Normal 2 7 25 3 5" xfId="32514"/>
    <cellStyle name="Normal 2 7 25 3 6" xfId="32515"/>
    <cellStyle name="Normal 2 7 25 4" xfId="32516"/>
    <cellStyle name="Normal 2 7 25 4 2" xfId="32517"/>
    <cellStyle name="Normal 2 7 25 4 2 2" xfId="32518"/>
    <cellStyle name="Normal 2 7 25 4 3" xfId="32519"/>
    <cellStyle name="Normal 2 7 25 4 4" xfId="32520"/>
    <cellStyle name="Normal 2 7 25 4 5" xfId="32521"/>
    <cellStyle name="Normal 2 7 25 5" xfId="32522"/>
    <cellStyle name="Normal 2 7 25 5 2" xfId="32523"/>
    <cellStyle name="Normal 2 7 25 5 3" xfId="32524"/>
    <cellStyle name="Normal 2 7 25 5 4" xfId="32525"/>
    <cellStyle name="Normal 2 7 25 6" xfId="32526"/>
    <cellStyle name="Normal 2 7 25 6 2" xfId="32527"/>
    <cellStyle name="Normal 2 7 25 7" xfId="32528"/>
    <cellStyle name="Normal 2 7 25 8" xfId="32529"/>
    <cellStyle name="Normal 2 7 25 9" xfId="32530"/>
    <cellStyle name="Normal 2 7 26" xfId="32531"/>
    <cellStyle name="Normal 2 7 26 10" xfId="32532"/>
    <cellStyle name="Normal 2 7 26 2" xfId="32533"/>
    <cellStyle name="Normal 2 7 26 2 2" xfId="32534"/>
    <cellStyle name="Normal 2 7 26 2 2 2" xfId="32535"/>
    <cellStyle name="Normal 2 7 26 2 2 3" xfId="32536"/>
    <cellStyle name="Normal 2 7 26 2 3" xfId="32537"/>
    <cellStyle name="Normal 2 7 26 2 4" xfId="32538"/>
    <cellStyle name="Normal 2 7 26 2 5" xfId="32539"/>
    <cellStyle name="Normal 2 7 26 2 6" xfId="32540"/>
    <cellStyle name="Normal 2 7 26 3" xfId="32541"/>
    <cellStyle name="Normal 2 7 26 3 2" xfId="32542"/>
    <cellStyle name="Normal 2 7 26 3 2 2" xfId="32543"/>
    <cellStyle name="Normal 2 7 26 3 2 3" xfId="32544"/>
    <cellStyle name="Normal 2 7 26 3 3" xfId="32545"/>
    <cellStyle name="Normal 2 7 26 3 4" xfId="32546"/>
    <cellStyle name="Normal 2 7 26 3 5" xfId="32547"/>
    <cellStyle name="Normal 2 7 26 3 6" xfId="32548"/>
    <cellStyle name="Normal 2 7 26 4" xfId="32549"/>
    <cellStyle name="Normal 2 7 26 4 2" xfId="32550"/>
    <cellStyle name="Normal 2 7 26 4 2 2" xfId="32551"/>
    <cellStyle name="Normal 2 7 26 4 3" xfId="32552"/>
    <cellStyle name="Normal 2 7 26 4 4" xfId="32553"/>
    <cellStyle name="Normal 2 7 26 4 5" xfId="32554"/>
    <cellStyle name="Normal 2 7 26 5" xfId="32555"/>
    <cellStyle name="Normal 2 7 26 5 2" xfId="32556"/>
    <cellStyle name="Normal 2 7 26 5 3" xfId="32557"/>
    <cellStyle name="Normal 2 7 26 5 4" xfId="32558"/>
    <cellStyle name="Normal 2 7 26 6" xfId="32559"/>
    <cellStyle name="Normal 2 7 26 6 2" xfId="32560"/>
    <cellStyle name="Normal 2 7 26 7" xfId="32561"/>
    <cellStyle name="Normal 2 7 26 8" xfId="32562"/>
    <cellStyle name="Normal 2 7 26 9" xfId="32563"/>
    <cellStyle name="Normal 2 7 27" xfId="32564"/>
    <cellStyle name="Normal 2 7 27 10" xfId="32565"/>
    <cellStyle name="Normal 2 7 27 2" xfId="32566"/>
    <cellStyle name="Normal 2 7 27 2 2" xfId="32567"/>
    <cellStyle name="Normal 2 7 27 2 2 2" xfId="32568"/>
    <cellStyle name="Normal 2 7 27 2 2 3" xfId="32569"/>
    <cellStyle name="Normal 2 7 27 2 3" xfId="32570"/>
    <cellStyle name="Normal 2 7 27 2 4" xfId="32571"/>
    <cellStyle name="Normal 2 7 27 2 5" xfId="32572"/>
    <cellStyle name="Normal 2 7 27 2 6" xfId="32573"/>
    <cellStyle name="Normal 2 7 27 3" xfId="32574"/>
    <cellStyle name="Normal 2 7 27 3 2" xfId="32575"/>
    <cellStyle name="Normal 2 7 27 3 2 2" xfId="32576"/>
    <cellStyle name="Normal 2 7 27 3 2 3" xfId="32577"/>
    <cellStyle name="Normal 2 7 27 3 3" xfId="32578"/>
    <cellStyle name="Normal 2 7 27 3 4" xfId="32579"/>
    <cellStyle name="Normal 2 7 27 3 5" xfId="32580"/>
    <cellStyle name="Normal 2 7 27 3 6" xfId="32581"/>
    <cellStyle name="Normal 2 7 27 4" xfId="32582"/>
    <cellStyle name="Normal 2 7 27 4 2" xfId="32583"/>
    <cellStyle name="Normal 2 7 27 4 2 2" xfId="32584"/>
    <cellStyle name="Normal 2 7 27 4 3" xfId="32585"/>
    <cellStyle name="Normal 2 7 27 4 4" xfId="32586"/>
    <cellStyle name="Normal 2 7 27 4 5" xfId="32587"/>
    <cellStyle name="Normal 2 7 27 5" xfId="32588"/>
    <cellStyle name="Normal 2 7 27 5 2" xfId="32589"/>
    <cellStyle name="Normal 2 7 27 5 3" xfId="32590"/>
    <cellStyle name="Normal 2 7 27 5 4" xfId="32591"/>
    <cellStyle name="Normal 2 7 27 6" xfId="32592"/>
    <cellStyle name="Normal 2 7 27 6 2" xfId="32593"/>
    <cellStyle name="Normal 2 7 27 7" xfId="32594"/>
    <cellStyle name="Normal 2 7 27 8" xfId="32595"/>
    <cellStyle name="Normal 2 7 27 9" xfId="32596"/>
    <cellStyle name="Normal 2 7 28" xfId="32597"/>
    <cellStyle name="Normal 2 7 28 10" xfId="32598"/>
    <cellStyle name="Normal 2 7 28 2" xfId="32599"/>
    <cellStyle name="Normal 2 7 28 2 2" xfId="32600"/>
    <cellStyle name="Normal 2 7 28 2 2 2" xfId="32601"/>
    <cellStyle name="Normal 2 7 28 2 2 3" xfId="32602"/>
    <cellStyle name="Normal 2 7 28 2 3" xfId="32603"/>
    <cellStyle name="Normal 2 7 28 2 4" xfId="32604"/>
    <cellStyle name="Normal 2 7 28 2 5" xfId="32605"/>
    <cellStyle name="Normal 2 7 28 2 6" xfId="32606"/>
    <cellStyle name="Normal 2 7 28 3" xfId="32607"/>
    <cellStyle name="Normal 2 7 28 3 2" xfId="32608"/>
    <cellStyle name="Normal 2 7 28 3 2 2" xfId="32609"/>
    <cellStyle name="Normal 2 7 28 3 2 3" xfId="32610"/>
    <cellStyle name="Normal 2 7 28 3 3" xfId="32611"/>
    <cellStyle name="Normal 2 7 28 3 4" xfId="32612"/>
    <cellStyle name="Normal 2 7 28 3 5" xfId="32613"/>
    <cellStyle name="Normal 2 7 28 3 6" xfId="32614"/>
    <cellStyle name="Normal 2 7 28 4" xfId="32615"/>
    <cellStyle name="Normal 2 7 28 4 2" xfId="32616"/>
    <cellStyle name="Normal 2 7 28 4 2 2" xfId="32617"/>
    <cellStyle name="Normal 2 7 28 4 3" xfId="32618"/>
    <cellStyle name="Normal 2 7 28 4 4" xfId="32619"/>
    <cellStyle name="Normal 2 7 28 4 5" xfId="32620"/>
    <cellStyle name="Normal 2 7 28 5" xfId="32621"/>
    <cellStyle name="Normal 2 7 28 5 2" xfId="32622"/>
    <cellStyle name="Normal 2 7 28 5 3" xfId="32623"/>
    <cellStyle name="Normal 2 7 28 5 4" xfId="32624"/>
    <cellStyle name="Normal 2 7 28 6" xfId="32625"/>
    <cellStyle name="Normal 2 7 28 6 2" xfId="32626"/>
    <cellStyle name="Normal 2 7 28 7" xfId="32627"/>
    <cellStyle name="Normal 2 7 28 8" xfId="32628"/>
    <cellStyle name="Normal 2 7 28 9" xfId="32629"/>
    <cellStyle name="Normal 2 7 29" xfId="32630"/>
    <cellStyle name="Normal 2 7 29 10" xfId="32631"/>
    <cellStyle name="Normal 2 7 29 2" xfId="32632"/>
    <cellStyle name="Normal 2 7 29 2 2" xfId="32633"/>
    <cellStyle name="Normal 2 7 29 2 2 2" xfId="32634"/>
    <cellStyle name="Normal 2 7 29 2 2 3" xfId="32635"/>
    <cellStyle name="Normal 2 7 29 2 3" xfId="32636"/>
    <cellStyle name="Normal 2 7 29 2 4" xfId="32637"/>
    <cellStyle name="Normal 2 7 29 2 5" xfId="32638"/>
    <cellStyle name="Normal 2 7 29 2 6" xfId="32639"/>
    <cellStyle name="Normal 2 7 29 3" xfId="32640"/>
    <cellStyle name="Normal 2 7 29 3 2" xfId="32641"/>
    <cellStyle name="Normal 2 7 29 3 2 2" xfId="32642"/>
    <cellStyle name="Normal 2 7 29 3 2 3" xfId="32643"/>
    <cellStyle name="Normal 2 7 29 3 3" xfId="32644"/>
    <cellStyle name="Normal 2 7 29 3 4" xfId="32645"/>
    <cellStyle name="Normal 2 7 29 3 5" xfId="32646"/>
    <cellStyle name="Normal 2 7 29 3 6" xfId="32647"/>
    <cellStyle name="Normal 2 7 29 4" xfId="32648"/>
    <cellStyle name="Normal 2 7 29 4 2" xfId="32649"/>
    <cellStyle name="Normal 2 7 29 4 2 2" xfId="32650"/>
    <cellStyle name="Normal 2 7 29 4 3" xfId="32651"/>
    <cellStyle name="Normal 2 7 29 4 4" xfId="32652"/>
    <cellStyle name="Normal 2 7 29 4 5" xfId="32653"/>
    <cellStyle name="Normal 2 7 29 5" xfId="32654"/>
    <cellStyle name="Normal 2 7 29 5 2" xfId="32655"/>
    <cellStyle name="Normal 2 7 29 5 3" xfId="32656"/>
    <cellStyle name="Normal 2 7 29 5 4" xfId="32657"/>
    <cellStyle name="Normal 2 7 29 6" xfId="32658"/>
    <cellStyle name="Normal 2 7 29 6 2" xfId="32659"/>
    <cellStyle name="Normal 2 7 29 7" xfId="32660"/>
    <cellStyle name="Normal 2 7 29 8" xfId="32661"/>
    <cellStyle name="Normal 2 7 29 9" xfId="32662"/>
    <cellStyle name="Normal 2 7 3" xfId="32663"/>
    <cellStyle name="Normal 2 7 3 10" xfId="32664"/>
    <cellStyle name="Normal 2 7 3 10 10" xfId="32665"/>
    <cellStyle name="Normal 2 7 3 10 2" xfId="32666"/>
    <cellStyle name="Normal 2 7 3 10 2 2" xfId="32667"/>
    <cellStyle name="Normal 2 7 3 10 2 2 2" xfId="32668"/>
    <cellStyle name="Normal 2 7 3 10 2 2 3" xfId="32669"/>
    <cellStyle name="Normal 2 7 3 10 2 3" xfId="32670"/>
    <cellStyle name="Normal 2 7 3 10 2 4" xfId="32671"/>
    <cellStyle name="Normal 2 7 3 10 2 5" xfId="32672"/>
    <cellStyle name="Normal 2 7 3 10 2 6" xfId="32673"/>
    <cellStyle name="Normal 2 7 3 10 3" xfId="32674"/>
    <cellStyle name="Normal 2 7 3 10 3 2" xfId="32675"/>
    <cellStyle name="Normal 2 7 3 10 3 2 2" xfId="32676"/>
    <cellStyle name="Normal 2 7 3 10 3 2 3" xfId="32677"/>
    <cellStyle name="Normal 2 7 3 10 3 3" xfId="32678"/>
    <cellStyle name="Normal 2 7 3 10 3 4" xfId="32679"/>
    <cellStyle name="Normal 2 7 3 10 3 5" xfId="32680"/>
    <cellStyle name="Normal 2 7 3 10 3 6" xfId="32681"/>
    <cellStyle name="Normal 2 7 3 10 4" xfId="32682"/>
    <cellStyle name="Normal 2 7 3 10 4 2" xfId="32683"/>
    <cellStyle name="Normal 2 7 3 10 4 2 2" xfId="32684"/>
    <cellStyle name="Normal 2 7 3 10 4 3" xfId="32685"/>
    <cellStyle name="Normal 2 7 3 10 4 4" xfId="32686"/>
    <cellStyle name="Normal 2 7 3 10 4 5" xfId="32687"/>
    <cellStyle name="Normal 2 7 3 10 5" xfId="32688"/>
    <cellStyle name="Normal 2 7 3 10 5 2" xfId="32689"/>
    <cellStyle name="Normal 2 7 3 10 5 3" xfId="32690"/>
    <cellStyle name="Normal 2 7 3 10 5 4" xfId="32691"/>
    <cellStyle name="Normal 2 7 3 10 6" xfId="32692"/>
    <cellStyle name="Normal 2 7 3 10 6 2" xfId="32693"/>
    <cellStyle name="Normal 2 7 3 10 7" xfId="32694"/>
    <cellStyle name="Normal 2 7 3 10 8" xfId="32695"/>
    <cellStyle name="Normal 2 7 3 10 9" xfId="32696"/>
    <cellStyle name="Normal 2 7 3 11" xfId="32697"/>
    <cellStyle name="Normal 2 7 3 11 10" xfId="32698"/>
    <cellStyle name="Normal 2 7 3 11 2" xfId="32699"/>
    <cellStyle name="Normal 2 7 3 11 2 2" xfId="32700"/>
    <cellStyle name="Normal 2 7 3 11 2 2 2" xfId="32701"/>
    <cellStyle name="Normal 2 7 3 11 2 2 3" xfId="32702"/>
    <cellStyle name="Normal 2 7 3 11 2 3" xfId="32703"/>
    <cellStyle name="Normal 2 7 3 11 2 4" xfId="32704"/>
    <cellStyle name="Normal 2 7 3 11 2 5" xfId="32705"/>
    <cellStyle name="Normal 2 7 3 11 2 6" xfId="32706"/>
    <cellStyle name="Normal 2 7 3 11 3" xfId="32707"/>
    <cellStyle name="Normal 2 7 3 11 3 2" xfId="32708"/>
    <cellStyle name="Normal 2 7 3 11 3 2 2" xfId="32709"/>
    <cellStyle name="Normal 2 7 3 11 3 2 3" xfId="32710"/>
    <cellStyle name="Normal 2 7 3 11 3 3" xfId="32711"/>
    <cellStyle name="Normal 2 7 3 11 3 4" xfId="32712"/>
    <cellStyle name="Normal 2 7 3 11 3 5" xfId="32713"/>
    <cellStyle name="Normal 2 7 3 11 3 6" xfId="32714"/>
    <cellStyle name="Normal 2 7 3 11 4" xfId="32715"/>
    <cellStyle name="Normal 2 7 3 11 4 2" xfId="32716"/>
    <cellStyle name="Normal 2 7 3 11 4 2 2" xfId="32717"/>
    <cellStyle name="Normal 2 7 3 11 4 3" xfId="32718"/>
    <cellStyle name="Normal 2 7 3 11 4 4" xfId="32719"/>
    <cellStyle name="Normal 2 7 3 11 4 5" xfId="32720"/>
    <cellStyle name="Normal 2 7 3 11 5" xfId="32721"/>
    <cellStyle name="Normal 2 7 3 11 5 2" xfId="32722"/>
    <cellStyle name="Normal 2 7 3 11 5 3" xfId="32723"/>
    <cellStyle name="Normal 2 7 3 11 5 4" xfId="32724"/>
    <cellStyle name="Normal 2 7 3 11 6" xfId="32725"/>
    <cellStyle name="Normal 2 7 3 11 6 2" xfId="32726"/>
    <cellStyle name="Normal 2 7 3 11 7" xfId="32727"/>
    <cellStyle name="Normal 2 7 3 11 8" xfId="32728"/>
    <cellStyle name="Normal 2 7 3 11 9" xfId="32729"/>
    <cellStyle name="Normal 2 7 3 12" xfId="32730"/>
    <cellStyle name="Normal 2 7 3 12 10" xfId="32731"/>
    <cellStyle name="Normal 2 7 3 12 2" xfId="32732"/>
    <cellStyle name="Normal 2 7 3 12 2 2" xfId="32733"/>
    <cellStyle name="Normal 2 7 3 12 2 2 2" xfId="32734"/>
    <cellStyle name="Normal 2 7 3 12 2 2 3" xfId="32735"/>
    <cellStyle name="Normal 2 7 3 12 2 3" xfId="32736"/>
    <cellStyle name="Normal 2 7 3 12 2 4" xfId="32737"/>
    <cellStyle name="Normal 2 7 3 12 2 5" xfId="32738"/>
    <cellStyle name="Normal 2 7 3 12 2 6" xfId="32739"/>
    <cellStyle name="Normal 2 7 3 12 3" xfId="32740"/>
    <cellStyle name="Normal 2 7 3 12 3 2" xfId="32741"/>
    <cellStyle name="Normal 2 7 3 12 3 2 2" xfId="32742"/>
    <cellStyle name="Normal 2 7 3 12 3 2 3" xfId="32743"/>
    <cellStyle name="Normal 2 7 3 12 3 3" xfId="32744"/>
    <cellStyle name="Normal 2 7 3 12 3 4" xfId="32745"/>
    <cellStyle name="Normal 2 7 3 12 3 5" xfId="32746"/>
    <cellStyle name="Normal 2 7 3 12 3 6" xfId="32747"/>
    <cellStyle name="Normal 2 7 3 12 4" xfId="32748"/>
    <cellStyle name="Normal 2 7 3 12 4 2" xfId="32749"/>
    <cellStyle name="Normal 2 7 3 12 4 2 2" xfId="32750"/>
    <cellStyle name="Normal 2 7 3 12 4 3" xfId="32751"/>
    <cellStyle name="Normal 2 7 3 12 4 4" xfId="32752"/>
    <cellStyle name="Normal 2 7 3 12 4 5" xfId="32753"/>
    <cellStyle name="Normal 2 7 3 12 5" xfId="32754"/>
    <cellStyle name="Normal 2 7 3 12 5 2" xfId="32755"/>
    <cellStyle name="Normal 2 7 3 12 5 3" xfId="32756"/>
    <cellStyle name="Normal 2 7 3 12 5 4" xfId="32757"/>
    <cellStyle name="Normal 2 7 3 12 6" xfId="32758"/>
    <cellStyle name="Normal 2 7 3 12 6 2" xfId="32759"/>
    <cellStyle name="Normal 2 7 3 12 7" xfId="32760"/>
    <cellStyle name="Normal 2 7 3 12 8" xfId="32761"/>
    <cellStyle name="Normal 2 7 3 12 9" xfId="32762"/>
    <cellStyle name="Normal 2 7 3 13" xfId="32763"/>
    <cellStyle name="Normal 2 7 3 13 2" xfId="32764"/>
    <cellStyle name="Normal 2 7 3 13 2 2" xfId="32765"/>
    <cellStyle name="Normal 2 7 3 13 2 2 2" xfId="32766"/>
    <cellStyle name="Normal 2 7 3 13 2 2 3" xfId="32767"/>
    <cellStyle name="Normal 2 7 3 13 2 3" xfId="32768"/>
    <cellStyle name="Normal 2 7 3 13 2 4" xfId="32769"/>
    <cellStyle name="Normal 2 7 3 13 2 5" xfId="32770"/>
    <cellStyle name="Normal 2 7 3 13 2 6" xfId="32771"/>
    <cellStyle name="Normal 2 7 3 13 3" xfId="32772"/>
    <cellStyle name="Normal 2 7 3 13 3 2" xfId="32773"/>
    <cellStyle name="Normal 2 7 3 13 3 2 2" xfId="32774"/>
    <cellStyle name="Normal 2 7 3 13 3 3" xfId="32775"/>
    <cellStyle name="Normal 2 7 3 13 3 4" xfId="32776"/>
    <cellStyle name="Normal 2 7 3 13 3 5" xfId="32777"/>
    <cellStyle name="Normal 2 7 3 13 4" xfId="32778"/>
    <cellStyle name="Normal 2 7 3 13 4 2" xfId="32779"/>
    <cellStyle name="Normal 2 7 3 13 4 3" xfId="32780"/>
    <cellStyle name="Normal 2 7 3 13 4 4" xfId="32781"/>
    <cellStyle name="Normal 2 7 3 13 5" xfId="32782"/>
    <cellStyle name="Normal 2 7 3 13 5 2" xfId="32783"/>
    <cellStyle name="Normal 2 7 3 13 6" xfId="32784"/>
    <cellStyle name="Normal 2 7 3 13 7" xfId="32785"/>
    <cellStyle name="Normal 2 7 3 13 8" xfId="32786"/>
    <cellStyle name="Normal 2 7 3 13 9" xfId="32787"/>
    <cellStyle name="Normal 2 7 3 14" xfId="32788"/>
    <cellStyle name="Normal 2 7 3 14 2" xfId="32789"/>
    <cellStyle name="Normal 2 7 3 14 2 2" xfId="32790"/>
    <cellStyle name="Normal 2 7 3 14 2 2 2" xfId="32791"/>
    <cellStyle name="Normal 2 7 3 14 2 2 3" xfId="32792"/>
    <cellStyle name="Normal 2 7 3 14 2 3" xfId="32793"/>
    <cellStyle name="Normal 2 7 3 14 2 4" xfId="32794"/>
    <cellStyle name="Normal 2 7 3 14 2 5" xfId="32795"/>
    <cellStyle name="Normal 2 7 3 14 2 6" xfId="32796"/>
    <cellStyle name="Normal 2 7 3 14 3" xfId="32797"/>
    <cellStyle name="Normal 2 7 3 14 3 2" xfId="32798"/>
    <cellStyle name="Normal 2 7 3 14 3 2 2" xfId="32799"/>
    <cellStyle name="Normal 2 7 3 14 3 3" xfId="32800"/>
    <cellStyle name="Normal 2 7 3 14 3 4" xfId="32801"/>
    <cellStyle name="Normal 2 7 3 14 3 5" xfId="32802"/>
    <cellStyle name="Normal 2 7 3 14 4" xfId="32803"/>
    <cellStyle name="Normal 2 7 3 14 4 2" xfId="32804"/>
    <cellStyle name="Normal 2 7 3 14 4 3" xfId="32805"/>
    <cellStyle name="Normal 2 7 3 14 4 4" xfId="32806"/>
    <cellStyle name="Normal 2 7 3 14 5" xfId="32807"/>
    <cellStyle name="Normal 2 7 3 14 5 2" xfId="32808"/>
    <cellStyle name="Normal 2 7 3 14 6" xfId="32809"/>
    <cellStyle name="Normal 2 7 3 14 7" xfId="32810"/>
    <cellStyle name="Normal 2 7 3 14 8" xfId="32811"/>
    <cellStyle name="Normal 2 7 3 14 9" xfId="32812"/>
    <cellStyle name="Normal 2 7 3 15" xfId="32813"/>
    <cellStyle name="Normal 2 7 3 15 2" xfId="32814"/>
    <cellStyle name="Normal 2 7 3 15 2 2" xfId="32815"/>
    <cellStyle name="Normal 2 7 3 15 2 3" xfId="32816"/>
    <cellStyle name="Normal 2 7 3 15 3" xfId="32817"/>
    <cellStyle name="Normal 2 7 3 15 4" xfId="32818"/>
    <cellStyle name="Normal 2 7 3 15 5" xfId="32819"/>
    <cellStyle name="Normal 2 7 3 15 6" xfId="32820"/>
    <cellStyle name="Normal 2 7 3 16" xfId="32821"/>
    <cellStyle name="Normal 2 7 3 16 2" xfId="32822"/>
    <cellStyle name="Normal 2 7 3 16 2 2" xfId="32823"/>
    <cellStyle name="Normal 2 7 3 16 3" xfId="32824"/>
    <cellStyle name="Normal 2 7 3 16 4" xfId="32825"/>
    <cellStyle name="Normal 2 7 3 16 5" xfId="32826"/>
    <cellStyle name="Normal 2 7 3 17" xfId="32827"/>
    <cellStyle name="Normal 2 7 3 17 2" xfId="32828"/>
    <cellStyle name="Normal 2 7 3 17 2 2" xfId="32829"/>
    <cellStyle name="Normal 2 7 3 17 3" xfId="32830"/>
    <cellStyle name="Normal 2 7 3 17 4" xfId="32831"/>
    <cellStyle name="Normal 2 7 3 17 5" xfId="32832"/>
    <cellStyle name="Normal 2 7 3 18" xfId="32833"/>
    <cellStyle name="Normal 2 7 3 18 2" xfId="32834"/>
    <cellStyle name="Normal 2 7 3 19" xfId="32835"/>
    <cellStyle name="Normal 2 7 3 2" xfId="32836"/>
    <cellStyle name="Normal 2 7 3 2 10" xfId="32837"/>
    <cellStyle name="Normal 2 7 3 2 11" xfId="32838"/>
    <cellStyle name="Normal 2 7 3 2 2" xfId="32839"/>
    <cellStyle name="Normal 2 7 3 2 2 2" xfId="32840"/>
    <cellStyle name="Normal 2 7 3 2 2 2 2" xfId="32841"/>
    <cellStyle name="Normal 2 7 3 2 2 2 2 2" xfId="32842"/>
    <cellStyle name="Normal 2 7 3 2 2 2 2 3" xfId="32843"/>
    <cellStyle name="Normal 2 7 3 2 2 2 3" xfId="32844"/>
    <cellStyle name="Normal 2 7 3 2 2 2 4" xfId="32845"/>
    <cellStyle name="Normal 2 7 3 2 2 2 5" xfId="32846"/>
    <cellStyle name="Normal 2 7 3 2 2 2 6" xfId="32847"/>
    <cellStyle name="Normal 2 7 3 2 2 3" xfId="32848"/>
    <cellStyle name="Normal 2 7 3 2 2 3 2" xfId="32849"/>
    <cellStyle name="Normal 2 7 3 2 2 3 2 2" xfId="32850"/>
    <cellStyle name="Normal 2 7 3 2 2 3 3" xfId="32851"/>
    <cellStyle name="Normal 2 7 3 2 2 3 4" xfId="32852"/>
    <cellStyle name="Normal 2 7 3 2 2 3 5" xfId="32853"/>
    <cellStyle name="Normal 2 7 3 2 2 4" xfId="32854"/>
    <cellStyle name="Normal 2 7 3 2 2 4 2" xfId="32855"/>
    <cellStyle name="Normal 2 7 3 2 2 4 3" xfId="32856"/>
    <cellStyle name="Normal 2 7 3 2 2 4 4" xfId="32857"/>
    <cellStyle name="Normal 2 7 3 2 2 5" xfId="32858"/>
    <cellStyle name="Normal 2 7 3 2 2 5 2" xfId="32859"/>
    <cellStyle name="Normal 2 7 3 2 2 6" xfId="32860"/>
    <cellStyle name="Normal 2 7 3 2 2 7" xfId="32861"/>
    <cellStyle name="Normal 2 7 3 2 2 8" xfId="32862"/>
    <cellStyle name="Normal 2 7 3 2 2 9" xfId="32863"/>
    <cellStyle name="Normal 2 7 3 2 3" xfId="32864"/>
    <cellStyle name="Normal 2 7 3 2 3 2" xfId="32865"/>
    <cellStyle name="Normal 2 7 3 2 3 2 2" xfId="32866"/>
    <cellStyle name="Normal 2 7 3 2 3 2 2 2" xfId="32867"/>
    <cellStyle name="Normal 2 7 3 2 3 2 2 3" xfId="32868"/>
    <cellStyle name="Normal 2 7 3 2 3 2 3" xfId="32869"/>
    <cellStyle name="Normal 2 7 3 2 3 2 4" xfId="32870"/>
    <cellStyle name="Normal 2 7 3 2 3 2 5" xfId="32871"/>
    <cellStyle name="Normal 2 7 3 2 3 2 6" xfId="32872"/>
    <cellStyle name="Normal 2 7 3 2 3 3" xfId="32873"/>
    <cellStyle name="Normal 2 7 3 2 3 3 2" xfId="32874"/>
    <cellStyle name="Normal 2 7 3 2 3 3 2 2" xfId="32875"/>
    <cellStyle name="Normal 2 7 3 2 3 3 3" xfId="32876"/>
    <cellStyle name="Normal 2 7 3 2 3 3 4" xfId="32877"/>
    <cellStyle name="Normal 2 7 3 2 3 3 5" xfId="32878"/>
    <cellStyle name="Normal 2 7 3 2 3 4" xfId="32879"/>
    <cellStyle name="Normal 2 7 3 2 3 4 2" xfId="32880"/>
    <cellStyle name="Normal 2 7 3 2 3 4 3" xfId="32881"/>
    <cellStyle name="Normal 2 7 3 2 3 4 4" xfId="32882"/>
    <cellStyle name="Normal 2 7 3 2 3 5" xfId="32883"/>
    <cellStyle name="Normal 2 7 3 2 3 5 2" xfId="32884"/>
    <cellStyle name="Normal 2 7 3 2 3 6" xfId="32885"/>
    <cellStyle name="Normal 2 7 3 2 3 7" xfId="32886"/>
    <cellStyle name="Normal 2 7 3 2 3 8" xfId="32887"/>
    <cellStyle name="Normal 2 7 3 2 3 9" xfId="32888"/>
    <cellStyle name="Normal 2 7 3 2 4" xfId="32889"/>
    <cellStyle name="Normal 2 7 3 2 4 2" xfId="32890"/>
    <cellStyle name="Normal 2 7 3 2 4 2 2" xfId="32891"/>
    <cellStyle name="Normal 2 7 3 2 4 2 3" xfId="32892"/>
    <cellStyle name="Normal 2 7 3 2 4 3" xfId="32893"/>
    <cellStyle name="Normal 2 7 3 2 4 4" xfId="32894"/>
    <cellStyle name="Normal 2 7 3 2 4 5" xfId="32895"/>
    <cellStyle name="Normal 2 7 3 2 4 6" xfId="32896"/>
    <cellStyle name="Normal 2 7 3 2 5" xfId="32897"/>
    <cellStyle name="Normal 2 7 3 2 5 2" xfId="32898"/>
    <cellStyle name="Normal 2 7 3 2 5 2 2" xfId="32899"/>
    <cellStyle name="Normal 2 7 3 2 5 3" xfId="32900"/>
    <cellStyle name="Normal 2 7 3 2 5 4" xfId="32901"/>
    <cellStyle name="Normal 2 7 3 2 5 5" xfId="32902"/>
    <cellStyle name="Normal 2 7 3 2 6" xfId="32903"/>
    <cellStyle name="Normal 2 7 3 2 6 2" xfId="32904"/>
    <cellStyle name="Normal 2 7 3 2 6 3" xfId="32905"/>
    <cellStyle name="Normal 2 7 3 2 6 4" xfId="32906"/>
    <cellStyle name="Normal 2 7 3 2 7" xfId="32907"/>
    <cellStyle name="Normal 2 7 3 2 7 2" xfId="32908"/>
    <cellStyle name="Normal 2 7 3 2 8" xfId="32909"/>
    <cellStyle name="Normal 2 7 3 2 9" xfId="32910"/>
    <cellStyle name="Normal 2 7 3 20" xfId="32911"/>
    <cellStyle name="Normal 2 7 3 21" xfId="32912"/>
    <cellStyle name="Normal 2 7 3 22" xfId="32913"/>
    <cellStyle name="Normal 2 7 3 3" xfId="32914"/>
    <cellStyle name="Normal 2 7 3 3 10" xfId="32915"/>
    <cellStyle name="Normal 2 7 3 3 11" xfId="32916"/>
    <cellStyle name="Normal 2 7 3 3 2" xfId="32917"/>
    <cellStyle name="Normal 2 7 3 3 2 2" xfId="32918"/>
    <cellStyle name="Normal 2 7 3 3 2 2 2" xfId="32919"/>
    <cellStyle name="Normal 2 7 3 3 2 2 2 2" xfId="32920"/>
    <cellStyle name="Normal 2 7 3 3 2 2 2 3" xfId="32921"/>
    <cellStyle name="Normal 2 7 3 3 2 2 3" xfId="32922"/>
    <cellStyle name="Normal 2 7 3 3 2 2 4" xfId="32923"/>
    <cellStyle name="Normal 2 7 3 3 2 2 5" xfId="32924"/>
    <cellStyle name="Normal 2 7 3 3 2 2 6" xfId="32925"/>
    <cellStyle name="Normal 2 7 3 3 2 3" xfId="32926"/>
    <cellStyle name="Normal 2 7 3 3 2 3 2" xfId="32927"/>
    <cellStyle name="Normal 2 7 3 3 2 3 2 2" xfId="32928"/>
    <cellStyle name="Normal 2 7 3 3 2 3 3" xfId="32929"/>
    <cellStyle name="Normal 2 7 3 3 2 3 4" xfId="32930"/>
    <cellStyle name="Normal 2 7 3 3 2 3 5" xfId="32931"/>
    <cellStyle name="Normal 2 7 3 3 2 4" xfId="32932"/>
    <cellStyle name="Normal 2 7 3 3 2 4 2" xfId="32933"/>
    <cellStyle name="Normal 2 7 3 3 2 4 3" xfId="32934"/>
    <cellStyle name="Normal 2 7 3 3 2 4 4" xfId="32935"/>
    <cellStyle name="Normal 2 7 3 3 2 5" xfId="32936"/>
    <cellStyle name="Normal 2 7 3 3 2 5 2" xfId="32937"/>
    <cellStyle name="Normal 2 7 3 3 2 6" xfId="32938"/>
    <cellStyle name="Normal 2 7 3 3 2 7" xfId="32939"/>
    <cellStyle name="Normal 2 7 3 3 2 8" xfId="32940"/>
    <cellStyle name="Normal 2 7 3 3 2 9" xfId="32941"/>
    <cellStyle name="Normal 2 7 3 3 3" xfId="32942"/>
    <cellStyle name="Normal 2 7 3 3 3 2" xfId="32943"/>
    <cellStyle name="Normal 2 7 3 3 3 2 2" xfId="32944"/>
    <cellStyle name="Normal 2 7 3 3 3 2 2 2" xfId="32945"/>
    <cellStyle name="Normal 2 7 3 3 3 2 2 3" xfId="32946"/>
    <cellStyle name="Normal 2 7 3 3 3 2 3" xfId="32947"/>
    <cellStyle name="Normal 2 7 3 3 3 2 4" xfId="32948"/>
    <cellStyle name="Normal 2 7 3 3 3 2 5" xfId="32949"/>
    <cellStyle name="Normal 2 7 3 3 3 2 6" xfId="32950"/>
    <cellStyle name="Normal 2 7 3 3 3 3" xfId="32951"/>
    <cellStyle name="Normal 2 7 3 3 3 3 2" xfId="32952"/>
    <cellStyle name="Normal 2 7 3 3 3 3 2 2" xfId="32953"/>
    <cellStyle name="Normal 2 7 3 3 3 3 3" xfId="32954"/>
    <cellStyle name="Normal 2 7 3 3 3 3 4" xfId="32955"/>
    <cellStyle name="Normal 2 7 3 3 3 3 5" xfId="32956"/>
    <cellStyle name="Normal 2 7 3 3 3 4" xfId="32957"/>
    <cellStyle name="Normal 2 7 3 3 3 4 2" xfId="32958"/>
    <cellStyle name="Normal 2 7 3 3 3 4 3" xfId="32959"/>
    <cellStyle name="Normal 2 7 3 3 3 4 4" xfId="32960"/>
    <cellStyle name="Normal 2 7 3 3 3 5" xfId="32961"/>
    <cellStyle name="Normal 2 7 3 3 3 5 2" xfId="32962"/>
    <cellStyle name="Normal 2 7 3 3 3 6" xfId="32963"/>
    <cellStyle name="Normal 2 7 3 3 3 7" xfId="32964"/>
    <cellStyle name="Normal 2 7 3 3 3 8" xfId="32965"/>
    <cellStyle name="Normal 2 7 3 3 3 9" xfId="32966"/>
    <cellStyle name="Normal 2 7 3 3 4" xfId="32967"/>
    <cellStyle name="Normal 2 7 3 3 4 2" xfId="32968"/>
    <cellStyle name="Normal 2 7 3 3 4 2 2" xfId="32969"/>
    <cellStyle name="Normal 2 7 3 3 4 2 3" xfId="32970"/>
    <cellStyle name="Normal 2 7 3 3 4 3" xfId="32971"/>
    <cellStyle name="Normal 2 7 3 3 4 4" xfId="32972"/>
    <cellStyle name="Normal 2 7 3 3 4 5" xfId="32973"/>
    <cellStyle name="Normal 2 7 3 3 4 6" xfId="32974"/>
    <cellStyle name="Normal 2 7 3 3 5" xfId="32975"/>
    <cellStyle name="Normal 2 7 3 3 5 2" xfId="32976"/>
    <cellStyle name="Normal 2 7 3 3 5 2 2" xfId="32977"/>
    <cellStyle name="Normal 2 7 3 3 5 3" xfId="32978"/>
    <cellStyle name="Normal 2 7 3 3 5 4" xfId="32979"/>
    <cellStyle name="Normal 2 7 3 3 5 5" xfId="32980"/>
    <cellStyle name="Normal 2 7 3 3 6" xfId="32981"/>
    <cellStyle name="Normal 2 7 3 3 6 2" xfId="32982"/>
    <cellStyle name="Normal 2 7 3 3 6 3" xfId="32983"/>
    <cellStyle name="Normal 2 7 3 3 6 4" xfId="32984"/>
    <cellStyle name="Normal 2 7 3 3 7" xfId="32985"/>
    <cellStyle name="Normal 2 7 3 3 7 2" xfId="32986"/>
    <cellStyle name="Normal 2 7 3 3 8" xfId="32987"/>
    <cellStyle name="Normal 2 7 3 3 9" xfId="32988"/>
    <cellStyle name="Normal 2 7 3 4" xfId="32989"/>
    <cellStyle name="Normal 2 7 3 4 10" xfId="32990"/>
    <cellStyle name="Normal 2 7 3 4 11" xfId="32991"/>
    <cellStyle name="Normal 2 7 3 4 2" xfId="32992"/>
    <cellStyle name="Normal 2 7 3 4 2 2" xfId="32993"/>
    <cellStyle name="Normal 2 7 3 4 2 2 2" xfId="32994"/>
    <cellStyle name="Normal 2 7 3 4 2 2 2 2" xfId="32995"/>
    <cellStyle name="Normal 2 7 3 4 2 2 2 3" xfId="32996"/>
    <cellStyle name="Normal 2 7 3 4 2 2 3" xfId="32997"/>
    <cellStyle name="Normal 2 7 3 4 2 2 4" xfId="32998"/>
    <cellStyle name="Normal 2 7 3 4 2 2 5" xfId="32999"/>
    <cellStyle name="Normal 2 7 3 4 2 2 6" xfId="33000"/>
    <cellStyle name="Normal 2 7 3 4 2 3" xfId="33001"/>
    <cellStyle name="Normal 2 7 3 4 2 3 2" xfId="33002"/>
    <cellStyle name="Normal 2 7 3 4 2 3 2 2" xfId="33003"/>
    <cellStyle name="Normal 2 7 3 4 2 3 3" xfId="33004"/>
    <cellStyle name="Normal 2 7 3 4 2 3 4" xfId="33005"/>
    <cellStyle name="Normal 2 7 3 4 2 3 5" xfId="33006"/>
    <cellStyle name="Normal 2 7 3 4 2 4" xfId="33007"/>
    <cellStyle name="Normal 2 7 3 4 2 4 2" xfId="33008"/>
    <cellStyle name="Normal 2 7 3 4 2 4 3" xfId="33009"/>
    <cellStyle name="Normal 2 7 3 4 2 4 4" xfId="33010"/>
    <cellStyle name="Normal 2 7 3 4 2 5" xfId="33011"/>
    <cellStyle name="Normal 2 7 3 4 2 5 2" xfId="33012"/>
    <cellStyle name="Normal 2 7 3 4 2 6" xfId="33013"/>
    <cellStyle name="Normal 2 7 3 4 2 7" xfId="33014"/>
    <cellStyle name="Normal 2 7 3 4 2 8" xfId="33015"/>
    <cellStyle name="Normal 2 7 3 4 2 9" xfId="33016"/>
    <cellStyle name="Normal 2 7 3 4 3" xfId="33017"/>
    <cellStyle name="Normal 2 7 3 4 3 2" xfId="33018"/>
    <cellStyle name="Normal 2 7 3 4 3 2 2" xfId="33019"/>
    <cellStyle name="Normal 2 7 3 4 3 2 2 2" xfId="33020"/>
    <cellStyle name="Normal 2 7 3 4 3 2 2 3" xfId="33021"/>
    <cellStyle name="Normal 2 7 3 4 3 2 3" xfId="33022"/>
    <cellStyle name="Normal 2 7 3 4 3 2 4" xfId="33023"/>
    <cellStyle name="Normal 2 7 3 4 3 2 5" xfId="33024"/>
    <cellStyle name="Normal 2 7 3 4 3 2 6" xfId="33025"/>
    <cellStyle name="Normal 2 7 3 4 3 3" xfId="33026"/>
    <cellStyle name="Normal 2 7 3 4 3 3 2" xfId="33027"/>
    <cellStyle name="Normal 2 7 3 4 3 3 2 2" xfId="33028"/>
    <cellStyle name="Normal 2 7 3 4 3 3 3" xfId="33029"/>
    <cellStyle name="Normal 2 7 3 4 3 3 4" xfId="33030"/>
    <cellStyle name="Normal 2 7 3 4 3 3 5" xfId="33031"/>
    <cellStyle name="Normal 2 7 3 4 3 4" xfId="33032"/>
    <cellStyle name="Normal 2 7 3 4 3 4 2" xfId="33033"/>
    <cellStyle name="Normal 2 7 3 4 3 4 3" xfId="33034"/>
    <cellStyle name="Normal 2 7 3 4 3 4 4" xfId="33035"/>
    <cellStyle name="Normal 2 7 3 4 3 5" xfId="33036"/>
    <cellStyle name="Normal 2 7 3 4 3 5 2" xfId="33037"/>
    <cellStyle name="Normal 2 7 3 4 3 6" xfId="33038"/>
    <cellStyle name="Normal 2 7 3 4 3 7" xfId="33039"/>
    <cellStyle name="Normal 2 7 3 4 3 8" xfId="33040"/>
    <cellStyle name="Normal 2 7 3 4 3 9" xfId="33041"/>
    <cellStyle name="Normal 2 7 3 4 4" xfId="33042"/>
    <cellStyle name="Normal 2 7 3 4 4 2" xfId="33043"/>
    <cellStyle name="Normal 2 7 3 4 4 2 2" xfId="33044"/>
    <cellStyle name="Normal 2 7 3 4 4 2 3" xfId="33045"/>
    <cellStyle name="Normal 2 7 3 4 4 3" xfId="33046"/>
    <cellStyle name="Normal 2 7 3 4 4 4" xfId="33047"/>
    <cellStyle name="Normal 2 7 3 4 4 5" xfId="33048"/>
    <cellStyle name="Normal 2 7 3 4 4 6" xfId="33049"/>
    <cellStyle name="Normal 2 7 3 4 5" xfId="33050"/>
    <cellStyle name="Normal 2 7 3 4 5 2" xfId="33051"/>
    <cellStyle name="Normal 2 7 3 4 5 2 2" xfId="33052"/>
    <cellStyle name="Normal 2 7 3 4 5 3" xfId="33053"/>
    <cellStyle name="Normal 2 7 3 4 5 4" xfId="33054"/>
    <cellStyle name="Normal 2 7 3 4 5 5" xfId="33055"/>
    <cellStyle name="Normal 2 7 3 4 6" xfId="33056"/>
    <cellStyle name="Normal 2 7 3 4 6 2" xfId="33057"/>
    <cellStyle name="Normal 2 7 3 4 6 3" xfId="33058"/>
    <cellStyle name="Normal 2 7 3 4 6 4" xfId="33059"/>
    <cellStyle name="Normal 2 7 3 4 7" xfId="33060"/>
    <cellStyle name="Normal 2 7 3 4 7 2" xfId="33061"/>
    <cellStyle name="Normal 2 7 3 4 8" xfId="33062"/>
    <cellStyle name="Normal 2 7 3 4 9" xfId="33063"/>
    <cellStyle name="Normal 2 7 3 5" xfId="33064"/>
    <cellStyle name="Normal 2 7 3 5 10" xfId="33065"/>
    <cellStyle name="Normal 2 7 3 5 11" xfId="33066"/>
    <cellStyle name="Normal 2 7 3 5 2" xfId="33067"/>
    <cellStyle name="Normal 2 7 3 5 2 2" xfId="33068"/>
    <cellStyle name="Normal 2 7 3 5 2 2 2" xfId="33069"/>
    <cellStyle name="Normal 2 7 3 5 2 2 2 2" xfId="33070"/>
    <cellStyle name="Normal 2 7 3 5 2 2 2 3" xfId="33071"/>
    <cellStyle name="Normal 2 7 3 5 2 2 3" xfId="33072"/>
    <cellStyle name="Normal 2 7 3 5 2 2 4" xfId="33073"/>
    <cellStyle name="Normal 2 7 3 5 2 2 5" xfId="33074"/>
    <cellStyle name="Normal 2 7 3 5 2 2 6" xfId="33075"/>
    <cellStyle name="Normal 2 7 3 5 2 3" xfId="33076"/>
    <cellStyle name="Normal 2 7 3 5 2 3 2" xfId="33077"/>
    <cellStyle name="Normal 2 7 3 5 2 3 2 2" xfId="33078"/>
    <cellStyle name="Normal 2 7 3 5 2 3 3" xfId="33079"/>
    <cellStyle name="Normal 2 7 3 5 2 3 4" xfId="33080"/>
    <cellStyle name="Normal 2 7 3 5 2 3 5" xfId="33081"/>
    <cellStyle name="Normal 2 7 3 5 2 4" xfId="33082"/>
    <cellStyle name="Normal 2 7 3 5 2 4 2" xfId="33083"/>
    <cellStyle name="Normal 2 7 3 5 2 4 3" xfId="33084"/>
    <cellStyle name="Normal 2 7 3 5 2 4 4" xfId="33085"/>
    <cellStyle name="Normal 2 7 3 5 2 5" xfId="33086"/>
    <cellStyle name="Normal 2 7 3 5 2 5 2" xfId="33087"/>
    <cellStyle name="Normal 2 7 3 5 2 6" xfId="33088"/>
    <cellStyle name="Normal 2 7 3 5 2 7" xfId="33089"/>
    <cellStyle name="Normal 2 7 3 5 2 8" xfId="33090"/>
    <cellStyle name="Normal 2 7 3 5 2 9" xfId="33091"/>
    <cellStyle name="Normal 2 7 3 5 3" xfId="33092"/>
    <cellStyle name="Normal 2 7 3 5 3 2" xfId="33093"/>
    <cellStyle name="Normal 2 7 3 5 3 2 2" xfId="33094"/>
    <cellStyle name="Normal 2 7 3 5 3 2 2 2" xfId="33095"/>
    <cellStyle name="Normal 2 7 3 5 3 2 2 3" xfId="33096"/>
    <cellStyle name="Normal 2 7 3 5 3 2 3" xfId="33097"/>
    <cellStyle name="Normal 2 7 3 5 3 2 4" xfId="33098"/>
    <cellStyle name="Normal 2 7 3 5 3 2 5" xfId="33099"/>
    <cellStyle name="Normal 2 7 3 5 3 2 6" xfId="33100"/>
    <cellStyle name="Normal 2 7 3 5 3 3" xfId="33101"/>
    <cellStyle name="Normal 2 7 3 5 3 3 2" xfId="33102"/>
    <cellStyle name="Normal 2 7 3 5 3 3 2 2" xfId="33103"/>
    <cellStyle name="Normal 2 7 3 5 3 3 3" xfId="33104"/>
    <cellStyle name="Normal 2 7 3 5 3 3 4" xfId="33105"/>
    <cellStyle name="Normal 2 7 3 5 3 3 5" xfId="33106"/>
    <cellStyle name="Normal 2 7 3 5 3 4" xfId="33107"/>
    <cellStyle name="Normal 2 7 3 5 3 4 2" xfId="33108"/>
    <cellStyle name="Normal 2 7 3 5 3 4 3" xfId="33109"/>
    <cellStyle name="Normal 2 7 3 5 3 4 4" xfId="33110"/>
    <cellStyle name="Normal 2 7 3 5 3 5" xfId="33111"/>
    <cellStyle name="Normal 2 7 3 5 3 5 2" xfId="33112"/>
    <cellStyle name="Normal 2 7 3 5 3 6" xfId="33113"/>
    <cellStyle name="Normal 2 7 3 5 3 7" xfId="33114"/>
    <cellStyle name="Normal 2 7 3 5 3 8" xfId="33115"/>
    <cellStyle name="Normal 2 7 3 5 3 9" xfId="33116"/>
    <cellStyle name="Normal 2 7 3 5 4" xfId="33117"/>
    <cellStyle name="Normal 2 7 3 5 4 2" xfId="33118"/>
    <cellStyle name="Normal 2 7 3 5 4 2 2" xfId="33119"/>
    <cellStyle name="Normal 2 7 3 5 4 2 3" xfId="33120"/>
    <cellStyle name="Normal 2 7 3 5 4 3" xfId="33121"/>
    <cellStyle name="Normal 2 7 3 5 4 4" xfId="33122"/>
    <cellStyle name="Normal 2 7 3 5 4 5" xfId="33123"/>
    <cellStyle name="Normal 2 7 3 5 4 6" xfId="33124"/>
    <cellStyle name="Normal 2 7 3 5 5" xfId="33125"/>
    <cellStyle name="Normal 2 7 3 5 5 2" xfId="33126"/>
    <cellStyle name="Normal 2 7 3 5 5 2 2" xfId="33127"/>
    <cellStyle name="Normal 2 7 3 5 5 3" xfId="33128"/>
    <cellStyle name="Normal 2 7 3 5 5 4" xfId="33129"/>
    <cellStyle name="Normal 2 7 3 5 5 5" xfId="33130"/>
    <cellStyle name="Normal 2 7 3 5 6" xfId="33131"/>
    <cellStyle name="Normal 2 7 3 5 6 2" xfId="33132"/>
    <cellStyle name="Normal 2 7 3 5 6 3" xfId="33133"/>
    <cellStyle name="Normal 2 7 3 5 6 4" xfId="33134"/>
    <cellStyle name="Normal 2 7 3 5 7" xfId="33135"/>
    <cellStyle name="Normal 2 7 3 5 7 2" xfId="33136"/>
    <cellStyle name="Normal 2 7 3 5 8" xfId="33137"/>
    <cellStyle name="Normal 2 7 3 5 9" xfId="33138"/>
    <cellStyle name="Normal 2 7 3 6" xfId="33139"/>
    <cellStyle name="Normal 2 7 3 6 10" xfId="33140"/>
    <cellStyle name="Normal 2 7 3 6 11" xfId="33141"/>
    <cellStyle name="Normal 2 7 3 6 2" xfId="33142"/>
    <cellStyle name="Normal 2 7 3 6 2 2" xfId="33143"/>
    <cellStyle name="Normal 2 7 3 6 2 2 2" xfId="33144"/>
    <cellStyle name="Normal 2 7 3 6 2 2 2 2" xfId="33145"/>
    <cellStyle name="Normal 2 7 3 6 2 2 2 3" xfId="33146"/>
    <cellStyle name="Normal 2 7 3 6 2 2 3" xfId="33147"/>
    <cellStyle name="Normal 2 7 3 6 2 2 4" xfId="33148"/>
    <cellStyle name="Normal 2 7 3 6 2 2 5" xfId="33149"/>
    <cellStyle name="Normal 2 7 3 6 2 2 6" xfId="33150"/>
    <cellStyle name="Normal 2 7 3 6 2 3" xfId="33151"/>
    <cellStyle name="Normal 2 7 3 6 2 3 2" xfId="33152"/>
    <cellStyle name="Normal 2 7 3 6 2 3 2 2" xfId="33153"/>
    <cellStyle name="Normal 2 7 3 6 2 3 3" xfId="33154"/>
    <cellStyle name="Normal 2 7 3 6 2 3 4" xfId="33155"/>
    <cellStyle name="Normal 2 7 3 6 2 3 5" xfId="33156"/>
    <cellStyle name="Normal 2 7 3 6 2 4" xfId="33157"/>
    <cellStyle name="Normal 2 7 3 6 2 4 2" xfId="33158"/>
    <cellStyle name="Normal 2 7 3 6 2 4 3" xfId="33159"/>
    <cellStyle name="Normal 2 7 3 6 2 4 4" xfId="33160"/>
    <cellStyle name="Normal 2 7 3 6 2 5" xfId="33161"/>
    <cellStyle name="Normal 2 7 3 6 2 5 2" xfId="33162"/>
    <cellStyle name="Normal 2 7 3 6 2 6" xfId="33163"/>
    <cellStyle name="Normal 2 7 3 6 2 7" xfId="33164"/>
    <cellStyle name="Normal 2 7 3 6 2 8" xfId="33165"/>
    <cellStyle name="Normal 2 7 3 6 2 9" xfId="33166"/>
    <cellStyle name="Normal 2 7 3 6 3" xfId="33167"/>
    <cellStyle name="Normal 2 7 3 6 3 2" xfId="33168"/>
    <cellStyle name="Normal 2 7 3 6 3 2 2" xfId="33169"/>
    <cellStyle name="Normal 2 7 3 6 3 2 2 2" xfId="33170"/>
    <cellStyle name="Normal 2 7 3 6 3 2 2 3" xfId="33171"/>
    <cellStyle name="Normal 2 7 3 6 3 2 3" xfId="33172"/>
    <cellStyle name="Normal 2 7 3 6 3 2 4" xfId="33173"/>
    <cellStyle name="Normal 2 7 3 6 3 2 5" xfId="33174"/>
    <cellStyle name="Normal 2 7 3 6 3 2 6" xfId="33175"/>
    <cellStyle name="Normal 2 7 3 6 3 3" xfId="33176"/>
    <cellStyle name="Normal 2 7 3 6 3 3 2" xfId="33177"/>
    <cellStyle name="Normal 2 7 3 6 3 3 2 2" xfId="33178"/>
    <cellStyle name="Normal 2 7 3 6 3 3 3" xfId="33179"/>
    <cellStyle name="Normal 2 7 3 6 3 3 4" xfId="33180"/>
    <cellStyle name="Normal 2 7 3 6 3 3 5" xfId="33181"/>
    <cellStyle name="Normal 2 7 3 6 3 4" xfId="33182"/>
    <cellStyle name="Normal 2 7 3 6 3 4 2" xfId="33183"/>
    <cellStyle name="Normal 2 7 3 6 3 4 3" xfId="33184"/>
    <cellStyle name="Normal 2 7 3 6 3 4 4" xfId="33185"/>
    <cellStyle name="Normal 2 7 3 6 3 5" xfId="33186"/>
    <cellStyle name="Normal 2 7 3 6 3 5 2" xfId="33187"/>
    <cellStyle name="Normal 2 7 3 6 3 6" xfId="33188"/>
    <cellStyle name="Normal 2 7 3 6 3 7" xfId="33189"/>
    <cellStyle name="Normal 2 7 3 6 3 8" xfId="33190"/>
    <cellStyle name="Normal 2 7 3 6 3 9" xfId="33191"/>
    <cellStyle name="Normal 2 7 3 6 4" xfId="33192"/>
    <cellStyle name="Normal 2 7 3 6 4 2" xfId="33193"/>
    <cellStyle name="Normal 2 7 3 6 4 2 2" xfId="33194"/>
    <cellStyle name="Normal 2 7 3 6 4 2 3" xfId="33195"/>
    <cellStyle name="Normal 2 7 3 6 4 3" xfId="33196"/>
    <cellStyle name="Normal 2 7 3 6 4 4" xfId="33197"/>
    <cellStyle name="Normal 2 7 3 6 4 5" xfId="33198"/>
    <cellStyle name="Normal 2 7 3 6 4 6" xfId="33199"/>
    <cellStyle name="Normal 2 7 3 6 5" xfId="33200"/>
    <cellStyle name="Normal 2 7 3 6 5 2" xfId="33201"/>
    <cellStyle name="Normal 2 7 3 6 5 2 2" xfId="33202"/>
    <cellStyle name="Normal 2 7 3 6 5 3" xfId="33203"/>
    <cellStyle name="Normal 2 7 3 6 5 4" xfId="33204"/>
    <cellStyle name="Normal 2 7 3 6 5 5" xfId="33205"/>
    <cellStyle name="Normal 2 7 3 6 6" xfId="33206"/>
    <cellStyle name="Normal 2 7 3 6 6 2" xfId="33207"/>
    <cellStyle name="Normal 2 7 3 6 6 3" xfId="33208"/>
    <cellStyle name="Normal 2 7 3 6 6 4" xfId="33209"/>
    <cellStyle name="Normal 2 7 3 6 7" xfId="33210"/>
    <cellStyle name="Normal 2 7 3 6 7 2" xfId="33211"/>
    <cellStyle name="Normal 2 7 3 6 8" xfId="33212"/>
    <cellStyle name="Normal 2 7 3 6 9" xfId="33213"/>
    <cellStyle name="Normal 2 7 3 7" xfId="33214"/>
    <cellStyle name="Normal 2 7 3 7 10" xfId="33215"/>
    <cellStyle name="Normal 2 7 3 7 11" xfId="33216"/>
    <cellStyle name="Normal 2 7 3 7 2" xfId="33217"/>
    <cellStyle name="Normal 2 7 3 7 2 2" xfId="33218"/>
    <cellStyle name="Normal 2 7 3 7 2 2 2" xfId="33219"/>
    <cellStyle name="Normal 2 7 3 7 2 2 2 2" xfId="33220"/>
    <cellStyle name="Normal 2 7 3 7 2 2 2 3" xfId="33221"/>
    <cellStyle name="Normal 2 7 3 7 2 2 3" xfId="33222"/>
    <cellStyle name="Normal 2 7 3 7 2 2 4" xfId="33223"/>
    <cellStyle name="Normal 2 7 3 7 2 2 5" xfId="33224"/>
    <cellStyle name="Normal 2 7 3 7 2 2 6" xfId="33225"/>
    <cellStyle name="Normal 2 7 3 7 2 3" xfId="33226"/>
    <cellStyle name="Normal 2 7 3 7 2 3 2" xfId="33227"/>
    <cellStyle name="Normal 2 7 3 7 2 3 2 2" xfId="33228"/>
    <cellStyle name="Normal 2 7 3 7 2 3 3" xfId="33229"/>
    <cellStyle name="Normal 2 7 3 7 2 3 4" xfId="33230"/>
    <cellStyle name="Normal 2 7 3 7 2 3 5" xfId="33231"/>
    <cellStyle name="Normal 2 7 3 7 2 4" xfId="33232"/>
    <cellStyle name="Normal 2 7 3 7 2 4 2" xfId="33233"/>
    <cellStyle name="Normal 2 7 3 7 2 4 3" xfId="33234"/>
    <cellStyle name="Normal 2 7 3 7 2 4 4" xfId="33235"/>
    <cellStyle name="Normal 2 7 3 7 2 5" xfId="33236"/>
    <cellStyle name="Normal 2 7 3 7 2 5 2" xfId="33237"/>
    <cellStyle name="Normal 2 7 3 7 2 6" xfId="33238"/>
    <cellStyle name="Normal 2 7 3 7 2 7" xfId="33239"/>
    <cellStyle name="Normal 2 7 3 7 2 8" xfId="33240"/>
    <cellStyle name="Normal 2 7 3 7 2 9" xfId="33241"/>
    <cellStyle name="Normal 2 7 3 7 3" xfId="33242"/>
    <cellStyle name="Normal 2 7 3 7 3 2" xfId="33243"/>
    <cellStyle name="Normal 2 7 3 7 3 2 2" xfId="33244"/>
    <cellStyle name="Normal 2 7 3 7 3 2 2 2" xfId="33245"/>
    <cellStyle name="Normal 2 7 3 7 3 2 2 3" xfId="33246"/>
    <cellStyle name="Normal 2 7 3 7 3 2 3" xfId="33247"/>
    <cellStyle name="Normal 2 7 3 7 3 2 4" xfId="33248"/>
    <cellStyle name="Normal 2 7 3 7 3 2 5" xfId="33249"/>
    <cellStyle name="Normal 2 7 3 7 3 2 6" xfId="33250"/>
    <cellStyle name="Normal 2 7 3 7 3 3" xfId="33251"/>
    <cellStyle name="Normal 2 7 3 7 3 3 2" xfId="33252"/>
    <cellStyle name="Normal 2 7 3 7 3 3 2 2" xfId="33253"/>
    <cellStyle name="Normal 2 7 3 7 3 3 3" xfId="33254"/>
    <cellStyle name="Normal 2 7 3 7 3 3 4" xfId="33255"/>
    <cellStyle name="Normal 2 7 3 7 3 3 5" xfId="33256"/>
    <cellStyle name="Normal 2 7 3 7 3 4" xfId="33257"/>
    <cellStyle name="Normal 2 7 3 7 3 4 2" xfId="33258"/>
    <cellStyle name="Normal 2 7 3 7 3 4 3" xfId="33259"/>
    <cellStyle name="Normal 2 7 3 7 3 4 4" xfId="33260"/>
    <cellStyle name="Normal 2 7 3 7 3 5" xfId="33261"/>
    <cellStyle name="Normal 2 7 3 7 3 5 2" xfId="33262"/>
    <cellStyle name="Normal 2 7 3 7 3 6" xfId="33263"/>
    <cellStyle name="Normal 2 7 3 7 3 7" xfId="33264"/>
    <cellStyle name="Normal 2 7 3 7 3 8" xfId="33265"/>
    <cellStyle name="Normal 2 7 3 7 3 9" xfId="33266"/>
    <cellStyle name="Normal 2 7 3 7 4" xfId="33267"/>
    <cellStyle name="Normal 2 7 3 7 4 2" xfId="33268"/>
    <cellStyle name="Normal 2 7 3 7 4 2 2" xfId="33269"/>
    <cellStyle name="Normal 2 7 3 7 4 2 3" xfId="33270"/>
    <cellStyle name="Normal 2 7 3 7 4 3" xfId="33271"/>
    <cellStyle name="Normal 2 7 3 7 4 4" xfId="33272"/>
    <cellStyle name="Normal 2 7 3 7 4 5" xfId="33273"/>
    <cellStyle name="Normal 2 7 3 7 4 6" xfId="33274"/>
    <cellStyle name="Normal 2 7 3 7 5" xfId="33275"/>
    <cellStyle name="Normal 2 7 3 7 5 2" xfId="33276"/>
    <cellStyle name="Normal 2 7 3 7 5 2 2" xfId="33277"/>
    <cellStyle name="Normal 2 7 3 7 5 3" xfId="33278"/>
    <cellStyle name="Normal 2 7 3 7 5 4" xfId="33279"/>
    <cellStyle name="Normal 2 7 3 7 5 5" xfId="33280"/>
    <cellStyle name="Normal 2 7 3 7 6" xfId="33281"/>
    <cellStyle name="Normal 2 7 3 7 6 2" xfId="33282"/>
    <cellStyle name="Normal 2 7 3 7 6 3" xfId="33283"/>
    <cellStyle name="Normal 2 7 3 7 6 4" xfId="33284"/>
    <cellStyle name="Normal 2 7 3 7 7" xfId="33285"/>
    <cellStyle name="Normal 2 7 3 7 7 2" xfId="33286"/>
    <cellStyle name="Normal 2 7 3 7 8" xfId="33287"/>
    <cellStyle name="Normal 2 7 3 7 9" xfId="33288"/>
    <cellStyle name="Normal 2 7 3 8" xfId="33289"/>
    <cellStyle name="Normal 2 7 3 8 10" xfId="33290"/>
    <cellStyle name="Normal 2 7 3 8 2" xfId="33291"/>
    <cellStyle name="Normal 2 7 3 8 2 2" xfId="33292"/>
    <cellStyle name="Normal 2 7 3 8 2 2 2" xfId="33293"/>
    <cellStyle name="Normal 2 7 3 8 2 2 3" xfId="33294"/>
    <cellStyle name="Normal 2 7 3 8 2 3" xfId="33295"/>
    <cellStyle name="Normal 2 7 3 8 2 4" xfId="33296"/>
    <cellStyle name="Normal 2 7 3 8 2 5" xfId="33297"/>
    <cellStyle name="Normal 2 7 3 8 2 6" xfId="33298"/>
    <cellStyle name="Normal 2 7 3 8 3" xfId="33299"/>
    <cellStyle name="Normal 2 7 3 8 3 2" xfId="33300"/>
    <cellStyle name="Normal 2 7 3 8 3 2 2" xfId="33301"/>
    <cellStyle name="Normal 2 7 3 8 3 2 3" xfId="33302"/>
    <cellStyle name="Normal 2 7 3 8 3 3" xfId="33303"/>
    <cellStyle name="Normal 2 7 3 8 3 4" xfId="33304"/>
    <cellStyle name="Normal 2 7 3 8 3 5" xfId="33305"/>
    <cellStyle name="Normal 2 7 3 8 3 6" xfId="33306"/>
    <cellStyle name="Normal 2 7 3 8 4" xfId="33307"/>
    <cellStyle name="Normal 2 7 3 8 4 2" xfId="33308"/>
    <cellStyle name="Normal 2 7 3 8 4 2 2" xfId="33309"/>
    <cellStyle name="Normal 2 7 3 8 4 3" xfId="33310"/>
    <cellStyle name="Normal 2 7 3 8 4 4" xfId="33311"/>
    <cellStyle name="Normal 2 7 3 8 4 5" xfId="33312"/>
    <cellStyle name="Normal 2 7 3 8 5" xfId="33313"/>
    <cellStyle name="Normal 2 7 3 8 5 2" xfId="33314"/>
    <cellStyle name="Normal 2 7 3 8 5 3" xfId="33315"/>
    <cellStyle name="Normal 2 7 3 8 5 4" xfId="33316"/>
    <cellStyle name="Normal 2 7 3 8 6" xfId="33317"/>
    <cellStyle name="Normal 2 7 3 8 6 2" xfId="33318"/>
    <cellStyle name="Normal 2 7 3 8 7" xfId="33319"/>
    <cellStyle name="Normal 2 7 3 8 8" xfId="33320"/>
    <cellStyle name="Normal 2 7 3 8 9" xfId="33321"/>
    <cellStyle name="Normal 2 7 3 9" xfId="33322"/>
    <cellStyle name="Normal 2 7 3 9 10" xfId="33323"/>
    <cellStyle name="Normal 2 7 3 9 2" xfId="33324"/>
    <cellStyle name="Normal 2 7 3 9 2 2" xfId="33325"/>
    <cellStyle name="Normal 2 7 3 9 2 2 2" xfId="33326"/>
    <cellStyle name="Normal 2 7 3 9 2 2 3" xfId="33327"/>
    <cellStyle name="Normal 2 7 3 9 2 3" xfId="33328"/>
    <cellStyle name="Normal 2 7 3 9 2 4" xfId="33329"/>
    <cellStyle name="Normal 2 7 3 9 2 5" xfId="33330"/>
    <cellStyle name="Normal 2 7 3 9 2 6" xfId="33331"/>
    <cellStyle name="Normal 2 7 3 9 3" xfId="33332"/>
    <cellStyle name="Normal 2 7 3 9 3 2" xfId="33333"/>
    <cellStyle name="Normal 2 7 3 9 3 2 2" xfId="33334"/>
    <cellStyle name="Normal 2 7 3 9 3 2 3" xfId="33335"/>
    <cellStyle name="Normal 2 7 3 9 3 3" xfId="33336"/>
    <cellStyle name="Normal 2 7 3 9 3 4" xfId="33337"/>
    <cellStyle name="Normal 2 7 3 9 3 5" xfId="33338"/>
    <cellStyle name="Normal 2 7 3 9 3 6" xfId="33339"/>
    <cellStyle name="Normal 2 7 3 9 4" xfId="33340"/>
    <cellStyle name="Normal 2 7 3 9 4 2" xfId="33341"/>
    <cellStyle name="Normal 2 7 3 9 4 2 2" xfId="33342"/>
    <cellStyle name="Normal 2 7 3 9 4 3" xfId="33343"/>
    <cellStyle name="Normal 2 7 3 9 4 4" xfId="33344"/>
    <cellStyle name="Normal 2 7 3 9 4 5" xfId="33345"/>
    <cellStyle name="Normal 2 7 3 9 5" xfId="33346"/>
    <cellStyle name="Normal 2 7 3 9 5 2" xfId="33347"/>
    <cellStyle name="Normal 2 7 3 9 5 3" xfId="33348"/>
    <cellStyle name="Normal 2 7 3 9 5 4" xfId="33349"/>
    <cellStyle name="Normal 2 7 3 9 6" xfId="33350"/>
    <cellStyle name="Normal 2 7 3 9 6 2" xfId="33351"/>
    <cellStyle name="Normal 2 7 3 9 7" xfId="33352"/>
    <cellStyle name="Normal 2 7 3 9 8" xfId="33353"/>
    <cellStyle name="Normal 2 7 3 9 9" xfId="33354"/>
    <cellStyle name="Normal 2 7 30" xfId="33355"/>
    <cellStyle name="Normal 2 7 30 2" xfId="33356"/>
    <cellStyle name="Normal 2 7 30 2 2" xfId="33357"/>
    <cellStyle name="Normal 2 7 30 2 2 2" xfId="33358"/>
    <cellStyle name="Normal 2 7 30 2 2 3" xfId="33359"/>
    <cellStyle name="Normal 2 7 30 2 3" xfId="33360"/>
    <cellStyle name="Normal 2 7 30 2 4" xfId="33361"/>
    <cellStyle name="Normal 2 7 30 2 5" xfId="33362"/>
    <cellStyle name="Normal 2 7 30 2 6" xfId="33363"/>
    <cellStyle name="Normal 2 7 30 3" xfId="33364"/>
    <cellStyle name="Normal 2 7 30 3 2" xfId="33365"/>
    <cellStyle name="Normal 2 7 30 3 2 2" xfId="33366"/>
    <cellStyle name="Normal 2 7 30 3 3" xfId="33367"/>
    <cellStyle name="Normal 2 7 30 3 4" xfId="33368"/>
    <cellStyle name="Normal 2 7 30 3 5" xfId="33369"/>
    <cellStyle name="Normal 2 7 30 4" xfId="33370"/>
    <cellStyle name="Normal 2 7 30 4 2" xfId="33371"/>
    <cellStyle name="Normal 2 7 30 4 3" xfId="33372"/>
    <cellStyle name="Normal 2 7 30 4 4" xfId="33373"/>
    <cellStyle name="Normal 2 7 30 5" xfId="33374"/>
    <cellStyle name="Normal 2 7 30 5 2" xfId="33375"/>
    <cellStyle name="Normal 2 7 30 6" xfId="33376"/>
    <cellStyle name="Normal 2 7 30 7" xfId="33377"/>
    <cellStyle name="Normal 2 7 30 8" xfId="33378"/>
    <cellStyle name="Normal 2 7 30 9" xfId="33379"/>
    <cellStyle name="Normal 2 7 31" xfId="33380"/>
    <cellStyle name="Normal 2 7 31 2" xfId="33381"/>
    <cellStyle name="Normal 2 7 31 2 2" xfId="33382"/>
    <cellStyle name="Normal 2 7 31 2 2 2" xfId="33383"/>
    <cellStyle name="Normal 2 7 31 2 2 3" xfId="33384"/>
    <cellStyle name="Normal 2 7 31 2 3" xfId="33385"/>
    <cellStyle name="Normal 2 7 31 2 4" xfId="33386"/>
    <cellStyle name="Normal 2 7 31 2 5" xfId="33387"/>
    <cellStyle name="Normal 2 7 31 2 6" xfId="33388"/>
    <cellStyle name="Normal 2 7 31 3" xfId="33389"/>
    <cellStyle name="Normal 2 7 31 3 2" xfId="33390"/>
    <cellStyle name="Normal 2 7 31 3 2 2" xfId="33391"/>
    <cellStyle name="Normal 2 7 31 3 3" xfId="33392"/>
    <cellStyle name="Normal 2 7 31 3 4" xfId="33393"/>
    <cellStyle name="Normal 2 7 31 3 5" xfId="33394"/>
    <cellStyle name="Normal 2 7 31 4" xfId="33395"/>
    <cellStyle name="Normal 2 7 31 4 2" xfId="33396"/>
    <cellStyle name="Normal 2 7 31 4 3" xfId="33397"/>
    <cellStyle name="Normal 2 7 31 4 4" xfId="33398"/>
    <cellStyle name="Normal 2 7 31 5" xfId="33399"/>
    <cellStyle name="Normal 2 7 31 5 2" xfId="33400"/>
    <cellStyle name="Normal 2 7 31 6" xfId="33401"/>
    <cellStyle name="Normal 2 7 31 7" xfId="33402"/>
    <cellStyle name="Normal 2 7 31 8" xfId="33403"/>
    <cellStyle name="Normal 2 7 31 9" xfId="33404"/>
    <cellStyle name="Normal 2 7 32" xfId="33405"/>
    <cellStyle name="Normal 2 7 32 2" xfId="33406"/>
    <cellStyle name="Normal 2 7 32 2 2" xfId="33407"/>
    <cellStyle name="Normal 2 7 32 2 3" xfId="33408"/>
    <cellStyle name="Normal 2 7 32 3" xfId="33409"/>
    <cellStyle name="Normal 2 7 32 4" xfId="33410"/>
    <cellStyle name="Normal 2 7 32 5" xfId="33411"/>
    <cellStyle name="Normal 2 7 32 6" xfId="33412"/>
    <cellStyle name="Normal 2 7 33" xfId="33413"/>
    <cellStyle name="Normal 2 7 33 2" xfId="33414"/>
    <cellStyle name="Normal 2 7 33 2 2" xfId="33415"/>
    <cellStyle name="Normal 2 7 33 3" xfId="33416"/>
    <cellStyle name="Normal 2 7 33 4" xfId="33417"/>
    <cellStyle name="Normal 2 7 33 5" xfId="33418"/>
    <cellStyle name="Normal 2 7 34" xfId="33419"/>
    <cellStyle name="Normal 2 7 34 2" xfId="33420"/>
    <cellStyle name="Normal 2 7 34 2 2" xfId="33421"/>
    <cellStyle name="Normal 2 7 34 3" xfId="33422"/>
    <cellStyle name="Normal 2 7 34 4" xfId="33423"/>
    <cellStyle name="Normal 2 7 34 5" xfId="33424"/>
    <cellStyle name="Normal 2 7 35" xfId="33425"/>
    <cellStyle name="Normal 2 7 35 2" xfId="33426"/>
    <cellStyle name="Normal 2 7 36" xfId="33427"/>
    <cellStyle name="Normal 2 7 37" xfId="33428"/>
    <cellStyle name="Normal 2 7 38" xfId="33429"/>
    <cellStyle name="Normal 2 7 39" xfId="33430"/>
    <cellStyle name="Normal 2 7 4" xfId="33431"/>
    <cellStyle name="Normal 2 7 4 10" xfId="33432"/>
    <cellStyle name="Normal 2 7 4 10 10" xfId="33433"/>
    <cellStyle name="Normal 2 7 4 10 2" xfId="33434"/>
    <cellStyle name="Normal 2 7 4 10 2 2" xfId="33435"/>
    <cellStyle name="Normal 2 7 4 10 2 2 2" xfId="33436"/>
    <cellStyle name="Normal 2 7 4 10 2 2 3" xfId="33437"/>
    <cellStyle name="Normal 2 7 4 10 2 3" xfId="33438"/>
    <cellStyle name="Normal 2 7 4 10 2 4" xfId="33439"/>
    <cellStyle name="Normal 2 7 4 10 2 5" xfId="33440"/>
    <cellStyle name="Normal 2 7 4 10 2 6" xfId="33441"/>
    <cellStyle name="Normal 2 7 4 10 3" xfId="33442"/>
    <cellStyle name="Normal 2 7 4 10 3 2" xfId="33443"/>
    <cellStyle name="Normal 2 7 4 10 3 2 2" xfId="33444"/>
    <cellStyle name="Normal 2 7 4 10 3 2 3" xfId="33445"/>
    <cellStyle name="Normal 2 7 4 10 3 3" xfId="33446"/>
    <cellStyle name="Normal 2 7 4 10 3 4" xfId="33447"/>
    <cellStyle name="Normal 2 7 4 10 3 5" xfId="33448"/>
    <cellStyle name="Normal 2 7 4 10 3 6" xfId="33449"/>
    <cellStyle name="Normal 2 7 4 10 4" xfId="33450"/>
    <cellStyle name="Normal 2 7 4 10 4 2" xfId="33451"/>
    <cellStyle name="Normal 2 7 4 10 4 2 2" xfId="33452"/>
    <cellStyle name="Normal 2 7 4 10 4 3" xfId="33453"/>
    <cellStyle name="Normal 2 7 4 10 4 4" xfId="33454"/>
    <cellStyle name="Normal 2 7 4 10 4 5" xfId="33455"/>
    <cellStyle name="Normal 2 7 4 10 5" xfId="33456"/>
    <cellStyle name="Normal 2 7 4 10 5 2" xfId="33457"/>
    <cellStyle name="Normal 2 7 4 10 5 3" xfId="33458"/>
    <cellStyle name="Normal 2 7 4 10 5 4" xfId="33459"/>
    <cellStyle name="Normal 2 7 4 10 6" xfId="33460"/>
    <cellStyle name="Normal 2 7 4 10 6 2" xfId="33461"/>
    <cellStyle name="Normal 2 7 4 10 7" xfId="33462"/>
    <cellStyle name="Normal 2 7 4 10 8" xfId="33463"/>
    <cellStyle name="Normal 2 7 4 10 9" xfId="33464"/>
    <cellStyle name="Normal 2 7 4 11" xfId="33465"/>
    <cellStyle name="Normal 2 7 4 11 10" xfId="33466"/>
    <cellStyle name="Normal 2 7 4 11 2" xfId="33467"/>
    <cellStyle name="Normal 2 7 4 11 2 2" xfId="33468"/>
    <cellStyle name="Normal 2 7 4 11 2 2 2" xfId="33469"/>
    <cellStyle name="Normal 2 7 4 11 2 2 3" xfId="33470"/>
    <cellStyle name="Normal 2 7 4 11 2 3" xfId="33471"/>
    <cellStyle name="Normal 2 7 4 11 2 4" xfId="33472"/>
    <cellStyle name="Normal 2 7 4 11 2 5" xfId="33473"/>
    <cellStyle name="Normal 2 7 4 11 2 6" xfId="33474"/>
    <cellStyle name="Normal 2 7 4 11 3" xfId="33475"/>
    <cellStyle name="Normal 2 7 4 11 3 2" xfId="33476"/>
    <cellStyle name="Normal 2 7 4 11 3 2 2" xfId="33477"/>
    <cellStyle name="Normal 2 7 4 11 3 2 3" xfId="33478"/>
    <cellStyle name="Normal 2 7 4 11 3 3" xfId="33479"/>
    <cellStyle name="Normal 2 7 4 11 3 4" xfId="33480"/>
    <cellStyle name="Normal 2 7 4 11 3 5" xfId="33481"/>
    <cellStyle name="Normal 2 7 4 11 3 6" xfId="33482"/>
    <cellStyle name="Normal 2 7 4 11 4" xfId="33483"/>
    <cellStyle name="Normal 2 7 4 11 4 2" xfId="33484"/>
    <cellStyle name="Normal 2 7 4 11 4 2 2" xfId="33485"/>
    <cellStyle name="Normal 2 7 4 11 4 3" xfId="33486"/>
    <cellStyle name="Normal 2 7 4 11 4 4" xfId="33487"/>
    <cellStyle name="Normal 2 7 4 11 4 5" xfId="33488"/>
    <cellStyle name="Normal 2 7 4 11 5" xfId="33489"/>
    <cellStyle name="Normal 2 7 4 11 5 2" xfId="33490"/>
    <cellStyle name="Normal 2 7 4 11 5 3" xfId="33491"/>
    <cellStyle name="Normal 2 7 4 11 5 4" xfId="33492"/>
    <cellStyle name="Normal 2 7 4 11 6" xfId="33493"/>
    <cellStyle name="Normal 2 7 4 11 6 2" xfId="33494"/>
    <cellStyle name="Normal 2 7 4 11 7" xfId="33495"/>
    <cellStyle name="Normal 2 7 4 11 8" xfId="33496"/>
    <cellStyle name="Normal 2 7 4 11 9" xfId="33497"/>
    <cellStyle name="Normal 2 7 4 12" xfId="33498"/>
    <cellStyle name="Normal 2 7 4 12 10" xfId="33499"/>
    <cellStyle name="Normal 2 7 4 12 2" xfId="33500"/>
    <cellStyle name="Normal 2 7 4 12 2 2" xfId="33501"/>
    <cellStyle name="Normal 2 7 4 12 2 2 2" xfId="33502"/>
    <cellStyle name="Normal 2 7 4 12 2 2 3" xfId="33503"/>
    <cellStyle name="Normal 2 7 4 12 2 3" xfId="33504"/>
    <cellStyle name="Normal 2 7 4 12 2 4" xfId="33505"/>
    <cellStyle name="Normal 2 7 4 12 2 5" xfId="33506"/>
    <cellStyle name="Normal 2 7 4 12 2 6" xfId="33507"/>
    <cellStyle name="Normal 2 7 4 12 3" xfId="33508"/>
    <cellStyle name="Normal 2 7 4 12 3 2" xfId="33509"/>
    <cellStyle name="Normal 2 7 4 12 3 2 2" xfId="33510"/>
    <cellStyle name="Normal 2 7 4 12 3 2 3" xfId="33511"/>
    <cellStyle name="Normal 2 7 4 12 3 3" xfId="33512"/>
    <cellStyle name="Normal 2 7 4 12 3 4" xfId="33513"/>
    <cellStyle name="Normal 2 7 4 12 3 5" xfId="33514"/>
    <cellStyle name="Normal 2 7 4 12 3 6" xfId="33515"/>
    <cellStyle name="Normal 2 7 4 12 4" xfId="33516"/>
    <cellStyle name="Normal 2 7 4 12 4 2" xfId="33517"/>
    <cellStyle name="Normal 2 7 4 12 4 2 2" xfId="33518"/>
    <cellStyle name="Normal 2 7 4 12 4 3" xfId="33519"/>
    <cellStyle name="Normal 2 7 4 12 4 4" xfId="33520"/>
    <cellStyle name="Normal 2 7 4 12 4 5" xfId="33521"/>
    <cellStyle name="Normal 2 7 4 12 5" xfId="33522"/>
    <cellStyle name="Normal 2 7 4 12 5 2" xfId="33523"/>
    <cellStyle name="Normal 2 7 4 12 5 3" xfId="33524"/>
    <cellStyle name="Normal 2 7 4 12 5 4" xfId="33525"/>
    <cellStyle name="Normal 2 7 4 12 6" xfId="33526"/>
    <cellStyle name="Normal 2 7 4 12 6 2" xfId="33527"/>
    <cellStyle name="Normal 2 7 4 12 7" xfId="33528"/>
    <cellStyle name="Normal 2 7 4 12 8" xfId="33529"/>
    <cellStyle name="Normal 2 7 4 12 9" xfId="33530"/>
    <cellStyle name="Normal 2 7 4 13" xfId="33531"/>
    <cellStyle name="Normal 2 7 4 13 2" xfId="33532"/>
    <cellStyle name="Normal 2 7 4 13 2 2" xfId="33533"/>
    <cellStyle name="Normal 2 7 4 13 2 2 2" xfId="33534"/>
    <cellStyle name="Normal 2 7 4 13 2 2 3" xfId="33535"/>
    <cellStyle name="Normal 2 7 4 13 2 3" xfId="33536"/>
    <cellStyle name="Normal 2 7 4 13 2 4" xfId="33537"/>
    <cellStyle name="Normal 2 7 4 13 2 5" xfId="33538"/>
    <cellStyle name="Normal 2 7 4 13 2 6" xfId="33539"/>
    <cellStyle name="Normal 2 7 4 13 3" xfId="33540"/>
    <cellStyle name="Normal 2 7 4 13 3 2" xfId="33541"/>
    <cellStyle name="Normal 2 7 4 13 3 2 2" xfId="33542"/>
    <cellStyle name="Normal 2 7 4 13 3 3" xfId="33543"/>
    <cellStyle name="Normal 2 7 4 13 3 4" xfId="33544"/>
    <cellStyle name="Normal 2 7 4 13 3 5" xfId="33545"/>
    <cellStyle name="Normal 2 7 4 13 4" xfId="33546"/>
    <cellStyle name="Normal 2 7 4 13 4 2" xfId="33547"/>
    <cellStyle name="Normal 2 7 4 13 4 3" xfId="33548"/>
    <cellStyle name="Normal 2 7 4 13 4 4" xfId="33549"/>
    <cellStyle name="Normal 2 7 4 13 5" xfId="33550"/>
    <cellStyle name="Normal 2 7 4 13 5 2" xfId="33551"/>
    <cellStyle name="Normal 2 7 4 13 6" xfId="33552"/>
    <cellStyle name="Normal 2 7 4 13 7" xfId="33553"/>
    <cellStyle name="Normal 2 7 4 13 8" xfId="33554"/>
    <cellStyle name="Normal 2 7 4 13 9" xfId="33555"/>
    <cellStyle name="Normal 2 7 4 14" xfId="33556"/>
    <cellStyle name="Normal 2 7 4 14 2" xfId="33557"/>
    <cellStyle name="Normal 2 7 4 14 2 2" xfId="33558"/>
    <cellStyle name="Normal 2 7 4 14 2 2 2" xfId="33559"/>
    <cellStyle name="Normal 2 7 4 14 2 2 3" xfId="33560"/>
    <cellStyle name="Normal 2 7 4 14 2 3" xfId="33561"/>
    <cellStyle name="Normal 2 7 4 14 2 4" xfId="33562"/>
    <cellStyle name="Normal 2 7 4 14 2 5" xfId="33563"/>
    <cellStyle name="Normal 2 7 4 14 2 6" xfId="33564"/>
    <cellStyle name="Normal 2 7 4 14 3" xfId="33565"/>
    <cellStyle name="Normal 2 7 4 14 3 2" xfId="33566"/>
    <cellStyle name="Normal 2 7 4 14 3 2 2" xfId="33567"/>
    <cellStyle name="Normal 2 7 4 14 3 3" xfId="33568"/>
    <cellStyle name="Normal 2 7 4 14 3 4" xfId="33569"/>
    <cellStyle name="Normal 2 7 4 14 3 5" xfId="33570"/>
    <cellStyle name="Normal 2 7 4 14 4" xfId="33571"/>
    <cellStyle name="Normal 2 7 4 14 4 2" xfId="33572"/>
    <cellStyle name="Normal 2 7 4 14 4 3" xfId="33573"/>
    <cellStyle name="Normal 2 7 4 14 4 4" xfId="33574"/>
    <cellStyle name="Normal 2 7 4 14 5" xfId="33575"/>
    <cellStyle name="Normal 2 7 4 14 5 2" xfId="33576"/>
    <cellStyle name="Normal 2 7 4 14 6" xfId="33577"/>
    <cellStyle name="Normal 2 7 4 14 7" xfId="33578"/>
    <cellStyle name="Normal 2 7 4 14 8" xfId="33579"/>
    <cellStyle name="Normal 2 7 4 14 9" xfId="33580"/>
    <cellStyle name="Normal 2 7 4 15" xfId="33581"/>
    <cellStyle name="Normal 2 7 4 15 2" xfId="33582"/>
    <cellStyle name="Normal 2 7 4 15 2 2" xfId="33583"/>
    <cellStyle name="Normal 2 7 4 15 2 3" xfId="33584"/>
    <cellStyle name="Normal 2 7 4 15 3" xfId="33585"/>
    <cellStyle name="Normal 2 7 4 15 4" xfId="33586"/>
    <cellStyle name="Normal 2 7 4 15 5" xfId="33587"/>
    <cellStyle name="Normal 2 7 4 15 6" xfId="33588"/>
    <cellStyle name="Normal 2 7 4 16" xfId="33589"/>
    <cellStyle name="Normal 2 7 4 16 2" xfId="33590"/>
    <cellStyle name="Normal 2 7 4 16 2 2" xfId="33591"/>
    <cellStyle name="Normal 2 7 4 16 3" xfId="33592"/>
    <cellStyle name="Normal 2 7 4 16 4" xfId="33593"/>
    <cellStyle name="Normal 2 7 4 16 5" xfId="33594"/>
    <cellStyle name="Normal 2 7 4 17" xfId="33595"/>
    <cellStyle name="Normal 2 7 4 17 2" xfId="33596"/>
    <cellStyle name="Normal 2 7 4 17 2 2" xfId="33597"/>
    <cellStyle name="Normal 2 7 4 17 3" xfId="33598"/>
    <cellStyle name="Normal 2 7 4 17 4" xfId="33599"/>
    <cellStyle name="Normal 2 7 4 17 5" xfId="33600"/>
    <cellStyle name="Normal 2 7 4 18" xfId="33601"/>
    <cellStyle name="Normal 2 7 4 18 2" xfId="33602"/>
    <cellStyle name="Normal 2 7 4 19" xfId="33603"/>
    <cellStyle name="Normal 2 7 4 2" xfId="33604"/>
    <cellStyle name="Normal 2 7 4 2 10" xfId="33605"/>
    <cellStyle name="Normal 2 7 4 2 11" xfId="33606"/>
    <cellStyle name="Normal 2 7 4 2 2" xfId="33607"/>
    <cellStyle name="Normal 2 7 4 2 2 2" xfId="33608"/>
    <cellStyle name="Normal 2 7 4 2 2 2 2" xfId="33609"/>
    <cellStyle name="Normal 2 7 4 2 2 2 2 2" xfId="33610"/>
    <cellStyle name="Normal 2 7 4 2 2 2 2 3" xfId="33611"/>
    <cellStyle name="Normal 2 7 4 2 2 2 3" xfId="33612"/>
    <cellStyle name="Normal 2 7 4 2 2 2 4" xfId="33613"/>
    <cellStyle name="Normal 2 7 4 2 2 2 5" xfId="33614"/>
    <cellStyle name="Normal 2 7 4 2 2 2 6" xfId="33615"/>
    <cellStyle name="Normal 2 7 4 2 2 3" xfId="33616"/>
    <cellStyle name="Normal 2 7 4 2 2 3 2" xfId="33617"/>
    <cellStyle name="Normal 2 7 4 2 2 3 2 2" xfId="33618"/>
    <cellStyle name="Normal 2 7 4 2 2 3 3" xfId="33619"/>
    <cellStyle name="Normal 2 7 4 2 2 3 4" xfId="33620"/>
    <cellStyle name="Normal 2 7 4 2 2 3 5" xfId="33621"/>
    <cellStyle name="Normal 2 7 4 2 2 4" xfId="33622"/>
    <cellStyle name="Normal 2 7 4 2 2 4 2" xfId="33623"/>
    <cellStyle name="Normal 2 7 4 2 2 4 3" xfId="33624"/>
    <cellStyle name="Normal 2 7 4 2 2 4 4" xfId="33625"/>
    <cellStyle name="Normal 2 7 4 2 2 5" xfId="33626"/>
    <cellStyle name="Normal 2 7 4 2 2 5 2" xfId="33627"/>
    <cellStyle name="Normal 2 7 4 2 2 6" xfId="33628"/>
    <cellStyle name="Normal 2 7 4 2 2 7" xfId="33629"/>
    <cellStyle name="Normal 2 7 4 2 2 8" xfId="33630"/>
    <cellStyle name="Normal 2 7 4 2 2 9" xfId="33631"/>
    <cellStyle name="Normal 2 7 4 2 3" xfId="33632"/>
    <cellStyle name="Normal 2 7 4 2 3 2" xfId="33633"/>
    <cellStyle name="Normal 2 7 4 2 3 2 2" xfId="33634"/>
    <cellStyle name="Normal 2 7 4 2 3 2 2 2" xfId="33635"/>
    <cellStyle name="Normal 2 7 4 2 3 2 2 3" xfId="33636"/>
    <cellStyle name="Normal 2 7 4 2 3 2 3" xfId="33637"/>
    <cellStyle name="Normal 2 7 4 2 3 2 4" xfId="33638"/>
    <cellStyle name="Normal 2 7 4 2 3 2 5" xfId="33639"/>
    <cellStyle name="Normal 2 7 4 2 3 2 6" xfId="33640"/>
    <cellStyle name="Normal 2 7 4 2 3 3" xfId="33641"/>
    <cellStyle name="Normal 2 7 4 2 3 3 2" xfId="33642"/>
    <cellStyle name="Normal 2 7 4 2 3 3 2 2" xfId="33643"/>
    <cellStyle name="Normal 2 7 4 2 3 3 3" xfId="33644"/>
    <cellStyle name="Normal 2 7 4 2 3 3 4" xfId="33645"/>
    <cellStyle name="Normal 2 7 4 2 3 3 5" xfId="33646"/>
    <cellStyle name="Normal 2 7 4 2 3 4" xfId="33647"/>
    <cellStyle name="Normal 2 7 4 2 3 4 2" xfId="33648"/>
    <cellStyle name="Normal 2 7 4 2 3 4 3" xfId="33649"/>
    <cellStyle name="Normal 2 7 4 2 3 4 4" xfId="33650"/>
    <cellStyle name="Normal 2 7 4 2 3 5" xfId="33651"/>
    <cellStyle name="Normal 2 7 4 2 3 5 2" xfId="33652"/>
    <cellStyle name="Normal 2 7 4 2 3 6" xfId="33653"/>
    <cellStyle name="Normal 2 7 4 2 3 7" xfId="33654"/>
    <cellStyle name="Normal 2 7 4 2 3 8" xfId="33655"/>
    <cellStyle name="Normal 2 7 4 2 3 9" xfId="33656"/>
    <cellStyle name="Normal 2 7 4 2 4" xfId="33657"/>
    <cellStyle name="Normal 2 7 4 2 4 2" xfId="33658"/>
    <cellStyle name="Normal 2 7 4 2 4 2 2" xfId="33659"/>
    <cellStyle name="Normal 2 7 4 2 4 2 3" xfId="33660"/>
    <cellStyle name="Normal 2 7 4 2 4 3" xfId="33661"/>
    <cellStyle name="Normal 2 7 4 2 4 4" xfId="33662"/>
    <cellStyle name="Normal 2 7 4 2 4 5" xfId="33663"/>
    <cellStyle name="Normal 2 7 4 2 4 6" xfId="33664"/>
    <cellStyle name="Normal 2 7 4 2 5" xfId="33665"/>
    <cellStyle name="Normal 2 7 4 2 5 2" xfId="33666"/>
    <cellStyle name="Normal 2 7 4 2 5 2 2" xfId="33667"/>
    <cellStyle name="Normal 2 7 4 2 5 3" xfId="33668"/>
    <cellStyle name="Normal 2 7 4 2 5 4" xfId="33669"/>
    <cellStyle name="Normal 2 7 4 2 5 5" xfId="33670"/>
    <cellStyle name="Normal 2 7 4 2 6" xfId="33671"/>
    <cellStyle name="Normal 2 7 4 2 6 2" xfId="33672"/>
    <cellStyle name="Normal 2 7 4 2 6 3" xfId="33673"/>
    <cellStyle name="Normal 2 7 4 2 6 4" xfId="33674"/>
    <cellStyle name="Normal 2 7 4 2 7" xfId="33675"/>
    <cellStyle name="Normal 2 7 4 2 7 2" xfId="33676"/>
    <cellStyle name="Normal 2 7 4 2 8" xfId="33677"/>
    <cellStyle name="Normal 2 7 4 2 9" xfId="33678"/>
    <cellStyle name="Normal 2 7 4 20" xfId="33679"/>
    <cellStyle name="Normal 2 7 4 21" xfId="33680"/>
    <cellStyle name="Normal 2 7 4 22" xfId="33681"/>
    <cellStyle name="Normal 2 7 4 3" xfId="33682"/>
    <cellStyle name="Normal 2 7 4 3 10" xfId="33683"/>
    <cellStyle name="Normal 2 7 4 3 11" xfId="33684"/>
    <cellStyle name="Normal 2 7 4 3 2" xfId="33685"/>
    <cellStyle name="Normal 2 7 4 3 2 2" xfId="33686"/>
    <cellStyle name="Normal 2 7 4 3 2 2 2" xfId="33687"/>
    <cellStyle name="Normal 2 7 4 3 2 2 2 2" xfId="33688"/>
    <cellStyle name="Normal 2 7 4 3 2 2 2 3" xfId="33689"/>
    <cellStyle name="Normal 2 7 4 3 2 2 3" xfId="33690"/>
    <cellStyle name="Normal 2 7 4 3 2 2 4" xfId="33691"/>
    <cellStyle name="Normal 2 7 4 3 2 2 5" xfId="33692"/>
    <cellStyle name="Normal 2 7 4 3 2 2 6" xfId="33693"/>
    <cellStyle name="Normal 2 7 4 3 2 3" xfId="33694"/>
    <cellStyle name="Normal 2 7 4 3 2 3 2" xfId="33695"/>
    <cellStyle name="Normal 2 7 4 3 2 3 2 2" xfId="33696"/>
    <cellStyle name="Normal 2 7 4 3 2 3 3" xfId="33697"/>
    <cellStyle name="Normal 2 7 4 3 2 3 4" xfId="33698"/>
    <cellStyle name="Normal 2 7 4 3 2 3 5" xfId="33699"/>
    <cellStyle name="Normal 2 7 4 3 2 4" xfId="33700"/>
    <cellStyle name="Normal 2 7 4 3 2 4 2" xfId="33701"/>
    <cellStyle name="Normal 2 7 4 3 2 4 3" xfId="33702"/>
    <cellStyle name="Normal 2 7 4 3 2 4 4" xfId="33703"/>
    <cellStyle name="Normal 2 7 4 3 2 5" xfId="33704"/>
    <cellStyle name="Normal 2 7 4 3 2 5 2" xfId="33705"/>
    <cellStyle name="Normal 2 7 4 3 2 6" xfId="33706"/>
    <cellStyle name="Normal 2 7 4 3 2 7" xfId="33707"/>
    <cellStyle name="Normal 2 7 4 3 2 8" xfId="33708"/>
    <cellStyle name="Normal 2 7 4 3 2 9" xfId="33709"/>
    <cellStyle name="Normal 2 7 4 3 3" xfId="33710"/>
    <cellStyle name="Normal 2 7 4 3 3 2" xfId="33711"/>
    <cellStyle name="Normal 2 7 4 3 3 2 2" xfId="33712"/>
    <cellStyle name="Normal 2 7 4 3 3 2 2 2" xfId="33713"/>
    <cellStyle name="Normal 2 7 4 3 3 2 2 3" xfId="33714"/>
    <cellStyle name="Normal 2 7 4 3 3 2 3" xfId="33715"/>
    <cellStyle name="Normal 2 7 4 3 3 2 4" xfId="33716"/>
    <cellStyle name="Normal 2 7 4 3 3 2 5" xfId="33717"/>
    <cellStyle name="Normal 2 7 4 3 3 2 6" xfId="33718"/>
    <cellStyle name="Normal 2 7 4 3 3 3" xfId="33719"/>
    <cellStyle name="Normal 2 7 4 3 3 3 2" xfId="33720"/>
    <cellStyle name="Normal 2 7 4 3 3 3 2 2" xfId="33721"/>
    <cellStyle name="Normal 2 7 4 3 3 3 3" xfId="33722"/>
    <cellStyle name="Normal 2 7 4 3 3 3 4" xfId="33723"/>
    <cellStyle name="Normal 2 7 4 3 3 3 5" xfId="33724"/>
    <cellStyle name="Normal 2 7 4 3 3 4" xfId="33725"/>
    <cellStyle name="Normal 2 7 4 3 3 4 2" xfId="33726"/>
    <cellStyle name="Normal 2 7 4 3 3 4 3" xfId="33727"/>
    <cellStyle name="Normal 2 7 4 3 3 4 4" xfId="33728"/>
    <cellStyle name="Normal 2 7 4 3 3 5" xfId="33729"/>
    <cellStyle name="Normal 2 7 4 3 3 5 2" xfId="33730"/>
    <cellStyle name="Normal 2 7 4 3 3 6" xfId="33731"/>
    <cellStyle name="Normal 2 7 4 3 3 7" xfId="33732"/>
    <cellStyle name="Normal 2 7 4 3 3 8" xfId="33733"/>
    <cellStyle name="Normal 2 7 4 3 3 9" xfId="33734"/>
    <cellStyle name="Normal 2 7 4 3 4" xfId="33735"/>
    <cellStyle name="Normal 2 7 4 3 4 2" xfId="33736"/>
    <cellStyle name="Normal 2 7 4 3 4 2 2" xfId="33737"/>
    <cellStyle name="Normal 2 7 4 3 4 2 3" xfId="33738"/>
    <cellStyle name="Normal 2 7 4 3 4 3" xfId="33739"/>
    <cellStyle name="Normal 2 7 4 3 4 4" xfId="33740"/>
    <cellStyle name="Normal 2 7 4 3 4 5" xfId="33741"/>
    <cellStyle name="Normal 2 7 4 3 4 6" xfId="33742"/>
    <cellStyle name="Normal 2 7 4 3 5" xfId="33743"/>
    <cellStyle name="Normal 2 7 4 3 5 2" xfId="33744"/>
    <cellStyle name="Normal 2 7 4 3 5 2 2" xfId="33745"/>
    <cellStyle name="Normal 2 7 4 3 5 3" xfId="33746"/>
    <cellStyle name="Normal 2 7 4 3 5 4" xfId="33747"/>
    <cellStyle name="Normal 2 7 4 3 5 5" xfId="33748"/>
    <cellStyle name="Normal 2 7 4 3 6" xfId="33749"/>
    <cellStyle name="Normal 2 7 4 3 6 2" xfId="33750"/>
    <cellStyle name="Normal 2 7 4 3 6 3" xfId="33751"/>
    <cellStyle name="Normal 2 7 4 3 6 4" xfId="33752"/>
    <cellStyle name="Normal 2 7 4 3 7" xfId="33753"/>
    <cellStyle name="Normal 2 7 4 3 7 2" xfId="33754"/>
    <cellStyle name="Normal 2 7 4 3 8" xfId="33755"/>
    <cellStyle name="Normal 2 7 4 3 9" xfId="33756"/>
    <cellStyle name="Normal 2 7 4 4" xfId="33757"/>
    <cellStyle name="Normal 2 7 4 4 10" xfId="33758"/>
    <cellStyle name="Normal 2 7 4 4 11" xfId="33759"/>
    <cellStyle name="Normal 2 7 4 4 2" xfId="33760"/>
    <cellStyle name="Normal 2 7 4 4 2 2" xfId="33761"/>
    <cellStyle name="Normal 2 7 4 4 2 2 2" xfId="33762"/>
    <cellStyle name="Normal 2 7 4 4 2 2 2 2" xfId="33763"/>
    <cellStyle name="Normal 2 7 4 4 2 2 2 3" xfId="33764"/>
    <cellStyle name="Normal 2 7 4 4 2 2 3" xfId="33765"/>
    <cellStyle name="Normal 2 7 4 4 2 2 4" xfId="33766"/>
    <cellStyle name="Normal 2 7 4 4 2 2 5" xfId="33767"/>
    <cellStyle name="Normal 2 7 4 4 2 2 6" xfId="33768"/>
    <cellStyle name="Normal 2 7 4 4 2 3" xfId="33769"/>
    <cellStyle name="Normal 2 7 4 4 2 3 2" xfId="33770"/>
    <cellStyle name="Normal 2 7 4 4 2 3 2 2" xfId="33771"/>
    <cellStyle name="Normal 2 7 4 4 2 3 3" xfId="33772"/>
    <cellStyle name="Normal 2 7 4 4 2 3 4" xfId="33773"/>
    <cellStyle name="Normal 2 7 4 4 2 3 5" xfId="33774"/>
    <cellStyle name="Normal 2 7 4 4 2 4" xfId="33775"/>
    <cellStyle name="Normal 2 7 4 4 2 4 2" xfId="33776"/>
    <cellStyle name="Normal 2 7 4 4 2 4 3" xfId="33777"/>
    <cellStyle name="Normal 2 7 4 4 2 4 4" xfId="33778"/>
    <cellStyle name="Normal 2 7 4 4 2 5" xfId="33779"/>
    <cellStyle name="Normal 2 7 4 4 2 5 2" xfId="33780"/>
    <cellStyle name="Normal 2 7 4 4 2 6" xfId="33781"/>
    <cellStyle name="Normal 2 7 4 4 2 7" xfId="33782"/>
    <cellStyle name="Normal 2 7 4 4 2 8" xfId="33783"/>
    <cellStyle name="Normal 2 7 4 4 2 9" xfId="33784"/>
    <cellStyle name="Normal 2 7 4 4 3" xfId="33785"/>
    <cellStyle name="Normal 2 7 4 4 3 2" xfId="33786"/>
    <cellStyle name="Normal 2 7 4 4 3 2 2" xfId="33787"/>
    <cellStyle name="Normal 2 7 4 4 3 2 2 2" xfId="33788"/>
    <cellStyle name="Normal 2 7 4 4 3 2 2 3" xfId="33789"/>
    <cellStyle name="Normal 2 7 4 4 3 2 3" xfId="33790"/>
    <cellStyle name="Normal 2 7 4 4 3 2 4" xfId="33791"/>
    <cellStyle name="Normal 2 7 4 4 3 2 5" xfId="33792"/>
    <cellStyle name="Normal 2 7 4 4 3 2 6" xfId="33793"/>
    <cellStyle name="Normal 2 7 4 4 3 3" xfId="33794"/>
    <cellStyle name="Normal 2 7 4 4 3 3 2" xfId="33795"/>
    <cellStyle name="Normal 2 7 4 4 3 3 2 2" xfId="33796"/>
    <cellStyle name="Normal 2 7 4 4 3 3 3" xfId="33797"/>
    <cellStyle name="Normal 2 7 4 4 3 3 4" xfId="33798"/>
    <cellStyle name="Normal 2 7 4 4 3 3 5" xfId="33799"/>
    <cellStyle name="Normal 2 7 4 4 3 4" xfId="33800"/>
    <cellStyle name="Normal 2 7 4 4 3 4 2" xfId="33801"/>
    <cellStyle name="Normal 2 7 4 4 3 4 3" xfId="33802"/>
    <cellStyle name="Normal 2 7 4 4 3 4 4" xfId="33803"/>
    <cellStyle name="Normal 2 7 4 4 3 5" xfId="33804"/>
    <cellStyle name="Normal 2 7 4 4 3 5 2" xfId="33805"/>
    <cellStyle name="Normal 2 7 4 4 3 6" xfId="33806"/>
    <cellStyle name="Normal 2 7 4 4 3 7" xfId="33807"/>
    <cellStyle name="Normal 2 7 4 4 3 8" xfId="33808"/>
    <cellStyle name="Normal 2 7 4 4 3 9" xfId="33809"/>
    <cellStyle name="Normal 2 7 4 4 4" xfId="33810"/>
    <cellStyle name="Normal 2 7 4 4 4 2" xfId="33811"/>
    <cellStyle name="Normal 2 7 4 4 4 2 2" xfId="33812"/>
    <cellStyle name="Normal 2 7 4 4 4 2 3" xfId="33813"/>
    <cellStyle name="Normal 2 7 4 4 4 3" xfId="33814"/>
    <cellStyle name="Normal 2 7 4 4 4 4" xfId="33815"/>
    <cellStyle name="Normal 2 7 4 4 4 5" xfId="33816"/>
    <cellStyle name="Normal 2 7 4 4 4 6" xfId="33817"/>
    <cellStyle name="Normal 2 7 4 4 5" xfId="33818"/>
    <cellStyle name="Normal 2 7 4 4 5 2" xfId="33819"/>
    <cellStyle name="Normal 2 7 4 4 5 2 2" xfId="33820"/>
    <cellStyle name="Normal 2 7 4 4 5 3" xfId="33821"/>
    <cellStyle name="Normal 2 7 4 4 5 4" xfId="33822"/>
    <cellStyle name="Normal 2 7 4 4 5 5" xfId="33823"/>
    <cellStyle name="Normal 2 7 4 4 6" xfId="33824"/>
    <cellStyle name="Normal 2 7 4 4 6 2" xfId="33825"/>
    <cellStyle name="Normal 2 7 4 4 6 3" xfId="33826"/>
    <cellStyle name="Normal 2 7 4 4 6 4" xfId="33827"/>
    <cellStyle name="Normal 2 7 4 4 7" xfId="33828"/>
    <cellStyle name="Normal 2 7 4 4 7 2" xfId="33829"/>
    <cellStyle name="Normal 2 7 4 4 8" xfId="33830"/>
    <cellStyle name="Normal 2 7 4 4 9" xfId="33831"/>
    <cellStyle name="Normal 2 7 4 5" xfId="33832"/>
    <cellStyle name="Normal 2 7 4 5 10" xfId="33833"/>
    <cellStyle name="Normal 2 7 4 5 11" xfId="33834"/>
    <cellStyle name="Normal 2 7 4 5 2" xfId="33835"/>
    <cellStyle name="Normal 2 7 4 5 2 2" xfId="33836"/>
    <cellStyle name="Normal 2 7 4 5 2 2 2" xfId="33837"/>
    <cellStyle name="Normal 2 7 4 5 2 2 2 2" xfId="33838"/>
    <cellStyle name="Normal 2 7 4 5 2 2 2 3" xfId="33839"/>
    <cellStyle name="Normal 2 7 4 5 2 2 3" xfId="33840"/>
    <cellStyle name="Normal 2 7 4 5 2 2 4" xfId="33841"/>
    <cellStyle name="Normal 2 7 4 5 2 2 5" xfId="33842"/>
    <cellStyle name="Normal 2 7 4 5 2 2 6" xfId="33843"/>
    <cellStyle name="Normal 2 7 4 5 2 3" xfId="33844"/>
    <cellStyle name="Normal 2 7 4 5 2 3 2" xfId="33845"/>
    <cellStyle name="Normal 2 7 4 5 2 3 2 2" xfId="33846"/>
    <cellStyle name="Normal 2 7 4 5 2 3 3" xfId="33847"/>
    <cellStyle name="Normal 2 7 4 5 2 3 4" xfId="33848"/>
    <cellStyle name="Normal 2 7 4 5 2 3 5" xfId="33849"/>
    <cellStyle name="Normal 2 7 4 5 2 4" xfId="33850"/>
    <cellStyle name="Normal 2 7 4 5 2 4 2" xfId="33851"/>
    <cellStyle name="Normal 2 7 4 5 2 4 3" xfId="33852"/>
    <cellStyle name="Normal 2 7 4 5 2 4 4" xfId="33853"/>
    <cellStyle name="Normal 2 7 4 5 2 5" xfId="33854"/>
    <cellStyle name="Normal 2 7 4 5 2 5 2" xfId="33855"/>
    <cellStyle name="Normal 2 7 4 5 2 6" xfId="33856"/>
    <cellStyle name="Normal 2 7 4 5 2 7" xfId="33857"/>
    <cellStyle name="Normal 2 7 4 5 2 8" xfId="33858"/>
    <cellStyle name="Normal 2 7 4 5 2 9" xfId="33859"/>
    <cellStyle name="Normal 2 7 4 5 3" xfId="33860"/>
    <cellStyle name="Normal 2 7 4 5 3 2" xfId="33861"/>
    <cellStyle name="Normal 2 7 4 5 3 2 2" xfId="33862"/>
    <cellStyle name="Normal 2 7 4 5 3 2 2 2" xfId="33863"/>
    <cellStyle name="Normal 2 7 4 5 3 2 2 3" xfId="33864"/>
    <cellStyle name="Normal 2 7 4 5 3 2 3" xfId="33865"/>
    <cellStyle name="Normal 2 7 4 5 3 2 4" xfId="33866"/>
    <cellStyle name="Normal 2 7 4 5 3 2 5" xfId="33867"/>
    <cellStyle name="Normal 2 7 4 5 3 2 6" xfId="33868"/>
    <cellStyle name="Normal 2 7 4 5 3 3" xfId="33869"/>
    <cellStyle name="Normal 2 7 4 5 3 3 2" xfId="33870"/>
    <cellStyle name="Normal 2 7 4 5 3 3 2 2" xfId="33871"/>
    <cellStyle name="Normal 2 7 4 5 3 3 3" xfId="33872"/>
    <cellStyle name="Normal 2 7 4 5 3 3 4" xfId="33873"/>
    <cellStyle name="Normal 2 7 4 5 3 3 5" xfId="33874"/>
    <cellStyle name="Normal 2 7 4 5 3 4" xfId="33875"/>
    <cellStyle name="Normal 2 7 4 5 3 4 2" xfId="33876"/>
    <cellStyle name="Normal 2 7 4 5 3 4 3" xfId="33877"/>
    <cellStyle name="Normal 2 7 4 5 3 4 4" xfId="33878"/>
    <cellStyle name="Normal 2 7 4 5 3 5" xfId="33879"/>
    <cellStyle name="Normal 2 7 4 5 3 5 2" xfId="33880"/>
    <cellStyle name="Normal 2 7 4 5 3 6" xfId="33881"/>
    <cellStyle name="Normal 2 7 4 5 3 7" xfId="33882"/>
    <cellStyle name="Normal 2 7 4 5 3 8" xfId="33883"/>
    <cellStyle name="Normal 2 7 4 5 3 9" xfId="33884"/>
    <cellStyle name="Normal 2 7 4 5 4" xfId="33885"/>
    <cellStyle name="Normal 2 7 4 5 4 2" xfId="33886"/>
    <cellStyle name="Normal 2 7 4 5 4 2 2" xfId="33887"/>
    <cellStyle name="Normal 2 7 4 5 4 2 3" xfId="33888"/>
    <cellStyle name="Normal 2 7 4 5 4 3" xfId="33889"/>
    <cellStyle name="Normal 2 7 4 5 4 4" xfId="33890"/>
    <cellStyle name="Normal 2 7 4 5 4 5" xfId="33891"/>
    <cellStyle name="Normal 2 7 4 5 4 6" xfId="33892"/>
    <cellStyle name="Normal 2 7 4 5 5" xfId="33893"/>
    <cellStyle name="Normal 2 7 4 5 5 2" xfId="33894"/>
    <cellStyle name="Normal 2 7 4 5 5 2 2" xfId="33895"/>
    <cellStyle name="Normal 2 7 4 5 5 3" xfId="33896"/>
    <cellStyle name="Normal 2 7 4 5 5 4" xfId="33897"/>
    <cellStyle name="Normal 2 7 4 5 5 5" xfId="33898"/>
    <cellStyle name="Normal 2 7 4 5 6" xfId="33899"/>
    <cellStyle name="Normal 2 7 4 5 6 2" xfId="33900"/>
    <cellStyle name="Normal 2 7 4 5 6 3" xfId="33901"/>
    <cellStyle name="Normal 2 7 4 5 6 4" xfId="33902"/>
    <cellStyle name="Normal 2 7 4 5 7" xfId="33903"/>
    <cellStyle name="Normal 2 7 4 5 7 2" xfId="33904"/>
    <cellStyle name="Normal 2 7 4 5 8" xfId="33905"/>
    <cellStyle name="Normal 2 7 4 5 9" xfId="33906"/>
    <cellStyle name="Normal 2 7 4 6" xfId="33907"/>
    <cellStyle name="Normal 2 7 4 6 10" xfId="33908"/>
    <cellStyle name="Normal 2 7 4 6 11" xfId="33909"/>
    <cellStyle name="Normal 2 7 4 6 2" xfId="33910"/>
    <cellStyle name="Normal 2 7 4 6 2 2" xfId="33911"/>
    <cellStyle name="Normal 2 7 4 6 2 2 2" xfId="33912"/>
    <cellStyle name="Normal 2 7 4 6 2 2 2 2" xfId="33913"/>
    <cellStyle name="Normal 2 7 4 6 2 2 2 3" xfId="33914"/>
    <cellStyle name="Normal 2 7 4 6 2 2 3" xfId="33915"/>
    <cellStyle name="Normal 2 7 4 6 2 2 4" xfId="33916"/>
    <cellStyle name="Normal 2 7 4 6 2 2 5" xfId="33917"/>
    <cellStyle name="Normal 2 7 4 6 2 2 6" xfId="33918"/>
    <cellStyle name="Normal 2 7 4 6 2 3" xfId="33919"/>
    <cellStyle name="Normal 2 7 4 6 2 3 2" xfId="33920"/>
    <cellStyle name="Normal 2 7 4 6 2 3 2 2" xfId="33921"/>
    <cellStyle name="Normal 2 7 4 6 2 3 3" xfId="33922"/>
    <cellStyle name="Normal 2 7 4 6 2 3 4" xfId="33923"/>
    <cellStyle name="Normal 2 7 4 6 2 3 5" xfId="33924"/>
    <cellStyle name="Normal 2 7 4 6 2 4" xfId="33925"/>
    <cellStyle name="Normal 2 7 4 6 2 4 2" xfId="33926"/>
    <cellStyle name="Normal 2 7 4 6 2 4 3" xfId="33927"/>
    <cellStyle name="Normal 2 7 4 6 2 4 4" xfId="33928"/>
    <cellStyle name="Normal 2 7 4 6 2 5" xfId="33929"/>
    <cellStyle name="Normal 2 7 4 6 2 5 2" xfId="33930"/>
    <cellStyle name="Normal 2 7 4 6 2 6" xfId="33931"/>
    <cellStyle name="Normal 2 7 4 6 2 7" xfId="33932"/>
    <cellStyle name="Normal 2 7 4 6 2 8" xfId="33933"/>
    <cellStyle name="Normal 2 7 4 6 2 9" xfId="33934"/>
    <cellStyle name="Normal 2 7 4 6 3" xfId="33935"/>
    <cellStyle name="Normal 2 7 4 6 3 2" xfId="33936"/>
    <cellStyle name="Normal 2 7 4 6 3 2 2" xfId="33937"/>
    <cellStyle name="Normal 2 7 4 6 3 2 2 2" xfId="33938"/>
    <cellStyle name="Normal 2 7 4 6 3 2 2 3" xfId="33939"/>
    <cellStyle name="Normal 2 7 4 6 3 2 3" xfId="33940"/>
    <cellStyle name="Normal 2 7 4 6 3 2 4" xfId="33941"/>
    <cellStyle name="Normal 2 7 4 6 3 2 5" xfId="33942"/>
    <cellStyle name="Normal 2 7 4 6 3 2 6" xfId="33943"/>
    <cellStyle name="Normal 2 7 4 6 3 3" xfId="33944"/>
    <cellStyle name="Normal 2 7 4 6 3 3 2" xfId="33945"/>
    <cellStyle name="Normal 2 7 4 6 3 3 2 2" xfId="33946"/>
    <cellStyle name="Normal 2 7 4 6 3 3 3" xfId="33947"/>
    <cellStyle name="Normal 2 7 4 6 3 3 4" xfId="33948"/>
    <cellStyle name="Normal 2 7 4 6 3 3 5" xfId="33949"/>
    <cellStyle name="Normal 2 7 4 6 3 4" xfId="33950"/>
    <cellStyle name="Normal 2 7 4 6 3 4 2" xfId="33951"/>
    <cellStyle name="Normal 2 7 4 6 3 4 3" xfId="33952"/>
    <cellStyle name="Normal 2 7 4 6 3 4 4" xfId="33953"/>
    <cellStyle name="Normal 2 7 4 6 3 5" xfId="33954"/>
    <cellStyle name="Normal 2 7 4 6 3 5 2" xfId="33955"/>
    <cellStyle name="Normal 2 7 4 6 3 6" xfId="33956"/>
    <cellStyle name="Normal 2 7 4 6 3 7" xfId="33957"/>
    <cellStyle name="Normal 2 7 4 6 3 8" xfId="33958"/>
    <cellStyle name="Normal 2 7 4 6 3 9" xfId="33959"/>
    <cellStyle name="Normal 2 7 4 6 4" xfId="33960"/>
    <cellStyle name="Normal 2 7 4 6 4 2" xfId="33961"/>
    <cellStyle name="Normal 2 7 4 6 4 2 2" xfId="33962"/>
    <cellStyle name="Normal 2 7 4 6 4 2 3" xfId="33963"/>
    <cellStyle name="Normal 2 7 4 6 4 3" xfId="33964"/>
    <cellStyle name="Normal 2 7 4 6 4 4" xfId="33965"/>
    <cellStyle name="Normal 2 7 4 6 4 5" xfId="33966"/>
    <cellStyle name="Normal 2 7 4 6 4 6" xfId="33967"/>
    <cellStyle name="Normal 2 7 4 6 5" xfId="33968"/>
    <cellStyle name="Normal 2 7 4 6 5 2" xfId="33969"/>
    <cellStyle name="Normal 2 7 4 6 5 2 2" xfId="33970"/>
    <cellStyle name="Normal 2 7 4 6 5 3" xfId="33971"/>
    <cellStyle name="Normal 2 7 4 6 5 4" xfId="33972"/>
    <cellStyle name="Normal 2 7 4 6 5 5" xfId="33973"/>
    <cellStyle name="Normal 2 7 4 6 6" xfId="33974"/>
    <cellStyle name="Normal 2 7 4 6 6 2" xfId="33975"/>
    <cellStyle name="Normal 2 7 4 6 6 3" xfId="33976"/>
    <cellStyle name="Normal 2 7 4 6 6 4" xfId="33977"/>
    <cellStyle name="Normal 2 7 4 6 7" xfId="33978"/>
    <cellStyle name="Normal 2 7 4 6 7 2" xfId="33979"/>
    <cellStyle name="Normal 2 7 4 6 8" xfId="33980"/>
    <cellStyle name="Normal 2 7 4 6 9" xfId="33981"/>
    <cellStyle name="Normal 2 7 4 7" xfId="33982"/>
    <cellStyle name="Normal 2 7 4 7 10" xfId="33983"/>
    <cellStyle name="Normal 2 7 4 7 11" xfId="33984"/>
    <cellStyle name="Normal 2 7 4 7 2" xfId="33985"/>
    <cellStyle name="Normal 2 7 4 7 2 2" xfId="33986"/>
    <cellStyle name="Normal 2 7 4 7 2 2 2" xfId="33987"/>
    <cellStyle name="Normal 2 7 4 7 2 2 2 2" xfId="33988"/>
    <cellStyle name="Normal 2 7 4 7 2 2 2 3" xfId="33989"/>
    <cellStyle name="Normal 2 7 4 7 2 2 3" xfId="33990"/>
    <cellStyle name="Normal 2 7 4 7 2 2 4" xfId="33991"/>
    <cellStyle name="Normal 2 7 4 7 2 2 5" xfId="33992"/>
    <cellStyle name="Normal 2 7 4 7 2 2 6" xfId="33993"/>
    <cellStyle name="Normal 2 7 4 7 2 3" xfId="33994"/>
    <cellStyle name="Normal 2 7 4 7 2 3 2" xfId="33995"/>
    <cellStyle name="Normal 2 7 4 7 2 3 2 2" xfId="33996"/>
    <cellStyle name="Normal 2 7 4 7 2 3 3" xfId="33997"/>
    <cellStyle name="Normal 2 7 4 7 2 3 4" xfId="33998"/>
    <cellStyle name="Normal 2 7 4 7 2 3 5" xfId="33999"/>
    <cellStyle name="Normal 2 7 4 7 2 4" xfId="34000"/>
    <cellStyle name="Normal 2 7 4 7 2 4 2" xfId="34001"/>
    <cellStyle name="Normal 2 7 4 7 2 4 3" xfId="34002"/>
    <cellStyle name="Normal 2 7 4 7 2 4 4" xfId="34003"/>
    <cellStyle name="Normal 2 7 4 7 2 5" xfId="34004"/>
    <cellStyle name="Normal 2 7 4 7 2 5 2" xfId="34005"/>
    <cellStyle name="Normal 2 7 4 7 2 6" xfId="34006"/>
    <cellStyle name="Normal 2 7 4 7 2 7" xfId="34007"/>
    <cellStyle name="Normal 2 7 4 7 2 8" xfId="34008"/>
    <cellStyle name="Normal 2 7 4 7 2 9" xfId="34009"/>
    <cellStyle name="Normal 2 7 4 7 3" xfId="34010"/>
    <cellStyle name="Normal 2 7 4 7 3 2" xfId="34011"/>
    <cellStyle name="Normal 2 7 4 7 3 2 2" xfId="34012"/>
    <cellStyle name="Normal 2 7 4 7 3 2 2 2" xfId="34013"/>
    <cellStyle name="Normal 2 7 4 7 3 2 2 3" xfId="34014"/>
    <cellStyle name="Normal 2 7 4 7 3 2 3" xfId="34015"/>
    <cellStyle name="Normal 2 7 4 7 3 2 4" xfId="34016"/>
    <cellStyle name="Normal 2 7 4 7 3 2 5" xfId="34017"/>
    <cellStyle name="Normal 2 7 4 7 3 2 6" xfId="34018"/>
    <cellStyle name="Normal 2 7 4 7 3 3" xfId="34019"/>
    <cellStyle name="Normal 2 7 4 7 3 3 2" xfId="34020"/>
    <cellStyle name="Normal 2 7 4 7 3 3 2 2" xfId="34021"/>
    <cellStyle name="Normal 2 7 4 7 3 3 3" xfId="34022"/>
    <cellStyle name="Normal 2 7 4 7 3 3 4" xfId="34023"/>
    <cellStyle name="Normal 2 7 4 7 3 3 5" xfId="34024"/>
    <cellStyle name="Normal 2 7 4 7 3 4" xfId="34025"/>
    <cellStyle name="Normal 2 7 4 7 3 4 2" xfId="34026"/>
    <cellStyle name="Normal 2 7 4 7 3 4 3" xfId="34027"/>
    <cellStyle name="Normal 2 7 4 7 3 4 4" xfId="34028"/>
    <cellStyle name="Normal 2 7 4 7 3 5" xfId="34029"/>
    <cellStyle name="Normal 2 7 4 7 3 5 2" xfId="34030"/>
    <cellStyle name="Normal 2 7 4 7 3 6" xfId="34031"/>
    <cellStyle name="Normal 2 7 4 7 3 7" xfId="34032"/>
    <cellStyle name="Normal 2 7 4 7 3 8" xfId="34033"/>
    <cellStyle name="Normal 2 7 4 7 3 9" xfId="34034"/>
    <cellStyle name="Normal 2 7 4 7 4" xfId="34035"/>
    <cellStyle name="Normal 2 7 4 7 4 2" xfId="34036"/>
    <cellStyle name="Normal 2 7 4 7 4 2 2" xfId="34037"/>
    <cellStyle name="Normal 2 7 4 7 4 2 3" xfId="34038"/>
    <cellStyle name="Normal 2 7 4 7 4 3" xfId="34039"/>
    <cellStyle name="Normal 2 7 4 7 4 4" xfId="34040"/>
    <cellStyle name="Normal 2 7 4 7 4 5" xfId="34041"/>
    <cellStyle name="Normal 2 7 4 7 4 6" xfId="34042"/>
    <cellStyle name="Normal 2 7 4 7 5" xfId="34043"/>
    <cellStyle name="Normal 2 7 4 7 5 2" xfId="34044"/>
    <cellStyle name="Normal 2 7 4 7 5 2 2" xfId="34045"/>
    <cellStyle name="Normal 2 7 4 7 5 3" xfId="34046"/>
    <cellStyle name="Normal 2 7 4 7 5 4" xfId="34047"/>
    <cellStyle name="Normal 2 7 4 7 5 5" xfId="34048"/>
    <cellStyle name="Normal 2 7 4 7 6" xfId="34049"/>
    <cellStyle name="Normal 2 7 4 7 6 2" xfId="34050"/>
    <cellStyle name="Normal 2 7 4 7 6 3" xfId="34051"/>
    <cellStyle name="Normal 2 7 4 7 6 4" xfId="34052"/>
    <cellStyle name="Normal 2 7 4 7 7" xfId="34053"/>
    <cellStyle name="Normal 2 7 4 7 7 2" xfId="34054"/>
    <cellStyle name="Normal 2 7 4 7 8" xfId="34055"/>
    <cellStyle name="Normal 2 7 4 7 9" xfId="34056"/>
    <cellStyle name="Normal 2 7 4 8" xfId="34057"/>
    <cellStyle name="Normal 2 7 4 8 10" xfId="34058"/>
    <cellStyle name="Normal 2 7 4 8 2" xfId="34059"/>
    <cellStyle name="Normal 2 7 4 8 2 2" xfId="34060"/>
    <cellStyle name="Normal 2 7 4 8 2 2 2" xfId="34061"/>
    <cellStyle name="Normal 2 7 4 8 2 2 3" xfId="34062"/>
    <cellStyle name="Normal 2 7 4 8 2 3" xfId="34063"/>
    <cellStyle name="Normal 2 7 4 8 2 4" xfId="34064"/>
    <cellStyle name="Normal 2 7 4 8 2 5" xfId="34065"/>
    <cellStyle name="Normal 2 7 4 8 2 6" xfId="34066"/>
    <cellStyle name="Normal 2 7 4 8 3" xfId="34067"/>
    <cellStyle name="Normal 2 7 4 8 3 2" xfId="34068"/>
    <cellStyle name="Normal 2 7 4 8 3 2 2" xfId="34069"/>
    <cellStyle name="Normal 2 7 4 8 3 2 3" xfId="34070"/>
    <cellStyle name="Normal 2 7 4 8 3 3" xfId="34071"/>
    <cellStyle name="Normal 2 7 4 8 3 4" xfId="34072"/>
    <cellStyle name="Normal 2 7 4 8 3 5" xfId="34073"/>
    <cellStyle name="Normal 2 7 4 8 3 6" xfId="34074"/>
    <cellStyle name="Normal 2 7 4 8 4" xfId="34075"/>
    <cellStyle name="Normal 2 7 4 8 4 2" xfId="34076"/>
    <cellStyle name="Normal 2 7 4 8 4 2 2" xfId="34077"/>
    <cellStyle name="Normal 2 7 4 8 4 3" xfId="34078"/>
    <cellStyle name="Normal 2 7 4 8 4 4" xfId="34079"/>
    <cellStyle name="Normal 2 7 4 8 4 5" xfId="34080"/>
    <cellStyle name="Normal 2 7 4 8 5" xfId="34081"/>
    <cellStyle name="Normal 2 7 4 8 5 2" xfId="34082"/>
    <cellStyle name="Normal 2 7 4 8 5 3" xfId="34083"/>
    <cellStyle name="Normal 2 7 4 8 5 4" xfId="34084"/>
    <cellStyle name="Normal 2 7 4 8 6" xfId="34085"/>
    <cellStyle name="Normal 2 7 4 8 6 2" xfId="34086"/>
    <cellStyle name="Normal 2 7 4 8 7" xfId="34087"/>
    <cellStyle name="Normal 2 7 4 8 8" xfId="34088"/>
    <cellStyle name="Normal 2 7 4 8 9" xfId="34089"/>
    <cellStyle name="Normal 2 7 4 9" xfId="34090"/>
    <cellStyle name="Normal 2 7 4 9 10" xfId="34091"/>
    <cellStyle name="Normal 2 7 4 9 2" xfId="34092"/>
    <cellStyle name="Normal 2 7 4 9 2 2" xfId="34093"/>
    <cellStyle name="Normal 2 7 4 9 2 2 2" xfId="34094"/>
    <cellStyle name="Normal 2 7 4 9 2 2 3" xfId="34095"/>
    <cellStyle name="Normal 2 7 4 9 2 3" xfId="34096"/>
    <cellStyle name="Normal 2 7 4 9 2 4" xfId="34097"/>
    <cellStyle name="Normal 2 7 4 9 2 5" xfId="34098"/>
    <cellStyle name="Normal 2 7 4 9 2 6" xfId="34099"/>
    <cellStyle name="Normal 2 7 4 9 3" xfId="34100"/>
    <cellStyle name="Normal 2 7 4 9 3 2" xfId="34101"/>
    <cellStyle name="Normal 2 7 4 9 3 2 2" xfId="34102"/>
    <cellStyle name="Normal 2 7 4 9 3 2 3" xfId="34103"/>
    <cellStyle name="Normal 2 7 4 9 3 3" xfId="34104"/>
    <cellStyle name="Normal 2 7 4 9 3 4" xfId="34105"/>
    <cellStyle name="Normal 2 7 4 9 3 5" xfId="34106"/>
    <cellStyle name="Normal 2 7 4 9 3 6" xfId="34107"/>
    <cellStyle name="Normal 2 7 4 9 4" xfId="34108"/>
    <cellStyle name="Normal 2 7 4 9 4 2" xfId="34109"/>
    <cellStyle name="Normal 2 7 4 9 4 2 2" xfId="34110"/>
    <cellStyle name="Normal 2 7 4 9 4 3" xfId="34111"/>
    <cellStyle name="Normal 2 7 4 9 4 4" xfId="34112"/>
    <cellStyle name="Normal 2 7 4 9 4 5" xfId="34113"/>
    <cellStyle name="Normal 2 7 4 9 5" xfId="34114"/>
    <cellStyle name="Normal 2 7 4 9 5 2" xfId="34115"/>
    <cellStyle name="Normal 2 7 4 9 5 3" xfId="34116"/>
    <cellStyle name="Normal 2 7 4 9 5 4" xfId="34117"/>
    <cellStyle name="Normal 2 7 4 9 6" xfId="34118"/>
    <cellStyle name="Normal 2 7 4 9 6 2" xfId="34119"/>
    <cellStyle name="Normal 2 7 4 9 7" xfId="34120"/>
    <cellStyle name="Normal 2 7 4 9 8" xfId="34121"/>
    <cellStyle name="Normal 2 7 4 9 9" xfId="34122"/>
    <cellStyle name="Normal 2 7 5" xfId="34123"/>
    <cellStyle name="Normal 2 7 5 10" xfId="34124"/>
    <cellStyle name="Normal 2 7 5 11" xfId="34125"/>
    <cellStyle name="Normal 2 7 5 2" xfId="34126"/>
    <cellStyle name="Normal 2 7 5 2 2" xfId="34127"/>
    <cellStyle name="Normal 2 7 5 2 2 2" xfId="34128"/>
    <cellStyle name="Normal 2 7 5 2 2 2 2" xfId="34129"/>
    <cellStyle name="Normal 2 7 5 2 2 2 3" xfId="34130"/>
    <cellStyle name="Normal 2 7 5 2 2 3" xfId="34131"/>
    <cellStyle name="Normal 2 7 5 2 2 4" xfId="34132"/>
    <cellStyle name="Normal 2 7 5 2 2 5" xfId="34133"/>
    <cellStyle name="Normal 2 7 5 2 2 6" xfId="34134"/>
    <cellStyle name="Normal 2 7 5 2 3" xfId="34135"/>
    <cellStyle name="Normal 2 7 5 2 3 2" xfId="34136"/>
    <cellStyle name="Normal 2 7 5 2 3 2 2" xfId="34137"/>
    <cellStyle name="Normal 2 7 5 2 3 3" xfId="34138"/>
    <cellStyle name="Normal 2 7 5 2 3 4" xfId="34139"/>
    <cellStyle name="Normal 2 7 5 2 3 5" xfId="34140"/>
    <cellStyle name="Normal 2 7 5 2 4" xfId="34141"/>
    <cellStyle name="Normal 2 7 5 2 4 2" xfId="34142"/>
    <cellStyle name="Normal 2 7 5 2 4 3" xfId="34143"/>
    <cellStyle name="Normal 2 7 5 2 4 4" xfId="34144"/>
    <cellStyle name="Normal 2 7 5 2 5" xfId="34145"/>
    <cellStyle name="Normal 2 7 5 2 5 2" xfId="34146"/>
    <cellStyle name="Normal 2 7 5 2 6" xfId="34147"/>
    <cellStyle name="Normal 2 7 5 2 7" xfId="34148"/>
    <cellStyle name="Normal 2 7 5 2 8" xfId="34149"/>
    <cellStyle name="Normal 2 7 5 2 9" xfId="34150"/>
    <cellStyle name="Normal 2 7 5 3" xfId="34151"/>
    <cellStyle name="Normal 2 7 5 3 2" xfId="34152"/>
    <cellStyle name="Normal 2 7 5 3 2 2" xfId="34153"/>
    <cellStyle name="Normal 2 7 5 3 2 2 2" xfId="34154"/>
    <cellStyle name="Normal 2 7 5 3 2 2 3" xfId="34155"/>
    <cellStyle name="Normal 2 7 5 3 2 3" xfId="34156"/>
    <cellStyle name="Normal 2 7 5 3 2 4" xfId="34157"/>
    <cellStyle name="Normal 2 7 5 3 2 5" xfId="34158"/>
    <cellStyle name="Normal 2 7 5 3 2 6" xfId="34159"/>
    <cellStyle name="Normal 2 7 5 3 3" xfId="34160"/>
    <cellStyle name="Normal 2 7 5 3 3 2" xfId="34161"/>
    <cellStyle name="Normal 2 7 5 3 3 2 2" xfId="34162"/>
    <cellStyle name="Normal 2 7 5 3 3 3" xfId="34163"/>
    <cellStyle name="Normal 2 7 5 3 3 4" xfId="34164"/>
    <cellStyle name="Normal 2 7 5 3 3 5" xfId="34165"/>
    <cellStyle name="Normal 2 7 5 3 4" xfId="34166"/>
    <cellStyle name="Normal 2 7 5 3 4 2" xfId="34167"/>
    <cellStyle name="Normal 2 7 5 3 4 3" xfId="34168"/>
    <cellStyle name="Normal 2 7 5 3 4 4" xfId="34169"/>
    <cellStyle name="Normal 2 7 5 3 5" xfId="34170"/>
    <cellStyle name="Normal 2 7 5 3 5 2" xfId="34171"/>
    <cellStyle name="Normal 2 7 5 3 6" xfId="34172"/>
    <cellStyle name="Normal 2 7 5 3 7" xfId="34173"/>
    <cellStyle name="Normal 2 7 5 3 8" xfId="34174"/>
    <cellStyle name="Normal 2 7 5 3 9" xfId="34175"/>
    <cellStyle name="Normal 2 7 5 4" xfId="34176"/>
    <cellStyle name="Normal 2 7 5 4 2" xfId="34177"/>
    <cellStyle name="Normal 2 7 5 4 2 2" xfId="34178"/>
    <cellStyle name="Normal 2 7 5 4 2 3" xfId="34179"/>
    <cellStyle name="Normal 2 7 5 4 3" xfId="34180"/>
    <cellStyle name="Normal 2 7 5 4 4" xfId="34181"/>
    <cellStyle name="Normal 2 7 5 4 5" xfId="34182"/>
    <cellStyle name="Normal 2 7 5 4 6" xfId="34183"/>
    <cellStyle name="Normal 2 7 5 5" xfId="34184"/>
    <cellStyle name="Normal 2 7 5 5 2" xfId="34185"/>
    <cellStyle name="Normal 2 7 5 5 2 2" xfId="34186"/>
    <cellStyle name="Normal 2 7 5 5 3" xfId="34187"/>
    <cellStyle name="Normal 2 7 5 5 4" xfId="34188"/>
    <cellStyle name="Normal 2 7 5 5 5" xfId="34189"/>
    <cellStyle name="Normal 2 7 5 6" xfId="34190"/>
    <cellStyle name="Normal 2 7 5 6 2" xfId="34191"/>
    <cellStyle name="Normal 2 7 5 6 3" xfId="34192"/>
    <cellStyle name="Normal 2 7 5 6 4" xfId="34193"/>
    <cellStyle name="Normal 2 7 5 7" xfId="34194"/>
    <cellStyle name="Normal 2 7 5 7 2" xfId="34195"/>
    <cellStyle name="Normal 2 7 5 8" xfId="34196"/>
    <cellStyle name="Normal 2 7 5 9" xfId="34197"/>
    <cellStyle name="Normal 2 7 6" xfId="34198"/>
    <cellStyle name="Normal 2 7 6 10" xfId="34199"/>
    <cellStyle name="Normal 2 7 6 11" xfId="34200"/>
    <cellStyle name="Normal 2 7 6 2" xfId="34201"/>
    <cellStyle name="Normal 2 7 6 2 2" xfId="34202"/>
    <cellStyle name="Normal 2 7 6 2 2 2" xfId="34203"/>
    <cellStyle name="Normal 2 7 6 2 2 2 2" xfId="34204"/>
    <cellStyle name="Normal 2 7 6 2 2 2 3" xfId="34205"/>
    <cellStyle name="Normal 2 7 6 2 2 3" xfId="34206"/>
    <cellStyle name="Normal 2 7 6 2 2 4" xfId="34207"/>
    <cellStyle name="Normal 2 7 6 2 2 5" xfId="34208"/>
    <cellStyle name="Normal 2 7 6 2 2 6" xfId="34209"/>
    <cellStyle name="Normal 2 7 6 2 3" xfId="34210"/>
    <cellStyle name="Normal 2 7 6 2 3 2" xfId="34211"/>
    <cellStyle name="Normal 2 7 6 2 3 2 2" xfId="34212"/>
    <cellStyle name="Normal 2 7 6 2 3 3" xfId="34213"/>
    <cellStyle name="Normal 2 7 6 2 3 4" xfId="34214"/>
    <cellStyle name="Normal 2 7 6 2 3 5" xfId="34215"/>
    <cellStyle name="Normal 2 7 6 2 4" xfId="34216"/>
    <cellStyle name="Normal 2 7 6 2 4 2" xfId="34217"/>
    <cellStyle name="Normal 2 7 6 2 4 3" xfId="34218"/>
    <cellStyle name="Normal 2 7 6 2 4 4" xfId="34219"/>
    <cellStyle name="Normal 2 7 6 2 5" xfId="34220"/>
    <cellStyle name="Normal 2 7 6 2 5 2" xfId="34221"/>
    <cellStyle name="Normal 2 7 6 2 6" xfId="34222"/>
    <cellStyle name="Normal 2 7 6 2 7" xfId="34223"/>
    <cellStyle name="Normal 2 7 6 2 8" xfId="34224"/>
    <cellStyle name="Normal 2 7 6 2 9" xfId="34225"/>
    <cellStyle name="Normal 2 7 6 3" xfId="34226"/>
    <cellStyle name="Normal 2 7 6 3 2" xfId="34227"/>
    <cellStyle name="Normal 2 7 6 3 2 2" xfId="34228"/>
    <cellStyle name="Normal 2 7 6 3 2 2 2" xfId="34229"/>
    <cellStyle name="Normal 2 7 6 3 2 2 3" xfId="34230"/>
    <cellStyle name="Normal 2 7 6 3 2 3" xfId="34231"/>
    <cellStyle name="Normal 2 7 6 3 2 4" xfId="34232"/>
    <cellStyle name="Normal 2 7 6 3 2 5" xfId="34233"/>
    <cellStyle name="Normal 2 7 6 3 2 6" xfId="34234"/>
    <cellStyle name="Normal 2 7 6 3 3" xfId="34235"/>
    <cellStyle name="Normal 2 7 6 3 3 2" xfId="34236"/>
    <cellStyle name="Normal 2 7 6 3 3 2 2" xfId="34237"/>
    <cellStyle name="Normal 2 7 6 3 3 3" xfId="34238"/>
    <cellStyle name="Normal 2 7 6 3 3 4" xfId="34239"/>
    <cellStyle name="Normal 2 7 6 3 3 5" xfId="34240"/>
    <cellStyle name="Normal 2 7 6 3 4" xfId="34241"/>
    <cellStyle name="Normal 2 7 6 3 4 2" xfId="34242"/>
    <cellStyle name="Normal 2 7 6 3 4 3" xfId="34243"/>
    <cellStyle name="Normal 2 7 6 3 4 4" xfId="34244"/>
    <cellStyle name="Normal 2 7 6 3 5" xfId="34245"/>
    <cellStyle name="Normal 2 7 6 3 5 2" xfId="34246"/>
    <cellStyle name="Normal 2 7 6 3 6" xfId="34247"/>
    <cellStyle name="Normal 2 7 6 3 7" xfId="34248"/>
    <cellStyle name="Normal 2 7 6 3 8" xfId="34249"/>
    <cellStyle name="Normal 2 7 6 3 9" xfId="34250"/>
    <cellStyle name="Normal 2 7 6 4" xfId="34251"/>
    <cellStyle name="Normal 2 7 6 4 2" xfId="34252"/>
    <cellStyle name="Normal 2 7 6 4 2 2" xfId="34253"/>
    <cellStyle name="Normal 2 7 6 4 2 3" xfId="34254"/>
    <cellStyle name="Normal 2 7 6 4 3" xfId="34255"/>
    <cellStyle name="Normal 2 7 6 4 4" xfId="34256"/>
    <cellStyle name="Normal 2 7 6 4 5" xfId="34257"/>
    <cellStyle name="Normal 2 7 6 4 6" xfId="34258"/>
    <cellStyle name="Normal 2 7 6 5" xfId="34259"/>
    <cellStyle name="Normal 2 7 6 5 2" xfId="34260"/>
    <cellStyle name="Normal 2 7 6 5 2 2" xfId="34261"/>
    <cellStyle name="Normal 2 7 6 5 3" xfId="34262"/>
    <cellStyle name="Normal 2 7 6 5 4" xfId="34263"/>
    <cellStyle name="Normal 2 7 6 5 5" xfId="34264"/>
    <cellStyle name="Normal 2 7 6 6" xfId="34265"/>
    <cellStyle name="Normal 2 7 6 6 2" xfId="34266"/>
    <cellStyle name="Normal 2 7 6 6 3" xfId="34267"/>
    <cellStyle name="Normal 2 7 6 6 4" xfId="34268"/>
    <cellStyle name="Normal 2 7 6 7" xfId="34269"/>
    <cellStyle name="Normal 2 7 6 7 2" xfId="34270"/>
    <cellStyle name="Normal 2 7 6 8" xfId="34271"/>
    <cellStyle name="Normal 2 7 6 9" xfId="34272"/>
    <cellStyle name="Normal 2 7 7" xfId="34273"/>
    <cellStyle name="Normal 2 7 7 10" xfId="34274"/>
    <cellStyle name="Normal 2 7 7 11" xfId="34275"/>
    <cellStyle name="Normal 2 7 7 2" xfId="34276"/>
    <cellStyle name="Normal 2 7 7 2 2" xfId="34277"/>
    <cellStyle name="Normal 2 7 7 2 2 2" xfId="34278"/>
    <cellStyle name="Normal 2 7 7 2 2 2 2" xfId="34279"/>
    <cellStyle name="Normal 2 7 7 2 2 2 3" xfId="34280"/>
    <cellStyle name="Normal 2 7 7 2 2 3" xfId="34281"/>
    <cellStyle name="Normal 2 7 7 2 2 4" xfId="34282"/>
    <cellStyle name="Normal 2 7 7 2 2 5" xfId="34283"/>
    <cellStyle name="Normal 2 7 7 2 2 6" xfId="34284"/>
    <cellStyle name="Normal 2 7 7 2 3" xfId="34285"/>
    <cellStyle name="Normal 2 7 7 2 3 2" xfId="34286"/>
    <cellStyle name="Normal 2 7 7 2 3 2 2" xfId="34287"/>
    <cellStyle name="Normal 2 7 7 2 3 3" xfId="34288"/>
    <cellStyle name="Normal 2 7 7 2 3 4" xfId="34289"/>
    <cellStyle name="Normal 2 7 7 2 3 5" xfId="34290"/>
    <cellStyle name="Normal 2 7 7 2 4" xfId="34291"/>
    <cellStyle name="Normal 2 7 7 2 4 2" xfId="34292"/>
    <cellStyle name="Normal 2 7 7 2 4 3" xfId="34293"/>
    <cellStyle name="Normal 2 7 7 2 4 4" xfId="34294"/>
    <cellStyle name="Normal 2 7 7 2 5" xfId="34295"/>
    <cellStyle name="Normal 2 7 7 2 5 2" xfId="34296"/>
    <cellStyle name="Normal 2 7 7 2 6" xfId="34297"/>
    <cellStyle name="Normal 2 7 7 2 7" xfId="34298"/>
    <cellStyle name="Normal 2 7 7 2 8" xfId="34299"/>
    <cellStyle name="Normal 2 7 7 2 9" xfId="34300"/>
    <cellStyle name="Normal 2 7 7 3" xfId="34301"/>
    <cellStyle name="Normal 2 7 7 3 2" xfId="34302"/>
    <cellStyle name="Normal 2 7 7 3 2 2" xfId="34303"/>
    <cellStyle name="Normal 2 7 7 3 2 2 2" xfId="34304"/>
    <cellStyle name="Normal 2 7 7 3 2 2 3" xfId="34305"/>
    <cellStyle name="Normal 2 7 7 3 2 3" xfId="34306"/>
    <cellStyle name="Normal 2 7 7 3 2 4" xfId="34307"/>
    <cellStyle name="Normal 2 7 7 3 2 5" xfId="34308"/>
    <cellStyle name="Normal 2 7 7 3 2 6" xfId="34309"/>
    <cellStyle name="Normal 2 7 7 3 3" xfId="34310"/>
    <cellStyle name="Normal 2 7 7 3 3 2" xfId="34311"/>
    <cellStyle name="Normal 2 7 7 3 3 2 2" xfId="34312"/>
    <cellStyle name="Normal 2 7 7 3 3 3" xfId="34313"/>
    <cellStyle name="Normal 2 7 7 3 3 4" xfId="34314"/>
    <cellStyle name="Normal 2 7 7 3 3 5" xfId="34315"/>
    <cellStyle name="Normal 2 7 7 3 4" xfId="34316"/>
    <cellStyle name="Normal 2 7 7 3 4 2" xfId="34317"/>
    <cellStyle name="Normal 2 7 7 3 4 3" xfId="34318"/>
    <cellStyle name="Normal 2 7 7 3 4 4" xfId="34319"/>
    <cellStyle name="Normal 2 7 7 3 5" xfId="34320"/>
    <cellStyle name="Normal 2 7 7 3 5 2" xfId="34321"/>
    <cellStyle name="Normal 2 7 7 3 6" xfId="34322"/>
    <cellStyle name="Normal 2 7 7 3 7" xfId="34323"/>
    <cellStyle name="Normal 2 7 7 3 8" xfId="34324"/>
    <cellStyle name="Normal 2 7 7 3 9" xfId="34325"/>
    <cellStyle name="Normal 2 7 7 4" xfId="34326"/>
    <cellStyle name="Normal 2 7 7 4 2" xfId="34327"/>
    <cellStyle name="Normal 2 7 7 4 2 2" xfId="34328"/>
    <cellStyle name="Normal 2 7 7 4 2 3" xfId="34329"/>
    <cellStyle name="Normal 2 7 7 4 3" xfId="34330"/>
    <cellStyle name="Normal 2 7 7 4 4" xfId="34331"/>
    <cellStyle name="Normal 2 7 7 4 5" xfId="34332"/>
    <cellStyle name="Normal 2 7 7 4 6" xfId="34333"/>
    <cellStyle name="Normal 2 7 7 5" xfId="34334"/>
    <cellStyle name="Normal 2 7 7 5 2" xfId="34335"/>
    <cellStyle name="Normal 2 7 7 5 2 2" xfId="34336"/>
    <cellStyle name="Normal 2 7 7 5 3" xfId="34337"/>
    <cellStyle name="Normal 2 7 7 5 4" xfId="34338"/>
    <cellStyle name="Normal 2 7 7 5 5" xfId="34339"/>
    <cellStyle name="Normal 2 7 7 6" xfId="34340"/>
    <cellStyle name="Normal 2 7 7 6 2" xfId="34341"/>
    <cellStyle name="Normal 2 7 7 6 3" xfId="34342"/>
    <cellStyle name="Normal 2 7 7 6 4" xfId="34343"/>
    <cellStyle name="Normal 2 7 7 7" xfId="34344"/>
    <cellStyle name="Normal 2 7 7 7 2" xfId="34345"/>
    <cellStyle name="Normal 2 7 7 8" xfId="34346"/>
    <cellStyle name="Normal 2 7 7 9" xfId="34347"/>
    <cellStyle name="Normal 2 7 8" xfId="34348"/>
    <cellStyle name="Normal 2 7 8 10" xfId="34349"/>
    <cellStyle name="Normal 2 7 8 11" xfId="34350"/>
    <cellStyle name="Normal 2 7 8 2" xfId="34351"/>
    <cellStyle name="Normal 2 7 8 2 2" xfId="34352"/>
    <cellStyle name="Normal 2 7 8 2 2 2" xfId="34353"/>
    <cellStyle name="Normal 2 7 8 2 2 2 2" xfId="34354"/>
    <cellStyle name="Normal 2 7 8 2 2 2 3" xfId="34355"/>
    <cellStyle name="Normal 2 7 8 2 2 3" xfId="34356"/>
    <cellStyle name="Normal 2 7 8 2 2 4" xfId="34357"/>
    <cellStyle name="Normal 2 7 8 2 2 5" xfId="34358"/>
    <cellStyle name="Normal 2 7 8 2 2 6" xfId="34359"/>
    <cellStyle name="Normal 2 7 8 2 3" xfId="34360"/>
    <cellStyle name="Normal 2 7 8 2 3 2" xfId="34361"/>
    <cellStyle name="Normal 2 7 8 2 3 2 2" xfId="34362"/>
    <cellStyle name="Normal 2 7 8 2 3 3" xfId="34363"/>
    <cellStyle name="Normal 2 7 8 2 3 4" xfId="34364"/>
    <cellStyle name="Normal 2 7 8 2 3 5" xfId="34365"/>
    <cellStyle name="Normal 2 7 8 2 4" xfId="34366"/>
    <cellStyle name="Normal 2 7 8 2 4 2" xfId="34367"/>
    <cellStyle name="Normal 2 7 8 2 4 3" xfId="34368"/>
    <cellStyle name="Normal 2 7 8 2 4 4" xfId="34369"/>
    <cellStyle name="Normal 2 7 8 2 5" xfId="34370"/>
    <cellStyle name="Normal 2 7 8 2 5 2" xfId="34371"/>
    <cellStyle name="Normal 2 7 8 2 6" xfId="34372"/>
    <cellStyle name="Normal 2 7 8 2 7" xfId="34373"/>
    <cellStyle name="Normal 2 7 8 2 8" xfId="34374"/>
    <cellStyle name="Normal 2 7 8 2 9" xfId="34375"/>
    <cellStyle name="Normal 2 7 8 3" xfId="34376"/>
    <cellStyle name="Normal 2 7 8 3 2" xfId="34377"/>
    <cellStyle name="Normal 2 7 8 3 2 2" xfId="34378"/>
    <cellStyle name="Normal 2 7 8 3 2 2 2" xfId="34379"/>
    <cellStyle name="Normal 2 7 8 3 2 2 3" xfId="34380"/>
    <cellStyle name="Normal 2 7 8 3 2 3" xfId="34381"/>
    <cellStyle name="Normal 2 7 8 3 2 4" xfId="34382"/>
    <cellStyle name="Normal 2 7 8 3 2 5" xfId="34383"/>
    <cellStyle name="Normal 2 7 8 3 2 6" xfId="34384"/>
    <cellStyle name="Normal 2 7 8 3 3" xfId="34385"/>
    <cellStyle name="Normal 2 7 8 3 3 2" xfId="34386"/>
    <cellStyle name="Normal 2 7 8 3 3 2 2" xfId="34387"/>
    <cellStyle name="Normal 2 7 8 3 3 3" xfId="34388"/>
    <cellStyle name="Normal 2 7 8 3 3 4" xfId="34389"/>
    <cellStyle name="Normal 2 7 8 3 3 5" xfId="34390"/>
    <cellStyle name="Normal 2 7 8 3 4" xfId="34391"/>
    <cellStyle name="Normal 2 7 8 3 4 2" xfId="34392"/>
    <cellStyle name="Normal 2 7 8 3 4 3" xfId="34393"/>
    <cellStyle name="Normal 2 7 8 3 4 4" xfId="34394"/>
    <cellStyle name="Normal 2 7 8 3 5" xfId="34395"/>
    <cellStyle name="Normal 2 7 8 3 5 2" xfId="34396"/>
    <cellStyle name="Normal 2 7 8 3 6" xfId="34397"/>
    <cellStyle name="Normal 2 7 8 3 7" xfId="34398"/>
    <cellStyle name="Normal 2 7 8 3 8" xfId="34399"/>
    <cellStyle name="Normal 2 7 8 3 9" xfId="34400"/>
    <cellStyle name="Normal 2 7 8 4" xfId="34401"/>
    <cellStyle name="Normal 2 7 8 4 2" xfId="34402"/>
    <cellStyle name="Normal 2 7 8 4 2 2" xfId="34403"/>
    <cellStyle name="Normal 2 7 8 4 2 3" xfId="34404"/>
    <cellStyle name="Normal 2 7 8 4 3" xfId="34405"/>
    <cellStyle name="Normal 2 7 8 4 4" xfId="34406"/>
    <cellStyle name="Normal 2 7 8 4 5" xfId="34407"/>
    <cellStyle name="Normal 2 7 8 4 6" xfId="34408"/>
    <cellStyle name="Normal 2 7 8 5" xfId="34409"/>
    <cellStyle name="Normal 2 7 8 5 2" xfId="34410"/>
    <cellStyle name="Normal 2 7 8 5 2 2" xfId="34411"/>
    <cellStyle name="Normal 2 7 8 5 3" xfId="34412"/>
    <cellStyle name="Normal 2 7 8 5 4" xfId="34413"/>
    <cellStyle name="Normal 2 7 8 5 5" xfId="34414"/>
    <cellStyle name="Normal 2 7 8 6" xfId="34415"/>
    <cellStyle name="Normal 2 7 8 6 2" xfId="34416"/>
    <cellStyle name="Normal 2 7 8 6 3" xfId="34417"/>
    <cellStyle name="Normal 2 7 8 6 4" xfId="34418"/>
    <cellStyle name="Normal 2 7 8 7" xfId="34419"/>
    <cellStyle name="Normal 2 7 8 7 2" xfId="34420"/>
    <cellStyle name="Normal 2 7 8 8" xfId="34421"/>
    <cellStyle name="Normal 2 7 8 9" xfId="34422"/>
    <cellStyle name="Normal 2 7 9" xfId="34423"/>
    <cellStyle name="Normal 2 7 9 10" xfId="34424"/>
    <cellStyle name="Normal 2 7 9 11" xfId="34425"/>
    <cellStyle name="Normal 2 7 9 2" xfId="34426"/>
    <cellStyle name="Normal 2 7 9 2 2" xfId="34427"/>
    <cellStyle name="Normal 2 7 9 2 2 2" xfId="34428"/>
    <cellStyle name="Normal 2 7 9 2 2 2 2" xfId="34429"/>
    <cellStyle name="Normal 2 7 9 2 2 2 3" xfId="34430"/>
    <cellStyle name="Normal 2 7 9 2 2 3" xfId="34431"/>
    <cellStyle name="Normal 2 7 9 2 2 4" xfId="34432"/>
    <cellStyle name="Normal 2 7 9 2 2 5" xfId="34433"/>
    <cellStyle name="Normal 2 7 9 2 2 6" xfId="34434"/>
    <cellStyle name="Normal 2 7 9 2 3" xfId="34435"/>
    <cellStyle name="Normal 2 7 9 2 3 2" xfId="34436"/>
    <cellStyle name="Normal 2 7 9 2 3 2 2" xfId="34437"/>
    <cellStyle name="Normal 2 7 9 2 3 3" xfId="34438"/>
    <cellStyle name="Normal 2 7 9 2 3 4" xfId="34439"/>
    <cellStyle name="Normal 2 7 9 2 3 5" xfId="34440"/>
    <cellStyle name="Normal 2 7 9 2 4" xfId="34441"/>
    <cellStyle name="Normal 2 7 9 2 4 2" xfId="34442"/>
    <cellStyle name="Normal 2 7 9 2 4 3" xfId="34443"/>
    <cellStyle name="Normal 2 7 9 2 4 4" xfId="34444"/>
    <cellStyle name="Normal 2 7 9 2 5" xfId="34445"/>
    <cellStyle name="Normal 2 7 9 2 5 2" xfId="34446"/>
    <cellStyle name="Normal 2 7 9 2 6" xfId="34447"/>
    <cellStyle name="Normal 2 7 9 2 7" xfId="34448"/>
    <cellStyle name="Normal 2 7 9 2 8" xfId="34449"/>
    <cellStyle name="Normal 2 7 9 2 9" xfId="34450"/>
    <cellStyle name="Normal 2 7 9 3" xfId="34451"/>
    <cellStyle name="Normal 2 7 9 3 2" xfId="34452"/>
    <cellStyle name="Normal 2 7 9 3 2 2" xfId="34453"/>
    <cellStyle name="Normal 2 7 9 3 2 2 2" xfId="34454"/>
    <cellStyle name="Normal 2 7 9 3 2 2 3" xfId="34455"/>
    <cellStyle name="Normal 2 7 9 3 2 3" xfId="34456"/>
    <cellStyle name="Normal 2 7 9 3 2 4" xfId="34457"/>
    <cellStyle name="Normal 2 7 9 3 2 5" xfId="34458"/>
    <cellStyle name="Normal 2 7 9 3 2 6" xfId="34459"/>
    <cellStyle name="Normal 2 7 9 3 3" xfId="34460"/>
    <cellStyle name="Normal 2 7 9 3 3 2" xfId="34461"/>
    <cellStyle name="Normal 2 7 9 3 3 2 2" xfId="34462"/>
    <cellStyle name="Normal 2 7 9 3 3 3" xfId="34463"/>
    <cellStyle name="Normal 2 7 9 3 3 4" xfId="34464"/>
    <cellStyle name="Normal 2 7 9 3 3 5" xfId="34465"/>
    <cellStyle name="Normal 2 7 9 3 4" xfId="34466"/>
    <cellStyle name="Normal 2 7 9 3 4 2" xfId="34467"/>
    <cellStyle name="Normal 2 7 9 3 4 3" xfId="34468"/>
    <cellStyle name="Normal 2 7 9 3 4 4" xfId="34469"/>
    <cellStyle name="Normal 2 7 9 3 5" xfId="34470"/>
    <cellStyle name="Normal 2 7 9 3 5 2" xfId="34471"/>
    <cellStyle name="Normal 2 7 9 3 6" xfId="34472"/>
    <cellStyle name="Normal 2 7 9 3 7" xfId="34473"/>
    <cellStyle name="Normal 2 7 9 3 8" xfId="34474"/>
    <cellStyle name="Normal 2 7 9 3 9" xfId="34475"/>
    <cellStyle name="Normal 2 7 9 4" xfId="34476"/>
    <cellStyle name="Normal 2 7 9 4 2" xfId="34477"/>
    <cellStyle name="Normal 2 7 9 4 2 2" xfId="34478"/>
    <cellStyle name="Normal 2 7 9 4 2 3" xfId="34479"/>
    <cellStyle name="Normal 2 7 9 4 3" xfId="34480"/>
    <cellStyle name="Normal 2 7 9 4 4" xfId="34481"/>
    <cellStyle name="Normal 2 7 9 4 5" xfId="34482"/>
    <cellStyle name="Normal 2 7 9 4 6" xfId="34483"/>
    <cellStyle name="Normal 2 7 9 5" xfId="34484"/>
    <cellStyle name="Normal 2 7 9 5 2" xfId="34485"/>
    <cellStyle name="Normal 2 7 9 5 2 2" xfId="34486"/>
    <cellStyle name="Normal 2 7 9 5 3" xfId="34487"/>
    <cellStyle name="Normal 2 7 9 5 4" xfId="34488"/>
    <cellStyle name="Normal 2 7 9 5 5" xfId="34489"/>
    <cellStyle name="Normal 2 7 9 6" xfId="34490"/>
    <cellStyle name="Normal 2 7 9 6 2" xfId="34491"/>
    <cellStyle name="Normal 2 7 9 6 3" xfId="34492"/>
    <cellStyle name="Normal 2 7 9 6 4" xfId="34493"/>
    <cellStyle name="Normal 2 7 9 7" xfId="34494"/>
    <cellStyle name="Normal 2 7 9 7 2" xfId="34495"/>
    <cellStyle name="Normal 2 7 9 8" xfId="34496"/>
    <cellStyle name="Normal 2 7 9 9" xfId="34497"/>
    <cellStyle name="Normal 2 70" xfId="34498"/>
    <cellStyle name="Normal 2 8" xfId="34499"/>
    <cellStyle name="Normal 2 8 10" xfId="34500"/>
    <cellStyle name="Normal 2 8 10 10" xfId="34501"/>
    <cellStyle name="Normal 2 8 10 11" xfId="34502"/>
    <cellStyle name="Normal 2 8 10 2" xfId="34503"/>
    <cellStyle name="Normal 2 8 10 2 2" xfId="34504"/>
    <cellStyle name="Normal 2 8 10 2 2 2" xfId="34505"/>
    <cellStyle name="Normal 2 8 10 2 2 2 2" xfId="34506"/>
    <cellStyle name="Normal 2 8 10 2 2 2 3" xfId="34507"/>
    <cellStyle name="Normal 2 8 10 2 2 3" xfId="34508"/>
    <cellStyle name="Normal 2 8 10 2 2 4" xfId="34509"/>
    <cellStyle name="Normal 2 8 10 2 2 5" xfId="34510"/>
    <cellStyle name="Normal 2 8 10 2 2 6" xfId="34511"/>
    <cellStyle name="Normal 2 8 10 2 3" xfId="34512"/>
    <cellStyle name="Normal 2 8 10 2 3 2" xfId="34513"/>
    <cellStyle name="Normal 2 8 10 2 3 2 2" xfId="34514"/>
    <cellStyle name="Normal 2 8 10 2 3 3" xfId="34515"/>
    <cellStyle name="Normal 2 8 10 2 3 4" xfId="34516"/>
    <cellStyle name="Normal 2 8 10 2 3 5" xfId="34517"/>
    <cellStyle name="Normal 2 8 10 2 4" xfId="34518"/>
    <cellStyle name="Normal 2 8 10 2 4 2" xfId="34519"/>
    <cellStyle name="Normal 2 8 10 2 4 3" xfId="34520"/>
    <cellStyle name="Normal 2 8 10 2 4 4" xfId="34521"/>
    <cellStyle name="Normal 2 8 10 2 5" xfId="34522"/>
    <cellStyle name="Normal 2 8 10 2 5 2" xfId="34523"/>
    <cellStyle name="Normal 2 8 10 2 6" xfId="34524"/>
    <cellStyle name="Normal 2 8 10 2 7" xfId="34525"/>
    <cellStyle name="Normal 2 8 10 2 8" xfId="34526"/>
    <cellStyle name="Normal 2 8 10 2 9" xfId="34527"/>
    <cellStyle name="Normal 2 8 10 3" xfId="34528"/>
    <cellStyle name="Normal 2 8 10 3 2" xfId="34529"/>
    <cellStyle name="Normal 2 8 10 3 2 2" xfId="34530"/>
    <cellStyle name="Normal 2 8 10 3 2 2 2" xfId="34531"/>
    <cellStyle name="Normal 2 8 10 3 2 2 3" xfId="34532"/>
    <cellStyle name="Normal 2 8 10 3 2 3" xfId="34533"/>
    <cellStyle name="Normal 2 8 10 3 2 4" xfId="34534"/>
    <cellStyle name="Normal 2 8 10 3 2 5" xfId="34535"/>
    <cellStyle name="Normal 2 8 10 3 2 6" xfId="34536"/>
    <cellStyle name="Normal 2 8 10 3 3" xfId="34537"/>
    <cellStyle name="Normal 2 8 10 3 3 2" xfId="34538"/>
    <cellStyle name="Normal 2 8 10 3 3 2 2" xfId="34539"/>
    <cellStyle name="Normal 2 8 10 3 3 3" xfId="34540"/>
    <cellStyle name="Normal 2 8 10 3 3 4" xfId="34541"/>
    <cellStyle name="Normal 2 8 10 3 3 5" xfId="34542"/>
    <cellStyle name="Normal 2 8 10 3 4" xfId="34543"/>
    <cellStyle name="Normal 2 8 10 3 4 2" xfId="34544"/>
    <cellStyle name="Normal 2 8 10 3 4 3" xfId="34545"/>
    <cellStyle name="Normal 2 8 10 3 4 4" xfId="34546"/>
    <cellStyle name="Normal 2 8 10 3 5" xfId="34547"/>
    <cellStyle name="Normal 2 8 10 3 5 2" xfId="34548"/>
    <cellStyle name="Normal 2 8 10 3 6" xfId="34549"/>
    <cellStyle name="Normal 2 8 10 3 7" xfId="34550"/>
    <cellStyle name="Normal 2 8 10 3 8" xfId="34551"/>
    <cellStyle name="Normal 2 8 10 3 9" xfId="34552"/>
    <cellStyle name="Normal 2 8 10 4" xfId="34553"/>
    <cellStyle name="Normal 2 8 10 4 2" xfId="34554"/>
    <cellStyle name="Normal 2 8 10 4 2 2" xfId="34555"/>
    <cellStyle name="Normal 2 8 10 4 2 3" xfId="34556"/>
    <cellStyle name="Normal 2 8 10 4 3" xfId="34557"/>
    <cellStyle name="Normal 2 8 10 4 4" xfId="34558"/>
    <cellStyle name="Normal 2 8 10 4 5" xfId="34559"/>
    <cellStyle name="Normal 2 8 10 4 6" xfId="34560"/>
    <cellStyle name="Normal 2 8 10 5" xfId="34561"/>
    <cellStyle name="Normal 2 8 10 5 2" xfId="34562"/>
    <cellStyle name="Normal 2 8 10 5 2 2" xfId="34563"/>
    <cellStyle name="Normal 2 8 10 5 3" xfId="34564"/>
    <cellStyle name="Normal 2 8 10 5 4" xfId="34565"/>
    <cellStyle name="Normal 2 8 10 5 5" xfId="34566"/>
    <cellStyle name="Normal 2 8 10 6" xfId="34567"/>
    <cellStyle name="Normal 2 8 10 6 2" xfId="34568"/>
    <cellStyle name="Normal 2 8 10 6 3" xfId="34569"/>
    <cellStyle name="Normal 2 8 10 6 4" xfId="34570"/>
    <cellStyle name="Normal 2 8 10 7" xfId="34571"/>
    <cellStyle name="Normal 2 8 10 7 2" xfId="34572"/>
    <cellStyle name="Normal 2 8 10 8" xfId="34573"/>
    <cellStyle name="Normal 2 8 10 9" xfId="34574"/>
    <cellStyle name="Normal 2 8 11" xfId="34575"/>
    <cellStyle name="Normal 2 8 11 10" xfId="34576"/>
    <cellStyle name="Normal 2 8 11 2" xfId="34577"/>
    <cellStyle name="Normal 2 8 11 2 2" xfId="34578"/>
    <cellStyle name="Normal 2 8 11 2 2 2" xfId="34579"/>
    <cellStyle name="Normal 2 8 11 2 2 3" xfId="34580"/>
    <cellStyle name="Normal 2 8 11 2 3" xfId="34581"/>
    <cellStyle name="Normal 2 8 11 2 4" xfId="34582"/>
    <cellStyle name="Normal 2 8 11 2 5" xfId="34583"/>
    <cellStyle name="Normal 2 8 11 2 6" xfId="34584"/>
    <cellStyle name="Normal 2 8 11 3" xfId="34585"/>
    <cellStyle name="Normal 2 8 11 3 2" xfId="34586"/>
    <cellStyle name="Normal 2 8 11 3 2 2" xfId="34587"/>
    <cellStyle name="Normal 2 8 11 3 2 3" xfId="34588"/>
    <cellStyle name="Normal 2 8 11 3 3" xfId="34589"/>
    <cellStyle name="Normal 2 8 11 3 4" xfId="34590"/>
    <cellStyle name="Normal 2 8 11 3 5" xfId="34591"/>
    <cellStyle name="Normal 2 8 11 3 6" xfId="34592"/>
    <cellStyle name="Normal 2 8 11 4" xfId="34593"/>
    <cellStyle name="Normal 2 8 11 4 2" xfId="34594"/>
    <cellStyle name="Normal 2 8 11 4 2 2" xfId="34595"/>
    <cellStyle name="Normal 2 8 11 4 3" xfId="34596"/>
    <cellStyle name="Normal 2 8 11 4 4" xfId="34597"/>
    <cellStyle name="Normal 2 8 11 4 5" xfId="34598"/>
    <cellStyle name="Normal 2 8 11 5" xfId="34599"/>
    <cellStyle name="Normal 2 8 11 5 2" xfId="34600"/>
    <cellStyle name="Normal 2 8 11 5 3" xfId="34601"/>
    <cellStyle name="Normal 2 8 11 5 4" xfId="34602"/>
    <cellStyle name="Normal 2 8 11 6" xfId="34603"/>
    <cellStyle name="Normal 2 8 11 6 2" xfId="34604"/>
    <cellStyle name="Normal 2 8 11 7" xfId="34605"/>
    <cellStyle name="Normal 2 8 11 8" xfId="34606"/>
    <cellStyle name="Normal 2 8 11 9" xfId="34607"/>
    <cellStyle name="Normal 2 8 12" xfId="34608"/>
    <cellStyle name="Normal 2 8 12 10" xfId="34609"/>
    <cellStyle name="Normal 2 8 12 2" xfId="34610"/>
    <cellStyle name="Normal 2 8 12 2 2" xfId="34611"/>
    <cellStyle name="Normal 2 8 12 2 2 2" xfId="34612"/>
    <cellStyle name="Normal 2 8 12 2 2 3" xfId="34613"/>
    <cellStyle name="Normal 2 8 12 2 3" xfId="34614"/>
    <cellStyle name="Normal 2 8 12 2 4" xfId="34615"/>
    <cellStyle name="Normal 2 8 12 2 5" xfId="34616"/>
    <cellStyle name="Normal 2 8 12 2 6" xfId="34617"/>
    <cellStyle name="Normal 2 8 12 3" xfId="34618"/>
    <cellStyle name="Normal 2 8 12 3 2" xfId="34619"/>
    <cellStyle name="Normal 2 8 12 3 2 2" xfId="34620"/>
    <cellStyle name="Normal 2 8 12 3 2 3" xfId="34621"/>
    <cellStyle name="Normal 2 8 12 3 3" xfId="34622"/>
    <cellStyle name="Normal 2 8 12 3 4" xfId="34623"/>
    <cellStyle name="Normal 2 8 12 3 5" xfId="34624"/>
    <cellStyle name="Normal 2 8 12 3 6" xfId="34625"/>
    <cellStyle name="Normal 2 8 12 4" xfId="34626"/>
    <cellStyle name="Normal 2 8 12 4 2" xfId="34627"/>
    <cellStyle name="Normal 2 8 12 4 2 2" xfId="34628"/>
    <cellStyle name="Normal 2 8 12 4 3" xfId="34629"/>
    <cellStyle name="Normal 2 8 12 4 4" xfId="34630"/>
    <cellStyle name="Normal 2 8 12 4 5" xfId="34631"/>
    <cellStyle name="Normal 2 8 12 5" xfId="34632"/>
    <cellStyle name="Normal 2 8 12 5 2" xfId="34633"/>
    <cellStyle name="Normal 2 8 12 5 3" xfId="34634"/>
    <cellStyle name="Normal 2 8 12 5 4" xfId="34635"/>
    <cellStyle name="Normal 2 8 12 6" xfId="34636"/>
    <cellStyle name="Normal 2 8 12 6 2" xfId="34637"/>
    <cellStyle name="Normal 2 8 12 7" xfId="34638"/>
    <cellStyle name="Normal 2 8 12 8" xfId="34639"/>
    <cellStyle name="Normal 2 8 12 9" xfId="34640"/>
    <cellStyle name="Normal 2 8 13" xfId="34641"/>
    <cellStyle name="Normal 2 8 13 10" xfId="34642"/>
    <cellStyle name="Normal 2 8 13 2" xfId="34643"/>
    <cellStyle name="Normal 2 8 13 2 2" xfId="34644"/>
    <cellStyle name="Normal 2 8 13 2 2 2" xfId="34645"/>
    <cellStyle name="Normal 2 8 13 2 2 3" xfId="34646"/>
    <cellStyle name="Normal 2 8 13 2 3" xfId="34647"/>
    <cellStyle name="Normal 2 8 13 2 4" xfId="34648"/>
    <cellStyle name="Normal 2 8 13 2 5" xfId="34649"/>
    <cellStyle name="Normal 2 8 13 2 6" xfId="34650"/>
    <cellStyle name="Normal 2 8 13 3" xfId="34651"/>
    <cellStyle name="Normal 2 8 13 3 2" xfId="34652"/>
    <cellStyle name="Normal 2 8 13 3 2 2" xfId="34653"/>
    <cellStyle name="Normal 2 8 13 3 2 3" xfId="34654"/>
    <cellStyle name="Normal 2 8 13 3 3" xfId="34655"/>
    <cellStyle name="Normal 2 8 13 3 4" xfId="34656"/>
    <cellStyle name="Normal 2 8 13 3 5" xfId="34657"/>
    <cellStyle name="Normal 2 8 13 3 6" xfId="34658"/>
    <cellStyle name="Normal 2 8 13 4" xfId="34659"/>
    <cellStyle name="Normal 2 8 13 4 2" xfId="34660"/>
    <cellStyle name="Normal 2 8 13 4 2 2" xfId="34661"/>
    <cellStyle name="Normal 2 8 13 4 3" xfId="34662"/>
    <cellStyle name="Normal 2 8 13 4 4" xfId="34663"/>
    <cellStyle name="Normal 2 8 13 4 5" xfId="34664"/>
    <cellStyle name="Normal 2 8 13 5" xfId="34665"/>
    <cellStyle name="Normal 2 8 13 5 2" xfId="34666"/>
    <cellStyle name="Normal 2 8 13 5 3" xfId="34667"/>
    <cellStyle name="Normal 2 8 13 5 4" xfId="34668"/>
    <cellStyle name="Normal 2 8 13 6" xfId="34669"/>
    <cellStyle name="Normal 2 8 13 6 2" xfId="34670"/>
    <cellStyle name="Normal 2 8 13 7" xfId="34671"/>
    <cellStyle name="Normal 2 8 13 8" xfId="34672"/>
    <cellStyle name="Normal 2 8 13 9" xfId="34673"/>
    <cellStyle name="Normal 2 8 14" xfId="34674"/>
    <cellStyle name="Normal 2 8 14 10" xfId="34675"/>
    <cellStyle name="Normal 2 8 14 2" xfId="34676"/>
    <cellStyle name="Normal 2 8 14 2 2" xfId="34677"/>
    <cellStyle name="Normal 2 8 14 2 2 2" xfId="34678"/>
    <cellStyle name="Normal 2 8 14 2 2 3" xfId="34679"/>
    <cellStyle name="Normal 2 8 14 2 3" xfId="34680"/>
    <cellStyle name="Normal 2 8 14 2 4" xfId="34681"/>
    <cellStyle name="Normal 2 8 14 2 5" xfId="34682"/>
    <cellStyle name="Normal 2 8 14 2 6" xfId="34683"/>
    <cellStyle name="Normal 2 8 14 3" xfId="34684"/>
    <cellStyle name="Normal 2 8 14 3 2" xfId="34685"/>
    <cellStyle name="Normal 2 8 14 3 2 2" xfId="34686"/>
    <cellStyle name="Normal 2 8 14 3 2 3" xfId="34687"/>
    <cellStyle name="Normal 2 8 14 3 3" xfId="34688"/>
    <cellStyle name="Normal 2 8 14 3 4" xfId="34689"/>
    <cellStyle name="Normal 2 8 14 3 5" xfId="34690"/>
    <cellStyle name="Normal 2 8 14 3 6" xfId="34691"/>
    <cellStyle name="Normal 2 8 14 4" xfId="34692"/>
    <cellStyle name="Normal 2 8 14 4 2" xfId="34693"/>
    <cellStyle name="Normal 2 8 14 4 2 2" xfId="34694"/>
    <cellStyle name="Normal 2 8 14 4 3" xfId="34695"/>
    <cellStyle name="Normal 2 8 14 4 4" xfId="34696"/>
    <cellStyle name="Normal 2 8 14 4 5" xfId="34697"/>
    <cellStyle name="Normal 2 8 14 5" xfId="34698"/>
    <cellStyle name="Normal 2 8 14 5 2" xfId="34699"/>
    <cellStyle name="Normal 2 8 14 5 3" xfId="34700"/>
    <cellStyle name="Normal 2 8 14 5 4" xfId="34701"/>
    <cellStyle name="Normal 2 8 14 6" xfId="34702"/>
    <cellStyle name="Normal 2 8 14 6 2" xfId="34703"/>
    <cellStyle name="Normal 2 8 14 7" xfId="34704"/>
    <cellStyle name="Normal 2 8 14 8" xfId="34705"/>
    <cellStyle name="Normal 2 8 14 9" xfId="34706"/>
    <cellStyle name="Normal 2 8 15" xfId="34707"/>
    <cellStyle name="Normal 2 8 15 10" xfId="34708"/>
    <cellStyle name="Normal 2 8 15 2" xfId="34709"/>
    <cellStyle name="Normal 2 8 15 2 2" xfId="34710"/>
    <cellStyle name="Normal 2 8 15 2 2 2" xfId="34711"/>
    <cellStyle name="Normal 2 8 15 2 2 3" xfId="34712"/>
    <cellStyle name="Normal 2 8 15 2 3" xfId="34713"/>
    <cellStyle name="Normal 2 8 15 2 4" xfId="34714"/>
    <cellStyle name="Normal 2 8 15 2 5" xfId="34715"/>
    <cellStyle name="Normal 2 8 15 2 6" xfId="34716"/>
    <cellStyle name="Normal 2 8 15 3" xfId="34717"/>
    <cellStyle name="Normal 2 8 15 3 2" xfId="34718"/>
    <cellStyle name="Normal 2 8 15 3 2 2" xfId="34719"/>
    <cellStyle name="Normal 2 8 15 3 2 3" xfId="34720"/>
    <cellStyle name="Normal 2 8 15 3 3" xfId="34721"/>
    <cellStyle name="Normal 2 8 15 3 4" xfId="34722"/>
    <cellStyle name="Normal 2 8 15 3 5" xfId="34723"/>
    <cellStyle name="Normal 2 8 15 3 6" xfId="34724"/>
    <cellStyle name="Normal 2 8 15 4" xfId="34725"/>
    <cellStyle name="Normal 2 8 15 4 2" xfId="34726"/>
    <cellStyle name="Normal 2 8 15 4 2 2" xfId="34727"/>
    <cellStyle name="Normal 2 8 15 4 3" xfId="34728"/>
    <cellStyle name="Normal 2 8 15 4 4" xfId="34729"/>
    <cellStyle name="Normal 2 8 15 4 5" xfId="34730"/>
    <cellStyle name="Normal 2 8 15 5" xfId="34731"/>
    <cellStyle name="Normal 2 8 15 5 2" xfId="34732"/>
    <cellStyle name="Normal 2 8 15 5 3" xfId="34733"/>
    <cellStyle name="Normal 2 8 15 5 4" xfId="34734"/>
    <cellStyle name="Normal 2 8 15 6" xfId="34735"/>
    <cellStyle name="Normal 2 8 15 6 2" xfId="34736"/>
    <cellStyle name="Normal 2 8 15 7" xfId="34737"/>
    <cellStyle name="Normal 2 8 15 8" xfId="34738"/>
    <cellStyle name="Normal 2 8 15 9" xfId="34739"/>
    <cellStyle name="Normal 2 8 16" xfId="34740"/>
    <cellStyle name="Normal 2 8 16 10" xfId="34741"/>
    <cellStyle name="Normal 2 8 16 2" xfId="34742"/>
    <cellStyle name="Normal 2 8 16 2 2" xfId="34743"/>
    <cellStyle name="Normal 2 8 16 2 2 2" xfId="34744"/>
    <cellStyle name="Normal 2 8 16 2 2 3" xfId="34745"/>
    <cellStyle name="Normal 2 8 16 2 3" xfId="34746"/>
    <cellStyle name="Normal 2 8 16 2 4" xfId="34747"/>
    <cellStyle name="Normal 2 8 16 2 5" xfId="34748"/>
    <cellStyle name="Normal 2 8 16 2 6" xfId="34749"/>
    <cellStyle name="Normal 2 8 16 3" xfId="34750"/>
    <cellStyle name="Normal 2 8 16 3 2" xfId="34751"/>
    <cellStyle name="Normal 2 8 16 3 2 2" xfId="34752"/>
    <cellStyle name="Normal 2 8 16 3 2 3" xfId="34753"/>
    <cellStyle name="Normal 2 8 16 3 3" xfId="34754"/>
    <cellStyle name="Normal 2 8 16 3 4" xfId="34755"/>
    <cellStyle name="Normal 2 8 16 3 5" xfId="34756"/>
    <cellStyle name="Normal 2 8 16 3 6" xfId="34757"/>
    <cellStyle name="Normal 2 8 16 4" xfId="34758"/>
    <cellStyle name="Normal 2 8 16 4 2" xfId="34759"/>
    <cellStyle name="Normal 2 8 16 4 2 2" xfId="34760"/>
    <cellStyle name="Normal 2 8 16 4 3" xfId="34761"/>
    <cellStyle name="Normal 2 8 16 4 4" xfId="34762"/>
    <cellStyle name="Normal 2 8 16 4 5" xfId="34763"/>
    <cellStyle name="Normal 2 8 16 5" xfId="34764"/>
    <cellStyle name="Normal 2 8 16 5 2" xfId="34765"/>
    <cellStyle name="Normal 2 8 16 5 3" xfId="34766"/>
    <cellStyle name="Normal 2 8 16 5 4" xfId="34767"/>
    <cellStyle name="Normal 2 8 16 6" xfId="34768"/>
    <cellStyle name="Normal 2 8 16 6 2" xfId="34769"/>
    <cellStyle name="Normal 2 8 16 7" xfId="34770"/>
    <cellStyle name="Normal 2 8 16 8" xfId="34771"/>
    <cellStyle name="Normal 2 8 16 9" xfId="34772"/>
    <cellStyle name="Normal 2 8 17" xfId="34773"/>
    <cellStyle name="Normal 2 8 17 10" xfId="34774"/>
    <cellStyle name="Normal 2 8 17 2" xfId="34775"/>
    <cellStyle name="Normal 2 8 17 2 2" xfId="34776"/>
    <cellStyle name="Normal 2 8 17 2 2 2" xfId="34777"/>
    <cellStyle name="Normal 2 8 17 2 2 3" xfId="34778"/>
    <cellStyle name="Normal 2 8 17 2 3" xfId="34779"/>
    <cellStyle name="Normal 2 8 17 2 4" xfId="34780"/>
    <cellStyle name="Normal 2 8 17 2 5" xfId="34781"/>
    <cellStyle name="Normal 2 8 17 2 6" xfId="34782"/>
    <cellStyle name="Normal 2 8 17 3" xfId="34783"/>
    <cellStyle name="Normal 2 8 17 3 2" xfId="34784"/>
    <cellStyle name="Normal 2 8 17 3 2 2" xfId="34785"/>
    <cellStyle name="Normal 2 8 17 3 2 3" xfId="34786"/>
    <cellStyle name="Normal 2 8 17 3 3" xfId="34787"/>
    <cellStyle name="Normal 2 8 17 3 4" xfId="34788"/>
    <cellStyle name="Normal 2 8 17 3 5" xfId="34789"/>
    <cellStyle name="Normal 2 8 17 3 6" xfId="34790"/>
    <cellStyle name="Normal 2 8 17 4" xfId="34791"/>
    <cellStyle name="Normal 2 8 17 4 2" xfId="34792"/>
    <cellStyle name="Normal 2 8 17 4 2 2" xfId="34793"/>
    <cellStyle name="Normal 2 8 17 4 3" xfId="34794"/>
    <cellStyle name="Normal 2 8 17 4 4" xfId="34795"/>
    <cellStyle name="Normal 2 8 17 4 5" xfId="34796"/>
    <cellStyle name="Normal 2 8 17 5" xfId="34797"/>
    <cellStyle name="Normal 2 8 17 5 2" xfId="34798"/>
    <cellStyle name="Normal 2 8 17 5 3" xfId="34799"/>
    <cellStyle name="Normal 2 8 17 5 4" xfId="34800"/>
    <cellStyle name="Normal 2 8 17 6" xfId="34801"/>
    <cellStyle name="Normal 2 8 17 6 2" xfId="34802"/>
    <cellStyle name="Normal 2 8 17 7" xfId="34803"/>
    <cellStyle name="Normal 2 8 17 8" xfId="34804"/>
    <cellStyle name="Normal 2 8 17 9" xfId="34805"/>
    <cellStyle name="Normal 2 8 18" xfId="34806"/>
    <cellStyle name="Normal 2 8 18 10" xfId="34807"/>
    <cellStyle name="Normal 2 8 18 2" xfId="34808"/>
    <cellStyle name="Normal 2 8 18 2 2" xfId="34809"/>
    <cellStyle name="Normal 2 8 18 2 2 2" xfId="34810"/>
    <cellStyle name="Normal 2 8 18 2 2 3" xfId="34811"/>
    <cellStyle name="Normal 2 8 18 2 3" xfId="34812"/>
    <cellStyle name="Normal 2 8 18 2 4" xfId="34813"/>
    <cellStyle name="Normal 2 8 18 2 5" xfId="34814"/>
    <cellStyle name="Normal 2 8 18 2 6" xfId="34815"/>
    <cellStyle name="Normal 2 8 18 3" xfId="34816"/>
    <cellStyle name="Normal 2 8 18 3 2" xfId="34817"/>
    <cellStyle name="Normal 2 8 18 3 2 2" xfId="34818"/>
    <cellStyle name="Normal 2 8 18 3 2 3" xfId="34819"/>
    <cellStyle name="Normal 2 8 18 3 3" xfId="34820"/>
    <cellStyle name="Normal 2 8 18 3 4" xfId="34821"/>
    <cellStyle name="Normal 2 8 18 3 5" xfId="34822"/>
    <cellStyle name="Normal 2 8 18 3 6" xfId="34823"/>
    <cellStyle name="Normal 2 8 18 4" xfId="34824"/>
    <cellStyle name="Normal 2 8 18 4 2" xfId="34825"/>
    <cellStyle name="Normal 2 8 18 4 2 2" xfId="34826"/>
    <cellStyle name="Normal 2 8 18 4 3" xfId="34827"/>
    <cellStyle name="Normal 2 8 18 4 4" xfId="34828"/>
    <cellStyle name="Normal 2 8 18 4 5" xfId="34829"/>
    <cellStyle name="Normal 2 8 18 5" xfId="34830"/>
    <cellStyle name="Normal 2 8 18 5 2" xfId="34831"/>
    <cellStyle name="Normal 2 8 18 5 3" xfId="34832"/>
    <cellStyle name="Normal 2 8 18 5 4" xfId="34833"/>
    <cellStyle name="Normal 2 8 18 6" xfId="34834"/>
    <cellStyle name="Normal 2 8 18 6 2" xfId="34835"/>
    <cellStyle name="Normal 2 8 18 7" xfId="34836"/>
    <cellStyle name="Normal 2 8 18 8" xfId="34837"/>
    <cellStyle name="Normal 2 8 18 9" xfId="34838"/>
    <cellStyle name="Normal 2 8 19" xfId="34839"/>
    <cellStyle name="Normal 2 8 19 10" xfId="34840"/>
    <cellStyle name="Normal 2 8 19 2" xfId="34841"/>
    <cellStyle name="Normal 2 8 19 2 2" xfId="34842"/>
    <cellStyle name="Normal 2 8 19 2 2 2" xfId="34843"/>
    <cellStyle name="Normal 2 8 19 2 2 3" xfId="34844"/>
    <cellStyle name="Normal 2 8 19 2 3" xfId="34845"/>
    <cellStyle name="Normal 2 8 19 2 4" xfId="34846"/>
    <cellStyle name="Normal 2 8 19 2 5" xfId="34847"/>
    <cellStyle name="Normal 2 8 19 2 6" xfId="34848"/>
    <cellStyle name="Normal 2 8 19 3" xfId="34849"/>
    <cellStyle name="Normal 2 8 19 3 2" xfId="34850"/>
    <cellStyle name="Normal 2 8 19 3 2 2" xfId="34851"/>
    <cellStyle name="Normal 2 8 19 3 2 3" xfId="34852"/>
    <cellStyle name="Normal 2 8 19 3 3" xfId="34853"/>
    <cellStyle name="Normal 2 8 19 3 4" xfId="34854"/>
    <cellStyle name="Normal 2 8 19 3 5" xfId="34855"/>
    <cellStyle name="Normal 2 8 19 3 6" xfId="34856"/>
    <cellStyle name="Normal 2 8 19 4" xfId="34857"/>
    <cellStyle name="Normal 2 8 19 4 2" xfId="34858"/>
    <cellStyle name="Normal 2 8 19 4 2 2" xfId="34859"/>
    <cellStyle name="Normal 2 8 19 4 3" xfId="34860"/>
    <cellStyle name="Normal 2 8 19 4 4" xfId="34861"/>
    <cellStyle name="Normal 2 8 19 4 5" xfId="34862"/>
    <cellStyle name="Normal 2 8 19 5" xfId="34863"/>
    <cellStyle name="Normal 2 8 19 5 2" xfId="34864"/>
    <cellStyle name="Normal 2 8 19 5 3" xfId="34865"/>
    <cellStyle name="Normal 2 8 19 5 4" xfId="34866"/>
    <cellStyle name="Normal 2 8 19 6" xfId="34867"/>
    <cellStyle name="Normal 2 8 19 6 2" xfId="34868"/>
    <cellStyle name="Normal 2 8 19 7" xfId="34869"/>
    <cellStyle name="Normal 2 8 19 8" xfId="34870"/>
    <cellStyle name="Normal 2 8 19 9" xfId="34871"/>
    <cellStyle name="Normal 2 8 2" xfId="34872"/>
    <cellStyle name="Normal 2 8 2 10" xfId="34873"/>
    <cellStyle name="Normal 2 8 2 10 10" xfId="34874"/>
    <cellStyle name="Normal 2 8 2 10 2" xfId="34875"/>
    <cellStyle name="Normal 2 8 2 10 2 2" xfId="34876"/>
    <cellStyle name="Normal 2 8 2 10 2 2 2" xfId="34877"/>
    <cellStyle name="Normal 2 8 2 10 2 2 3" xfId="34878"/>
    <cellStyle name="Normal 2 8 2 10 2 3" xfId="34879"/>
    <cellStyle name="Normal 2 8 2 10 2 4" xfId="34880"/>
    <cellStyle name="Normal 2 8 2 10 2 5" xfId="34881"/>
    <cellStyle name="Normal 2 8 2 10 2 6" xfId="34882"/>
    <cellStyle name="Normal 2 8 2 10 3" xfId="34883"/>
    <cellStyle name="Normal 2 8 2 10 3 2" xfId="34884"/>
    <cellStyle name="Normal 2 8 2 10 3 2 2" xfId="34885"/>
    <cellStyle name="Normal 2 8 2 10 3 2 3" xfId="34886"/>
    <cellStyle name="Normal 2 8 2 10 3 3" xfId="34887"/>
    <cellStyle name="Normal 2 8 2 10 3 4" xfId="34888"/>
    <cellStyle name="Normal 2 8 2 10 3 5" xfId="34889"/>
    <cellStyle name="Normal 2 8 2 10 3 6" xfId="34890"/>
    <cellStyle name="Normal 2 8 2 10 4" xfId="34891"/>
    <cellStyle name="Normal 2 8 2 10 4 2" xfId="34892"/>
    <cellStyle name="Normal 2 8 2 10 4 2 2" xfId="34893"/>
    <cellStyle name="Normal 2 8 2 10 4 3" xfId="34894"/>
    <cellStyle name="Normal 2 8 2 10 4 4" xfId="34895"/>
    <cellStyle name="Normal 2 8 2 10 4 5" xfId="34896"/>
    <cellStyle name="Normal 2 8 2 10 5" xfId="34897"/>
    <cellStyle name="Normal 2 8 2 10 5 2" xfId="34898"/>
    <cellStyle name="Normal 2 8 2 10 5 3" xfId="34899"/>
    <cellStyle name="Normal 2 8 2 10 5 4" xfId="34900"/>
    <cellStyle name="Normal 2 8 2 10 6" xfId="34901"/>
    <cellStyle name="Normal 2 8 2 10 6 2" xfId="34902"/>
    <cellStyle name="Normal 2 8 2 10 7" xfId="34903"/>
    <cellStyle name="Normal 2 8 2 10 8" xfId="34904"/>
    <cellStyle name="Normal 2 8 2 10 9" xfId="34905"/>
    <cellStyle name="Normal 2 8 2 11" xfId="34906"/>
    <cellStyle name="Normal 2 8 2 11 10" xfId="34907"/>
    <cellStyle name="Normal 2 8 2 11 2" xfId="34908"/>
    <cellStyle name="Normal 2 8 2 11 2 2" xfId="34909"/>
    <cellStyle name="Normal 2 8 2 11 2 2 2" xfId="34910"/>
    <cellStyle name="Normal 2 8 2 11 2 2 3" xfId="34911"/>
    <cellStyle name="Normal 2 8 2 11 2 3" xfId="34912"/>
    <cellStyle name="Normal 2 8 2 11 2 4" xfId="34913"/>
    <cellStyle name="Normal 2 8 2 11 2 5" xfId="34914"/>
    <cellStyle name="Normal 2 8 2 11 2 6" xfId="34915"/>
    <cellStyle name="Normal 2 8 2 11 3" xfId="34916"/>
    <cellStyle name="Normal 2 8 2 11 3 2" xfId="34917"/>
    <cellStyle name="Normal 2 8 2 11 3 2 2" xfId="34918"/>
    <cellStyle name="Normal 2 8 2 11 3 2 3" xfId="34919"/>
    <cellStyle name="Normal 2 8 2 11 3 3" xfId="34920"/>
    <cellStyle name="Normal 2 8 2 11 3 4" xfId="34921"/>
    <cellStyle name="Normal 2 8 2 11 3 5" xfId="34922"/>
    <cellStyle name="Normal 2 8 2 11 3 6" xfId="34923"/>
    <cellStyle name="Normal 2 8 2 11 4" xfId="34924"/>
    <cellStyle name="Normal 2 8 2 11 4 2" xfId="34925"/>
    <cellStyle name="Normal 2 8 2 11 4 2 2" xfId="34926"/>
    <cellStyle name="Normal 2 8 2 11 4 3" xfId="34927"/>
    <cellStyle name="Normal 2 8 2 11 4 4" xfId="34928"/>
    <cellStyle name="Normal 2 8 2 11 4 5" xfId="34929"/>
    <cellStyle name="Normal 2 8 2 11 5" xfId="34930"/>
    <cellStyle name="Normal 2 8 2 11 5 2" xfId="34931"/>
    <cellStyle name="Normal 2 8 2 11 5 3" xfId="34932"/>
    <cellStyle name="Normal 2 8 2 11 5 4" xfId="34933"/>
    <cellStyle name="Normal 2 8 2 11 6" xfId="34934"/>
    <cellStyle name="Normal 2 8 2 11 6 2" xfId="34935"/>
    <cellStyle name="Normal 2 8 2 11 7" xfId="34936"/>
    <cellStyle name="Normal 2 8 2 11 8" xfId="34937"/>
    <cellStyle name="Normal 2 8 2 11 9" xfId="34938"/>
    <cellStyle name="Normal 2 8 2 12" xfId="34939"/>
    <cellStyle name="Normal 2 8 2 12 10" xfId="34940"/>
    <cellStyle name="Normal 2 8 2 12 2" xfId="34941"/>
    <cellStyle name="Normal 2 8 2 12 2 2" xfId="34942"/>
    <cellStyle name="Normal 2 8 2 12 2 2 2" xfId="34943"/>
    <cellStyle name="Normal 2 8 2 12 2 2 3" xfId="34944"/>
    <cellStyle name="Normal 2 8 2 12 2 3" xfId="34945"/>
    <cellStyle name="Normal 2 8 2 12 2 4" xfId="34946"/>
    <cellStyle name="Normal 2 8 2 12 2 5" xfId="34947"/>
    <cellStyle name="Normal 2 8 2 12 2 6" xfId="34948"/>
    <cellStyle name="Normal 2 8 2 12 3" xfId="34949"/>
    <cellStyle name="Normal 2 8 2 12 3 2" xfId="34950"/>
    <cellStyle name="Normal 2 8 2 12 3 2 2" xfId="34951"/>
    <cellStyle name="Normal 2 8 2 12 3 2 3" xfId="34952"/>
    <cellStyle name="Normal 2 8 2 12 3 3" xfId="34953"/>
    <cellStyle name="Normal 2 8 2 12 3 4" xfId="34954"/>
    <cellStyle name="Normal 2 8 2 12 3 5" xfId="34955"/>
    <cellStyle name="Normal 2 8 2 12 3 6" xfId="34956"/>
    <cellStyle name="Normal 2 8 2 12 4" xfId="34957"/>
    <cellStyle name="Normal 2 8 2 12 4 2" xfId="34958"/>
    <cellStyle name="Normal 2 8 2 12 4 2 2" xfId="34959"/>
    <cellStyle name="Normal 2 8 2 12 4 3" xfId="34960"/>
    <cellStyle name="Normal 2 8 2 12 4 4" xfId="34961"/>
    <cellStyle name="Normal 2 8 2 12 4 5" xfId="34962"/>
    <cellStyle name="Normal 2 8 2 12 5" xfId="34963"/>
    <cellStyle name="Normal 2 8 2 12 5 2" xfId="34964"/>
    <cellStyle name="Normal 2 8 2 12 5 3" xfId="34965"/>
    <cellStyle name="Normal 2 8 2 12 5 4" xfId="34966"/>
    <cellStyle name="Normal 2 8 2 12 6" xfId="34967"/>
    <cellStyle name="Normal 2 8 2 12 6 2" xfId="34968"/>
    <cellStyle name="Normal 2 8 2 12 7" xfId="34969"/>
    <cellStyle name="Normal 2 8 2 12 8" xfId="34970"/>
    <cellStyle name="Normal 2 8 2 12 9" xfId="34971"/>
    <cellStyle name="Normal 2 8 2 13" xfId="34972"/>
    <cellStyle name="Normal 2 8 2 13 2" xfId="34973"/>
    <cellStyle name="Normal 2 8 2 13 2 2" xfId="34974"/>
    <cellStyle name="Normal 2 8 2 13 2 2 2" xfId="34975"/>
    <cellStyle name="Normal 2 8 2 13 2 2 3" xfId="34976"/>
    <cellStyle name="Normal 2 8 2 13 2 3" xfId="34977"/>
    <cellStyle name="Normal 2 8 2 13 2 4" xfId="34978"/>
    <cellStyle name="Normal 2 8 2 13 2 5" xfId="34979"/>
    <cellStyle name="Normal 2 8 2 13 2 6" xfId="34980"/>
    <cellStyle name="Normal 2 8 2 13 3" xfId="34981"/>
    <cellStyle name="Normal 2 8 2 13 3 2" xfId="34982"/>
    <cellStyle name="Normal 2 8 2 13 3 2 2" xfId="34983"/>
    <cellStyle name="Normal 2 8 2 13 3 3" xfId="34984"/>
    <cellStyle name="Normal 2 8 2 13 3 4" xfId="34985"/>
    <cellStyle name="Normal 2 8 2 13 3 5" xfId="34986"/>
    <cellStyle name="Normal 2 8 2 13 4" xfId="34987"/>
    <cellStyle name="Normal 2 8 2 13 4 2" xfId="34988"/>
    <cellStyle name="Normal 2 8 2 13 4 3" xfId="34989"/>
    <cellStyle name="Normal 2 8 2 13 4 4" xfId="34990"/>
    <cellStyle name="Normal 2 8 2 13 5" xfId="34991"/>
    <cellStyle name="Normal 2 8 2 13 5 2" xfId="34992"/>
    <cellStyle name="Normal 2 8 2 13 6" xfId="34993"/>
    <cellStyle name="Normal 2 8 2 13 7" xfId="34994"/>
    <cellStyle name="Normal 2 8 2 13 8" xfId="34995"/>
    <cellStyle name="Normal 2 8 2 13 9" xfId="34996"/>
    <cellStyle name="Normal 2 8 2 14" xfId="34997"/>
    <cellStyle name="Normal 2 8 2 14 2" xfId="34998"/>
    <cellStyle name="Normal 2 8 2 14 2 2" xfId="34999"/>
    <cellStyle name="Normal 2 8 2 14 2 2 2" xfId="35000"/>
    <cellStyle name="Normal 2 8 2 14 2 2 3" xfId="35001"/>
    <cellStyle name="Normal 2 8 2 14 2 3" xfId="35002"/>
    <cellStyle name="Normal 2 8 2 14 2 4" xfId="35003"/>
    <cellStyle name="Normal 2 8 2 14 2 5" xfId="35004"/>
    <cellStyle name="Normal 2 8 2 14 2 6" xfId="35005"/>
    <cellStyle name="Normal 2 8 2 14 3" xfId="35006"/>
    <cellStyle name="Normal 2 8 2 14 3 2" xfId="35007"/>
    <cellStyle name="Normal 2 8 2 14 3 2 2" xfId="35008"/>
    <cellStyle name="Normal 2 8 2 14 3 3" xfId="35009"/>
    <cellStyle name="Normal 2 8 2 14 3 4" xfId="35010"/>
    <cellStyle name="Normal 2 8 2 14 3 5" xfId="35011"/>
    <cellStyle name="Normal 2 8 2 14 4" xfId="35012"/>
    <cellStyle name="Normal 2 8 2 14 4 2" xfId="35013"/>
    <cellStyle name="Normal 2 8 2 14 4 3" xfId="35014"/>
    <cellStyle name="Normal 2 8 2 14 4 4" xfId="35015"/>
    <cellStyle name="Normal 2 8 2 14 5" xfId="35016"/>
    <cellStyle name="Normal 2 8 2 14 5 2" xfId="35017"/>
    <cellStyle name="Normal 2 8 2 14 6" xfId="35018"/>
    <cellStyle name="Normal 2 8 2 14 7" xfId="35019"/>
    <cellStyle name="Normal 2 8 2 14 8" xfId="35020"/>
    <cellStyle name="Normal 2 8 2 14 9" xfId="35021"/>
    <cellStyle name="Normal 2 8 2 15" xfId="35022"/>
    <cellStyle name="Normal 2 8 2 15 2" xfId="35023"/>
    <cellStyle name="Normal 2 8 2 15 2 2" xfId="35024"/>
    <cellStyle name="Normal 2 8 2 15 2 3" xfId="35025"/>
    <cellStyle name="Normal 2 8 2 15 3" xfId="35026"/>
    <cellStyle name="Normal 2 8 2 15 4" xfId="35027"/>
    <cellStyle name="Normal 2 8 2 15 5" xfId="35028"/>
    <cellStyle name="Normal 2 8 2 15 6" xfId="35029"/>
    <cellStyle name="Normal 2 8 2 16" xfId="35030"/>
    <cellStyle name="Normal 2 8 2 16 2" xfId="35031"/>
    <cellStyle name="Normal 2 8 2 16 2 2" xfId="35032"/>
    <cellStyle name="Normal 2 8 2 16 3" xfId="35033"/>
    <cellStyle name="Normal 2 8 2 16 4" xfId="35034"/>
    <cellStyle name="Normal 2 8 2 16 5" xfId="35035"/>
    <cellStyle name="Normal 2 8 2 17" xfId="35036"/>
    <cellStyle name="Normal 2 8 2 17 2" xfId="35037"/>
    <cellStyle name="Normal 2 8 2 17 2 2" xfId="35038"/>
    <cellStyle name="Normal 2 8 2 17 3" xfId="35039"/>
    <cellStyle name="Normal 2 8 2 17 4" xfId="35040"/>
    <cellStyle name="Normal 2 8 2 17 5" xfId="35041"/>
    <cellStyle name="Normal 2 8 2 18" xfId="35042"/>
    <cellStyle name="Normal 2 8 2 18 2" xfId="35043"/>
    <cellStyle name="Normal 2 8 2 19" xfId="35044"/>
    <cellStyle name="Normal 2 8 2 2" xfId="35045"/>
    <cellStyle name="Normal 2 8 2 2 10" xfId="35046"/>
    <cellStyle name="Normal 2 8 2 2 11" xfId="35047"/>
    <cellStyle name="Normal 2 8 2 2 2" xfId="35048"/>
    <cellStyle name="Normal 2 8 2 2 2 2" xfId="35049"/>
    <cellStyle name="Normal 2 8 2 2 2 2 2" xfId="35050"/>
    <cellStyle name="Normal 2 8 2 2 2 2 2 2" xfId="35051"/>
    <cellStyle name="Normal 2 8 2 2 2 2 2 3" xfId="35052"/>
    <cellStyle name="Normal 2 8 2 2 2 2 3" xfId="35053"/>
    <cellStyle name="Normal 2 8 2 2 2 2 4" xfId="35054"/>
    <cellStyle name="Normal 2 8 2 2 2 2 5" xfId="35055"/>
    <cellStyle name="Normal 2 8 2 2 2 2 6" xfId="35056"/>
    <cellStyle name="Normal 2 8 2 2 2 3" xfId="35057"/>
    <cellStyle name="Normal 2 8 2 2 2 3 2" xfId="35058"/>
    <cellStyle name="Normal 2 8 2 2 2 3 2 2" xfId="35059"/>
    <cellStyle name="Normal 2 8 2 2 2 3 3" xfId="35060"/>
    <cellStyle name="Normal 2 8 2 2 2 3 4" xfId="35061"/>
    <cellStyle name="Normal 2 8 2 2 2 3 5" xfId="35062"/>
    <cellStyle name="Normal 2 8 2 2 2 4" xfId="35063"/>
    <cellStyle name="Normal 2 8 2 2 2 4 2" xfId="35064"/>
    <cellStyle name="Normal 2 8 2 2 2 4 3" xfId="35065"/>
    <cellStyle name="Normal 2 8 2 2 2 4 4" xfId="35066"/>
    <cellStyle name="Normal 2 8 2 2 2 5" xfId="35067"/>
    <cellStyle name="Normal 2 8 2 2 2 5 2" xfId="35068"/>
    <cellStyle name="Normal 2 8 2 2 2 6" xfId="35069"/>
    <cellStyle name="Normal 2 8 2 2 2 7" xfId="35070"/>
    <cellStyle name="Normal 2 8 2 2 2 8" xfId="35071"/>
    <cellStyle name="Normal 2 8 2 2 2 9" xfId="35072"/>
    <cellStyle name="Normal 2 8 2 2 3" xfId="35073"/>
    <cellStyle name="Normal 2 8 2 2 3 2" xfId="35074"/>
    <cellStyle name="Normal 2 8 2 2 3 2 2" xfId="35075"/>
    <cellStyle name="Normal 2 8 2 2 3 2 2 2" xfId="35076"/>
    <cellStyle name="Normal 2 8 2 2 3 2 2 3" xfId="35077"/>
    <cellStyle name="Normal 2 8 2 2 3 2 3" xfId="35078"/>
    <cellStyle name="Normal 2 8 2 2 3 2 4" xfId="35079"/>
    <cellStyle name="Normal 2 8 2 2 3 2 5" xfId="35080"/>
    <cellStyle name="Normal 2 8 2 2 3 2 6" xfId="35081"/>
    <cellStyle name="Normal 2 8 2 2 3 3" xfId="35082"/>
    <cellStyle name="Normal 2 8 2 2 3 3 2" xfId="35083"/>
    <cellStyle name="Normal 2 8 2 2 3 3 2 2" xfId="35084"/>
    <cellStyle name="Normal 2 8 2 2 3 3 3" xfId="35085"/>
    <cellStyle name="Normal 2 8 2 2 3 3 4" xfId="35086"/>
    <cellStyle name="Normal 2 8 2 2 3 3 5" xfId="35087"/>
    <cellStyle name="Normal 2 8 2 2 3 4" xfId="35088"/>
    <cellStyle name="Normal 2 8 2 2 3 4 2" xfId="35089"/>
    <cellStyle name="Normal 2 8 2 2 3 4 3" xfId="35090"/>
    <cellStyle name="Normal 2 8 2 2 3 4 4" xfId="35091"/>
    <cellStyle name="Normal 2 8 2 2 3 5" xfId="35092"/>
    <cellStyle name="Normal 2 8 2 2 3 5 2" xfId="35093"/>
    <cellStyle name="Normal 2 8 2 2 3 6" xfId="35094"/>
    <cellStyle name="Normal 2 8 2 2 3 7" xfId="35095"/>
    <cellStyle name="Normal 2 8 2 2 3 8" xfId="35096"/>
    <cellStyle name="Normal 2 8 2 2 3 9" xfId="35097"/>
    <cellStyle name="Normal 2 8 2 2 4" xfId="35098"/>
    <cellStyle name="Normal 2 8 2 2 4 2" xfId="35099"/>
    <cellStyle name="Normal 2 8 2 2 4 2 2" xfId="35100"/>
    <cellStyle name="Normal 2 8 2 2 4 2 3" xfId="35101"/>
    <cellStyle name="Normal 2 8 2 2 4 3" xfId="35102"/>
    <cellStyle name="Normal 2 8 2 2 4 4" xfId="35103"/>
    <cellStyle name="Normal 2 8 2 2 4 5" xfId="35104"/>
    <cellStyle name="Normal 2 8 2 2 4 6" xfId="35105"/>
    <cellStyle name="Normal 2 8 2 2 5" xfId="35106"/>
    <cellStyle name="Normal 2 8 2 2 5 2" xfId="35107"/>
    <cellStyle name="Normal 2 8 2 2 5 2 2" xfId="35108"/>
    <cellStyle name="Normal 2 8 2 2 5 3" xfId="35109"/>
    <cellStyle name="Normal 2 8 2 2 5 4" xfId="35110"/>
    <cellStyle name="Normal 2 8 2 2 5 5" xfId="35111"/>
    <cellStyle name="Normal 2 8 2 2 6" xfId="35112"/>
    <cellStyle name="Normal 2 8 2 2 6 2" xfId="35113"/>
    <cellStyle name="Normal 2 8 2 2 6 3" xfId="35114"/>
    <cellStyle name="Normal 2 8 2 2 6 4" xfId="35115"/>
    <cellStyle name="Normal 2 8 2 2 7" xfId="35116"/>
    <cellStyle name="Normal 2 8 2 2 7 2" xfId="35117"/>
    <cellStyle name="Normal 2 8 2 2 8" xfId="35118"/>
    <cellStyle name="Normal 2 8 2 2 9" xfId="35119"/>
    <cellStyle name="Normal 2 8 2 20" xfId="35120"/>
    <cellStyle name="Normal 2 8 2 21" xfId="35121"/>
    <cellStyle name="Normal 2 8 2 22" xfId="35122"/>
    <cellStyle name="Normal 2 8 2 3" xfId="35123"/>
    <cellStyle name="Normal 2 8 2 3 10" xfId="35124"/>
    <cellStyle name="Normal 2 8 2 3 11" xfId="35125"/>
    <cellStyle name="Normal 2 8 2 3 2" xfId="35126"/>
    <cellStyle name="Normal 2 8 2 3 2 2" xfId="35127"/>
    <cellStyle name="Normal 2 8 2 3 2 2 2" xfId="35128"/>
    <cellStyle name="Normal 2 8 2 3 2 2 2 2" xfId="35129"/>
    <cellStyle name="Normal 2 8 2 3 2 2 2 3" xfId="35130"/>
    <cellStyle name="Normal 2 8 2 3 2 2 3" xfId="35131"/>
    <cellStyle name="Normal 2 8 2 3 2 2 4" xfId="35132"/>
    <cellStyle name="Normal 2 8 2 3 2 2 5" xfId="35133"/>
    <cellStyle name="Normal 2 8 2 3 2 2 6" xfId="35134"/>
    <cellStyle name="Normal 2 8 2 3 2 3" xfId="35135"/>
    <cellStyle name="Normal 2 8 2 3 2 3 2" xfId="35136"/>
    <cellStyle name="Normal 2 8 2 3 2 3 2 2" xfId="35137"/>
    <cellStyle name="Normal 2 8 2 3 2 3 3" xfId="35138"/>
    <cellStyle name="Normal 2 8 2 3 2 3 4" xfId="35139"/>
    <cellStyle name="Normal 2 8 2 3 2 3 5" xfId="35140"/>
    <cellStyle name="Normal 2 8 2 3 2 4" xfId="35141"/>
    <cellStyle name="Normal 2 8 2 3 2 4 2" xfId="35142"/>
    <cellStyle name="Normal 2 8 2 3 2 4 3" xfId="35143"/>
    <cellStyle name="Normal 2 8 2 3 2 4 4" xfId="35144"/>
    <cellStyle name="Normal 2 8 2 3 2 5" xfId="35145"/>
    <cellStyle name="Normal 2 8 2 3 2 5 2" xfId="35146"/>
    <cellStyle name="Normal 2 8 2 3 2 6" xfId="35147"/>
    <cellStyle name="Normal 2 8 2 3 2 7" xfId="35148"/>
    <cellStyle name="Normal 2 8 2 3 2 8" xfId="35149"/>
    <cellStyle name="Normal 2 8 2 3 2 9" xfId="35150"/>
    <cellStyle name="Normal 2 8 2 3 3" xfId="35151"/>
    <cellStyle name="Normal 2 8 2 3 3 2" xfId="35152"/>
    <cellStyle name="Normal 2 8 2 3 3 2 2" xfId="35153"/>
    <cellStyle name="Normal 2 8 2 3 3 2 2 2" xfId="35154"/>
    <cellStyle name="Normal 2 8 2 3 3 2 2 3" xfId="35155"/>
    <cellStyle name="Normal 2 8 2 3 3 2 3" xfId="35156"/>
    <cellStyle name="Normal 2 8 2 3 3 2 4" xfId="35157"/>
    <cellStyle name="Normal 2 8 2 3 3 2 5" xfId="35158"/>
    <cellStyle name="Normal 2 8 2 3 3 2 6" xfId="35159"/>
    <cellStyle name="Normal 2 8 2 3 3 3" xfId="35160"/>
    <cellStyle name="Normal 2 8 2 3 3 3 2" xfId="35161"/>
    <cellStyle name="Normal 2 8 2 3 3 3 2 2" xfId="35162"/>
    <cellStyle name="Normal 2 8 2 3 3 3 3" xfId="35163"/>
    <cellStyle name="Normal 2 8 2 3 3 3 4" xfId="35164"/>
    <cellStyle name="Normal 2 8 2 3 3 3 5" xfId="35165"/>
    <cellStyle name="Normal 2 8 2 3 3 4" xfId="35166"/>
    <cellStyle name="Normal 2 8 2 3 3 4 2" xfId="35167"/>
    <cellStyle name="Normal 2 8 2 3 3 4 3" xfId="35168"/>
    <cellStyle name="Normal 2 8 2 3 3 4 4" xfId="35169"/>
    <cellStyle name="Normal 2 8 2 3 3 5" xfId="35170"/>
    <cellStyle name="Normal 2 8 2 3 3 5 2" xfId="35171"/>
    <cellStyle name="Normal 2 8 2 3 3 6" xfId="35172"/>
    <cellStyle name="Normal 2 8 2 3 3 7" xfId="35173"/>
    <cellStyle name="Normal 2 8 2 3 3 8" xfId="35174"/>
    <cellStyle name="Normal 2 8 2 3 3 9" xfId="35175"/>
    <cellStyle name="Normal 2 8 2 3 4" xfId="35176"/>
    <cellStyle name="Normal 2 8 2 3 4 2" xfId="35177"/>
    <cellStyle name="Normal 2 8 2 3 4 2 2" xfId="35178"/>
    <cellStyle name="Normal 2 8 2 3 4 2 3" xfId="35179"/>
    <cellStyle name="Normal 2 8 2 3 4 3" xfId="35180"/>
    <cellStyle name="Normal 2 8 2 3 4 4" xfId="35181"/>
    <cellStyle name="Normal 2 8 2 3 4 5" xfId="35182"/>
    <cellStyle name="Normal 2 8 2 3 4 6" xfId="35183"/>
    <cellStyle name="Normal 2 8 2 3 5" xfId="35184"/>
    <cellStyle name="Normal 2 8 2 3 5 2" xfId="35185"/>
    <cellStyle name="Normal 2 8 2 3 5 2 2" xfId="35186"/>
    <cellStyle name="Normal 2 8 2 3 5 3" xfId="35187"/>
    <cellStyle name="Normal 2 8 2 3 5 4" xfId="35188"/>
    <cellStyle name="Normal 2 8 2 3 5 5" xfId="35189"/>
    <cellStyle name="Normal 2 8 2 3 6" xfId="35190"/>
    <cellStyle name="Normal 2 8 2 3 6 2" xfId="35191"/>
    <cellStyle name="Normal 2 8 2 3 6 3" xfId="35192"/>
    <cellStyle name="Normal 2 8 2 3 6 4" xfId="35193"/>
    <cellStyle name="Normal 2 8 2 3 7" xfId="35194"/>
    <cellStyle name="Normal 2 8 2 3 7 2" xfId="35195"/>
    <cellStyle name="Normal 2 8 2 3 8" xfId="35196"/>
    <cellStyle name="Normal 2 8 2 3 9" xfId="35197"/>
    <cellStyle name="Normal 2 8 2 4" xfId="35198"/>
    <cellStyle name="Normal 2 8 2 4 10" xfId="35199"/>
    <cellStyle name="Normal 2 8 2 4 11" xfId="35200"/>
    <cellStyle name="Normal 2 8 2 4 2" xfId="35201"/>
    <cellStyle name="Normal 2 8 2 4 2 2" xfId="35202"/>
    <cellStyle name="Normal 2 8 2 4 2 2 2" xfId="35203"/>
    <cellStyle name="Normal 2 8 2 4 2 2 2 2" xfId="35204"/>
    <cellStyle name="Normal 2 8 2 4 2 2 2 3" xfId="35205"/>
    <cellStyle name="Normal 2 8 2 4 2 2 3" xfId="35206"/>
    <cellStyle name="Normal 2 8 2 4 2 2 4" xfId="35207"/>
    <cellStyle name="Normal 2 8 2 4 2 2 5" xfId="35208"/>
    <cellStyle name="Normal 2 8 2 4 2 2 6" xfId="35209"/>
    <cellStyle name="Normal 2 8 2 4 2 3" xfId="35210"/>
    <cellStyle name="Normal 2 8 2 4 2 3 2" xfId="35211"/>
    <cellStyle name="Normal 2 8 2 4 2 3 2 2" xfId="35212"/>
    <cellStyle name="Normal 2 8 2 4 2 3 3" xfId="35213"/>
    <cellStyle name="Normal 2 8 2 4 2 3 4" xfId="35214"/>
    <cellStyle name="Normal 2 8 2 4 2 3 5" xfId="35215"/>
    <cellStyle name="Normal 2 8 2 4 2 4" xfId="35216"/>
    <cellStyle name="Normal 2 8 2 4 2 4 2" xfId="35217"/>
    <cellStyle name="Normal 2 8 2 4 2 4 3" xfId="35218"/>
    <cellStyle name="Normal 2 8 2 4 2 4 4" xfId="35219"/>
    <cellStyle name="Normal 2 8 2 4 2 5" xfId="35220"/>
    <cellStyle name="Normal 2 8 2 4 2 5 2" xfId="35221"/>
    <cellStyle name="Normal 2 8 2 4 2 6" xfId="35222"/>
    <cellStyle name="Normal 2 8 2 4 2 7" xfId="35223"/>
    <cellStyle name="Normal 2 8 2 4 2 8" xfId="35224"/>
    <cellStyle name="Normal 2 8 2 4 2 9" xfId="35225"/>
    <cellStyle name="Normal 2 8 2 4 3" xfId="35226"/>
    <cellStyle name="Normal 2 8 2 4 3 2" xfId="35227"/>
    <cellStyle name="Normal 2 8 2 4 3 2 2" xfId="35228"/>
    <cellStyle name="Normal 2 8 2 4 3 2 2 2" xfId="35229"/>
    <cellStyle name="Normal 2 8 2 4 3 2 2 3" xfId="35230"/>
    <cellStyle name="Normal 2 8 2 4 3 2 3" xfId="35231"/>
    <cellStyle name="Normal 2 8 2 4 3 2 4" xfId="35232"/>
    <cellStyle name="Normal 2 8 2 4 3 2 5" xfId="35233"/>
    <cellStyle name="Normal 2 8 2 4 3 2 6" xfId="35234"/>
    <cellStyle name="Normal 2 8 2 4 3 3" xfId="35235"/>
    <cellStyle name="Normal 2 8 2 4 3 3 2" xfId="35236"/>
    <cellStyle name="Normal 2 8 2 4 3 3 2 2" xfId="35237"/>
    <cellStyle name="Normal 2 8 2 4 3 3 3" xfId="35238"/>
    <cellStyle name="Normal 2 8 2 4 3 3 4" xfId="35239"/>
    <cellStyle name="Normal 2 8 2 4 3 3 5" xfId="35240"/>
    <cellStyle name="Normal 2 8 2 4 3 4" xfId="35241"/>
    <cellStyle name="Normal 2 8 2 4 3 4 2" xfId="35242"/>
    <cellStyle name="Normal 2 8 2 4 3 4 3" xfId="35243"/>
    <cellStyle name="Normal 2 8 2 4 3 4 4" xfId="35244"/>
    <cellStyle name="Normal 2 8 2 4 3 5" xfId="35245"/>
    <cellStyle name="Normal 2 8 2 4 3 5 2" xfId="35246"/>
    <cellStyle name="Normal 2 8 2 4 3 6" xfId="35247"/>
    <cellStyle name="Normal 2 8 2 4 3 7" xfId="35248"/>
    <cellStyle name="Normal 2 8 2 4 3 8" xfId="35249"/>
    <cellStyle name="Normal 2 8 2 4 3 9" xfId="35250"/>
    <cellStyle name="Normal 2 8 2 4 4" xfId="35251"/>
    <cellStyle name="Normal 2 8 2 4 4 2" xfId="35252"/>
    <cellStyle name="Normal 2 8 2 4 4 2 2" xfId="35253"/>
    <cellStyle name="Normal 2 8 2 4 4 2 3" xfId="35254"/>
    <cellStyle name="Normal 2 8 2 4 4 3" xfId="35255"/>
    <cellStyle name="Normal 2 8 2 4 4 4" xfId="35256"/>
    <cellStyle name="Normal 2 8 2 4 4 5" xfId="35257"/>
    <cellStyle name="Normal 2 8 2 4 4 6" xfId="35258"/>
    <cellStyle name="Normal 2 8 2 4 5" xfId="35259"/>
    <cellStyle name="Normal 2 8 2 4 5 2" xfId="35260"/>
    <cellStyle name="Normal 2 8 2 4 5 2 2" xfId="35261"/>
    <cellStyle name="Normal 2 8 2 4 5 3" xfId="35262"/>
    <cellStyle name="Normal 2 8 2 4 5 4" xfId="35263"/>
    <cellStyle name="Normal 2 8 2 4 5 5" xfId="35264"/>
    <cellStyle name="Normal 2 8 2 4 6" xfId="35265"/>
    <cellStyle name="Normal 2 8 2 4 6 2" xfId="35266"/>
    <cellStyle name="Normal 2 8 2 4 6 3" xfId="35267"/>
    <cellStyle name="Normal 2 8 2 4 6 4" xfId="35268"/>
    <cellStyle name="Normal 2 8 2 4 7" xfId="35269"/>
    <cellStyle name="Normal 2 8 2 4 7 2" xfId="35270"/>
    <cellStyle name="Normal 2 8 2 4 8" xfId="35271"/>
    <cellStyle name="Normal 2 8 2 4 9" xfId="35272"/>
    <cellStyle name="Normal 2 8 2 5" xfId="35273"/>
    <cellStyle name="Normal 2 8 2 5 10" xfId="35274"/>
    <cellStyle name="Normal 2 8 2 5 11" xfId="35275"/>
    <cellStyle name="Normal 2 8 2 5 2" xfId="35276"/>
    <cellStyle name="Normal 2 8 2 5 2 2" xfId="35277"/>
    <cellStyle name="Normal 2 8 2 5 2 2 2" xfId="35278"/>
    <cellStyle name="Normal 2 8 2 5 2 2 2 2" xfId="35279"/>
    <cellStyle name="Normal 2 8 2 5 2 2 2 3" xfId="35280"/>
    <cellStyle name="Normal 2 8 2 5 2 2 3" xfId="35281"/>
    <cellStyle name="Normal 2 8 2 5 2 2 4" xfId="35282"/>
    <cellStyle name="Normal 2 8 2 5 2 2 5" xfId="35283"/>
    <cellStyle name="Normal 2 8 2 5 2 2 6" xfId="35284"/>
    <cellStyle name="Normal 2 8 2 5 2 3" xfId="35285"/>
    <cellStyle name="Normal 2 8 2 5 2 3 2" xfId="35286"/>
    <cellStyle name="Normal 2 8 2 5 2 3 2 2" xfId="35287"/>
    <cellStyle name="Normal 2 8 2 5 2 3 3" xfId="35288"/>
    <cellStyle name="Normal 2 8 2 5 2 3 4" xfId="35289"/>
    <cellStyle name="Normal 2 8 2 5 2 3 5" xfId="35290"/>
    <cellStyle name="Normal 2 8 2 5 2 4" xfId="35291"/>
    <cellStyle name="Normal 2 8 2 5 2 4 2" xfId="35292"/>
    <cellStyle name="Normal 2 8 2 5 2 4 3" xfId="35293"/>
    <cellStyle name="Normal 2 8 2 5 2 4 4" xfId="35294"/>
    <cellStyle name="Normal 2 8 2 5 2 5" xfId="35295"/>
    <cellStyle name="Normal 2 8 2 5 2 5 2" xfId="35296"/>
    <cellStyle name="Normal 2 8 2 5 2 6" xfId="35297"/>
    <cellStyle name="Normal 2 8 2 5 2 7" xfId="35298"/>
    <cellStyle name="Normal 2 8 2 5 2 8" xfId="35299"/>
    <cellStyle name="Normal 2 8 2 5 2 9" xfId="35300"/>
    <cellStyle name="Normal 2 8 2 5 3" xfId="35301"/>
    <cellStyle name="Normal 2 8 2 5 3 2" xfId="35302"/>
    <cellStyle name="Normal 2 8 2 5 3 2 2" xfId="35303"/>
    <cellStyle name="Normal 2 8 2 5 3 2 2 2" xfId="35304"/>
    <cellStyle name="Normal 2 8 2 5 3 2 2 3" xfId="35305"/>
    <cellStyle name="Normal 2 8 2 5 3 2 3" xfId="35306"/>
    <cellStyle name="Normal 2 8 2 5 3 2 4" xfId="35307"/>
    <cellStyle name="Normal 2 8 2 5 3 2 5" xfId="35308"/>
    <cellStyle name="Normal 2 8 2 5 3 2 6" xfId="35309"/>
    <cellStyle name="Normal 2 8 2 5 3 3" xfId="35310"/>
    <cellStyle name="Normal 2 8 2 5 3 3 2" xfId="35311"/>
    <cellStyle name="Normal 2 8 2 5 3 3 2 2" xfId="35312"/>
    <cellStyle name="Normal 2 8 2 5 3 3 3" xfId="35313"/>
    <cellStyle name="Normal 2 8 2 5 3 3 4" xfId="35314"/>
    <cellStyle name="Normal 2 8 2 5 3 3 5" xfId="35315"/>
    <cellStyle name="Normal 2 8 2 5 3 4" xfId="35316"/>
    <cellStyle name="Normal 2 8 2 5 3 4 2" xfId="35317"/>
    <cellStyle name="Normal 2 8 2 5 3 4 3" xfId="35318"/>
    <cellStyle name="Normal 2 8 2 5 3 4 4" xfId="35319"/>
    <cellStyle name="Normal 2 8 2 5 3 5" xfId="35320"/>
    <cellStyle name="Normal 2 8 2 5 3 5 2" xfId="35321"/>
    <cellStyle name="Normal 2 8 2 5 3 6" xfId="35322"/>
    <cellStyle name="Normal 2 8 2 5 3 7" xfId="35323"/>
    <cellStyle name="Normal 2 8 2 5 3 8" xfId="35324"/>
    <cellStyle name="Normal 2 8 2 5 3 9" xfId="35325"/>
    <cellStyle name="Normal 2 8 2 5 4" xfId="35326"/>
    <cellStyle name="Normal 2 8 2 5 4 2" xfId="35327"/>
    <cellStyle name="Normal 2 8 2 5 4 2 2" xfId="35328"/>
    <cellStyle name="Normal 2 8 2 5 4 2 3" xfId="35329"/>
    <cellStyle name="Normal 2 8 2 5 4 3" xfId="35330"/>
    <cellStyle name="Normal 2 8 2 5 4 4" xfId="35331"/>
    <cellStyle name="Normal 2 8 2 5 4 5" xfId="35332"/>
    <cellStyle name="Normal 2 8 2 5 4 6" xfId="35333"/>
    <cellStyle name="Normal 2 8 2 5 5" xfId="35334"/>
    <cellStyle name="Normal 2 8 2 5 5 2" xfId="35335"/>
    <cellStyle name="Normal 2 8 2 5 5 2 2" xfId="35336"/>
    <cellStyle name="Normal 2 8 2 5 5 3" xfId="35337"/>
    <cellStyle name="Normal 2 8 2 5 5 4" xfId="35338"/>
    <cellStyle name="Normal 2 8 2 5 5 5" xfId="35339"/>
    <cellStyle name="Normal 2 8 2 5 6" xfId="35340"/>
    <cellStyle name="Normal 2 8 2 5 6 2" xfId="35341"/>
    <cellStyle name="Normal 2 8 2 5 6 3" xfId="35342"/>
    <cellStyle name="Normal 2 8 2 5 6 4" xfId="35343"/>
    <cellStyle name="Normal 2 8 2 5 7" xfId="35344"/>
    <cellStyle name="Normal 2 8 2 5 7 2" xfId="35345"/>
    <cellStyle name="Normal 2 8 2 5 8" xfId="35346"/>
    <cellStyle name="Normal 2 8 2 5 9" xfId="35347"/>
    <cellStyle name="Normal 2 8 2 6" xfId="35348"/>
    <cellStyle name="Normal 2 8 2 6 10" xfId="35349"/>
    <cellStyle name="Normal 2 8 2 6 11" xfId="35350"/>
    <cellStyle name="Normal 2 8 2 6 2" xfId="35351"/>
    <cellStyle name="Normal 2 8 2 6 2 2" xfId="35352"/>
    <cellStyle name="Normal 2 8 2 6 2 2 2" xfId="35353"/>
    <cellStyle name="Normal 2 8 2 6 2 2 2 2" xfId="35354"/>
    <cellStyle name="Normal 2 8 2 6 2 2 2 3" xfId="35355"/>
    <cellStyle name="Normal 2 8 2 6 2 2 3" xfId="35356"/>
    <cellStyle name="Normal 2 8 2 6 2 2 4" xfId="35357"/>
    <cellStyle name="Normal 2 8 2 6 2 2 5" xfId="35358"/>
    <cellStyle name="Normal 2 8 2 6 2 2 6" xfId="35359"/>
    <cellStyle name="Normal 2 8 2 6 2 3" xfId="35360"/>
    <cellStyle name="Normal 2 8 2 6 2 3 2" xfId="35361"/>
    <cellStyle name="Normal 2 8 2 6 2 3 2 2" xfId="35362"/>
    <cellStyle name="Normal 2 8 2 6 2 3 3" xfId="35363"/>
    <cellStyle name="Normal 2 8 2 6 2 3 4" xfId="35364"/>
    <cellStyle name="Normal 2 8 2 6 2 3 5" xfId="35365"/>
    <cellStyle name="Normal 2 8 2 6 2 4" xfId="35366"/>
    <cellStyle name="Normal 2 8 2 6 2 4 2" xfId="35367"/>
    <cellStyle name="Normal 2 8 2 6 2 4 3" xfId="35368"/>
    <cellStyle name="Normal 2 8 2 6 2 4 4" xfId="35369"/>
    <cellStyle name="Normal 2 8 2 6 2 5" xfId="35370"/>
    <cellStyle name="Normal 2 8 2 6 2 5 2" xfId="35371"/>
    <cellStyle name="Normal 2 8 2 6 2 6" xfId="35372"/>
    <cellStyle name="Normal 2 8 2 6 2 7" xfId="35373"/>
    <cellStyle name="Normal 2 8 2 6 2 8" xfId="35374"/>
    <cellStyle name="Normal 2 8 2 6 2 9" xfId="35375"/>
    <cellStyle name="Normal 2 8 2 6 3" xfId="35376"/>
    <cellStyle name="Normal 2 8 2 6 3 2" xfId="35377"/>
    <cellStyle name="Normal 2 8 2 6 3 2 2" xfId="35378"/>
    <cellStyle name="Normal 2 8 2 6 3 2 2 2" xfId="35379"/>
    <cellStyle name="Normal 2 8 2 6 3 2 2 3" xfId="35380"/>
    <cellStyle name="Normal 2 8 2 6 3 2 3" xfId="35381"/>
    <cellStyle name="Normal 2 8 2 6 3 2 4" xfId="35382"/>
    <cellStyle name="Normal 2 8 2 6 3 2 5" xfId="35383"/>
    <cellStyle name="Normal 2 8 2 6 3 2 6" xfId="35384"/>
    <cellStyle name="Normal 2 8 2 6 3 3" xfId="35385"/>
    <cellStyle name="Normal 2 8 2 6 3 3 2" xfId="35386"/>
    <cellStyle name="Normal 2 8 2 6 3 3 2 2" xfId="35387"/>
    <cellStyle name="Normal 2 8 2 6 3 3 3" xfId="35388"/>
    <cellStyle name="Normal 2 8 2 6 3 3 4" xfId="35389"/>
    <cellStyle name="Normal 2 8 2 6 3 3 5" xfId="35390"/>
    <cellStyle name="Normal 2 8 2 6 3 4" xfId="35391"/>
    <cellStyle name="Normal 2 8 2 6 3 4 2" xfId="35392"/>
    <cellStyle name="Normal 2 8 2 6 3 4 3" xfId="35393"/>
    <cellStyle name="Normal 2 8 2 6 3 4 4" xfId="35394"/>
    <cellStyle name="Normal 2 8 2 6 3 5" xfId="35395"/>
    <cellStyle name="Normal 2 8 2 6 3 5 2" xfId="35396"/>
    <cellStyle name="Normal 2 8 2 6 3 6" xfId="35397"/>
    <cellStyle name="Normal 2 8 2 6 3 7" xfId="35398"/>
    <cellStyle name="Normal 2 8 2 6 3 8" xfId="35399"/>
    <cellStyle name="Normal 2 8 2 6 3 9" xfId="35400"/>
    <cellStyle name="Normal 2 8 2 6 4" xfId="35401"/>
    <cellStyle name="Normal 2 8 2 6 4 2" xfId="35402"/>
    <cellStyle name="Normal 2 8 2 6 4 2 2" xfId="35403"/>
    <cellStyle name="Normal 2 8 2 6 4 2 3" xfId="35404"/>
    <cellStyle name="Normal 2 8 2 6 4 3" xfId="35405"/>
    <cellStyle name="Normal 2 8 2 6 4 4" xfId="35406"/>
    <cellStyle name="Normal 2 8 2 6 4 5" xfId="35407"/>
    <cellStyle name="Normal 2 8 2 6 4 6" xfId="35408"/>
    <cellStyle name="Normal 2 8 2 6 5" xfId="35409"/>
    <cellStyle name="Normal 2 8 2 6 5 2" xfId="35410"/>
    <cellStyle name="Normal 2 8 2 6 5 2 2" xfId="35411"/>
    <cellStyle name="Normal 2 8 2 6 5 3" xfId="35412"/>
    <cellStyle name="Normal 2 8 2 6 5 4" xfId="35413"/>
    <cellStyle name="Normal 2 8 2 6 5 5" xfId="35414"/>
    <cellStyle name="Normal 2 8 2 6 6" xfId="35415"/>
    <cellStyle name="Normal 2 8 2 6 6 2" xfId="35416"/>
    <cellStyle name="Normal 2 8 2 6 6 3" xfId="35417"/>
    <cellStyle name="Normal 2 8 2 6 6 4" xfId="35418"/>
    <cellStyle name="Normal 2 8 2 6 7" xfId="35419"/>
    <cellStyle name="Normal 2 8 2 6 7 2" xfId="35420"/>
    <cellStyle name="Normal 2 8 2 6 8" xfId="35421"/>
    <cellStyle name="Normal 2 8 2 6 9" xfId="35422"/>
    <cellStyle name="Normal 2 8 2 7" xfId="35423"/>
    <cellStyle name="Normal 2 8 2 7 10" xfId="35424"/>
    <cellStyle name="Normal 2 8 2 7 11" xfId="35425"/>
    <cellStyle name="Normal 2 8 2 7 2" xfId="35426"/>
    <cellStyle name="Normal 2 8 2 7 2 2" xfId="35427"/>
    <cellStyle name="Normal 2 8 2 7 2 2 2" xfId="35428"/>
    <cellStyle name="Normal 2 8 2 7 2 2 2 2" xfId="35429"/>
    <cellStyle name="Normal 2 8 2 7 2 2 2 3" xfId="35430"/>
    <cellStyle name="Normal 2 8 2 7 2 2 3" xfId="35431"/>
    <cellStyle name="Normal 2 8 2 7 2 2 4" xfId="35432"/>
    <cellStyle name="Normal 2 8 2 7 2 2 5" xfId="35433"/>
    <cellStyle name="Normal 2 8 2 7 2 2 6" xfId="35434"/>
    <cellStyle name="Normal 2 8 2 7 2 3" xfId="35435"/>
    <cellStyle name="Normal 2 8 2 7 2 3 2" xfId="35436"/>
    <cellStyle name="Normal 2 8 2 7 2 3 2 2" xfId="35437"/>
    <cellStyle name="Normal 2 8 2 7 2 3 3" xfId="35438"/>
    <cellStyle name="Normal 2 8 2 7 2 3 4" xfId="35439"/>
    <cellStyle name="Normal 2 8 2 7 2 3 5" xfId="35440"/>
    <cellStyle name="Normal 2 8 2 7 2 4" xfId="35441"/>
    <cellStyle name="Normal 2 8 2 7 2 4 2" xfId="35442"/>
    <cellStyle name="Normal 2 8 2 7 2 4 3" xfId="35443"/>
    <cellStyle name="Normal 2 8 2 7 2 4 4" xfId="35444"/>
    <cellStyle name="Normal 2 8 2 7 2 5" xfId="35445"/>
    <cellStyle name="Normal 2 8 2 7 2 5 2" xfId="35446"/>
    <cellStyle name="Normal 2 8 2 7 2 6" xfId="35447"/>
    <cellStyle name="Normal 2 8 2 7 2 7" xfId="35448"/>
    <cellStyle name="Normal 2 8 2 7 2 8" xfId="35449"/>
    <cellStyle name="Normal 2 8 2 7 2 9" xfId="35450"/>
    <cellStyle name="Normal 2 8 2 7 3" xfId="35451"/>
    <cellStyle name="Normal 2 8 2 7 3 2" xfId="35452"/>
    <cellStyle name="Normal 2 8 2 7 3 2 2" xfId="35453"/>
    <cellStyle name="Normal 2 8 2 7 3 2 2 2" xfId="35454"/>
    <cellStyle name="Normal 2 8 2 7 3 2 2 3" xfId="35455"/>
    <cellStyle name="Normal 2 8 2 7 3 2 3" xfId="35456"/>
    <cellStyle name="Normal 2 8 2 7 3 2 4" xfId="35457"/>
    <cellStyle name="Normal 2 8 2 7 3 2 5" xfId="35458"/>
    <cellStyle name="Normal 2 8 2 7 3 2 6" xfId="35459"/>
    <cellStyle name="Normal 2 8 2 7 3 3" xfId="35460"/>
    <cellStyle name="Normal 2 8 2 7 3 3 2" xfId="35461"/>
    <cellStyle name="Normal 2 8 2 7 3 3 2 2" xfId="35462"/>
    <cellStyle name="Normal 2 8 2 7 3 3 3" xfId="35463"/>
    <cellStyle name="Normal 2 8 2 7 3 3 4" xfId="35464"/>
    <cellStyle name="Normal 2 8 2 7 3 3 5" xfId="35465"/>
    <cellStyle name="Normal 2 8 2 7 3 4" xfId="35466"/>
    <cellStyle name="Normal 2 8 2 7 3 4 2" xfId="35467"/>
    <cellStyle name="Normal 2 8 2 7 3 4 3" xfId="35468"/>
    <cellStyle name="Normal 2 8 2 7 3 4 4" xfId="35469"/>
    <cellStyle name="Normal 2 8 2 7 3 5" xfId="35470"/>
    <cellStyle name="Normal 2 8 2 7 3 5 2" xfId="35471"/>
    <cellStyle name="Normal 2 8 2 7 3 6" xfId="35472"/>
    <cellStyle name="Normal 2 8 2 7 3 7" xfId="35473"/>
    <cellStyle name="Normal 2 8 2 7 3 8" xfId="35474"/>
    <cellStyle name="Normal 2 8 2 7 3 9" xfId="35475"/>
    <cellStyle name="Normal 2 8 2 7 4" xfId="35476"/>
    <cellStyle name="Normal 2 8 2 7 4 2" xfId="35477"/>
    <cellStyle name="Normal 2 8 2 7 4 2 2" xfId="35478"/>
    <cellStyle name="Normal 2 8 2 7 4 2 3" xfId="35479"/>
    <cellStyle name="Normal 2 8 2 7 4 3" xfId="35480"/>
    <cellStyle name="Normal 2 8 2 7 4 4" xfId="35481"/>
    <cellStyle name="Normal 2 8 2 7 4 5" xfId="35482"/>
    <cellStyle name="Normal 2 8 2 7 4 6" xfId="35483"/>
    <cellStyle name="Normal 2 8 2 7 5" xfId="35484"/>
    <cellStyle name="Normal 2 8 2 7 5 2" xfId="35485"/>
    <cellStyle name="Normal 2 8 2 7 5 2 2" xfId="35486"/>
    <cellStyle name="Normal 2 8 2 7 5 3" xfId="35487"/>
    <cellStyle name="Normal 2 8 2 7 5 4" xfId="35488"/>
    <cellStyle name="Normal 2 8 2 7 5 5" xfId="35489"/>
    <cellStyle name="Normal 2 8 2 7 6" xfId="35490"/>
    <cellStyle name="Normal 2 8 2 7 6 2" xfId="35491"/>
    <cellStyle name="Normal 2 8 2 7 6 3" xfId="35492"/>
    <cellStyle name="Normal 2 8 2 7 6 4" xfId="35493"/>
    <cellStyle name="Normal 2 8 2 7 7" xfId="35494"/>
    <cellStyle name="Normal 2 8 2 7 7 2" xfId="35495"/>
    <cellStyle name="Normal 2 8 2 7 8" xfId="35496"/>
    <cellStyle name="Normal 2 8 2 7 9" xfId="35497"/>
    <cellStyle name="Normal 2 8 2 8" xfId="35498"/>
    <cellStyle name="Normal 2 8 2 8 10" xfId="35499"/>
    <cellStyle name="Normal 2 8 2 8 2" xfId="35500"/>
    <cellStyle name="Normal 2 8 2 8 2 2" xfId="35501"/>
    <cellStyle name="Normal 2 8 2 8 2 2 2" xfId="35502"/>
    <cellStyle name="Normal 2 8 2 8 2 2 3" xfId="35503"/>
    <cellStyle name="Normal 2 8 2 8 2 3" xfId="35504"/>
    <cellStyle name="Normal 2 8 2 8 2 4" xfId="35505"/>
    <cellStyle name="Normal 2 8 2 8 2 5" xfId="35506"/>
    <cellStyle name="Normal 2 8 2 8 2 6" xfId="35507"/>
    <cellStyle name="Normal 2 8 2 8 3" xfId="35508"/>
    <cellStyle name="Normal 2 8 2 8 3 2" xfId="35509"/>
    <cellStyle name="Normal 2 8 2 8 3 2 2" xfId="35510"/>
    <cellStyle name="Normal 2 8 2 8 3 2 3" xfId="35511"/>
    <cellStyle name="Normal 2 8 2 8 3 3" xfId="35512"/>
    <cellStyle name="Normal 2 8 2 8 3 4" xfId="35513"/>
    <cellStyle name="Normal 2 8 2 8 3 5" xfId="35514"/>
    <cellStyle name="Normal 2 8 2 8 3 6" xfId="35515"/>
    <cellStyle name="Normal 2 8 2 8 4" xfId="35516"/>
    <cellStyle name="Normal 2 8 2 8 4 2" xfId="35517"/>
    <cellStyle name="Normal 2 8 2 8 4 2 2" xfId="35518"/>
    <cellStyle name="Normal 2 8 2 8 4 3" xfId="35519"/>
    <cellStyle name="Normal 2 8 2 8 4 4" xfId="35520"/>
    <cellStyle name="Normal 2 8 2 8 4 5" xfId="35521"/>
    <cellStyle name="Normal 2 8 2 8 5" xfId="35522"/>
    <cellStyle name="Normal 2 8 2 8 5 2" xfId="35523"/>
    <cellStyle name="Normal 2 8 2 8 5 3" xfId="35524"/>
    <cellStyle name="Normal 2 8 2 8 5 4" xfId="35525"/>
    <cellStyle name="Normal 2 8 2 8 6" xfId="35526"/>
    <cellStyle name="Normal 2 8 2 8 6 2" xfId="35527"/>
    <cellStyle name="Normal 2 8 2 8 7" xfId="35528"/>
    <cellStyle name="Normal 2 8 2 8 8" xfId="35529"/>
    <cellStyle name="Normal 2 8 2 8 9" xfId="35530"/>
    <cellStyle name="Normal 2 8 2 9" xfId="35531"/>
    <cellStyle name="Normal 2 8 2 9 10" xfId="35532"/>
    <cellStyle name="Normal 2 8 2 9 2" xfId="35533"/>
    <cellStyle name="Normal 2 8 2 9 2 2" xfId="35534"/>
    <cellStyle name="Normal 2 8 2 9 2 2 2" xfId="35535"/>
    <cellStyle name="Normal 2 8 2 9 2 2 3" xfId="35536"/>
    <cellStyle name="Normal 2 8 2 9 2 3" xfId="35537"/>
    <cellStyle name="Normal 2 8 2 9 2 4" xfId="35538"/>
    <cellStyle name="Normal 2 8 2 9 2 5" xfId="35539"/>
    <cellStyle name="Normal 2 8 2 9 2 6" xfId="35540"/>
    <cellStyle name="Normal 2 8 2 9 3" xfId="35541"/>
    <cellStyle name="Normal 2 8 2 9 3 2" xfId="35542"/>
    <cellStyle name="Normal 2 8 2 9 3 2 2" xfId="35543"/>
    <cellStyle name="Normal 2 8 2 9 3 2 3" xfId="35544"/>
    <cellStyle name="Normal 2 8 2 9 3 3" xfId="35545"/>
    <cellStyle name="Normal 2 8 2 9 3 4" xfId="35546"/>
    <cellStyle name="Normal 2 8 2 9 3 5" xfId="35547"/>
    <cellStyle name="Normal 2 8 2 9 3 6" xfId="35548"/>
    <cellStyle name="Normal 2 8 2 9 4" xfId="35549"/>
    <cellStyle name="Normal 2 8 2 9 4 2" xfId="35550"/>
    <cellStyle name="Normal 2 8 2 9 4 2 2" xfId="35551"/>
    <cellStyle name="Normal 2 8 2 9 4 3" xfId="35552"/>
    <cellStyle name="Normal 2 8 2 9 4 4" xfId="35553"/>
    <cellStyle name="Normal 2 8 2 9 4 5" xfId="35554"/>
    <cellStyle name="Normal 2 8 2 9 5" xfId="35555"/>
    <cellStyle name="Normal 2 8 2 9 5 2" xfId="35556"/>
    <cellStyle name="Normal 2 8 2 9 5 3" xfId="35557"/>
    <cellStyle name="Normal 2 8 2 9 5 4" xfId="35558"/>
    <cellStyle name="Normal 2 8 2 9 6" xfId="35559"/>
    <cellStyle name="Normal 2 8 2 9 6 2" xfId="35560"/>
    <cellStyle name="Normal 2 8 2 9 7" xfId="35561"/>
    <cellStyle name="Normal 2 8 2 9 8" xfId="35562"/>
    <cellStyle name="Normal 2 8 2 9 9" xfId="35563"/>
    <cellStyle name="Normal 2 8 20" xfId="35564"/>
    <cellStyle name="Normal 2 8 20 10" xfId="35565"/>
    <cellStyle name="Normal 2 8 20 2" xfId="35566"/>
    <cellStyle name="Normal 2 8 20 2 2" xfId="35567"/>
    <cellStyle name="Normal 2 8 20 2 2 2" xfId="35568"/>
    <cellStyle name="Normal 2 8 20 2 2 3" xfId="35569"/>
    <cellStyle name="Normal 2 8 20 2 3" xfId="35570"/>
    <cellStyle name="Normal 2 8 20 2 4" xfId="35571"/>
    <cellStyle name="Normal 2 8 20 2 5" xfId="35572"/>
    <cellStyle name="Normal 2 8 20 2 6" xfId="35573"/>
    <cellStyle name="Normal 2 8 20 3" xfId="35574"/>
    <cellStyle name="Normal 2 8 20 3 2" xfId="35575"/>
    <cellStyle name="Normal 2 8 20 3 2 2" xfId="35576"/>
    <cellStyle name="Normal 2 8 20 3 2 3" xfId="35577"/>
    <cellStyle name="Normal 2 8 20 3 3" xfId="35578"/>
    <cellStyle name="Normal 2 8 20 3 4" xfId="35579"/>
    <cellStyle name="Normal 2 8 20 3 5" xfId="35580"/>
    <cellStyle name="Normal 2 8 20 3 6" xfId="35581"/>
    <cellStyle name="Normal 2 8 20 4" xfId="35582"/>
    <cellStyle name="Normal 2 8 20 4 2" xfId="35583"/>
    <cellStyle name="Normal 2 8 20 4 2 2" xfId="35584"/>
    <cellStyle name="Normal 2 8 20 4 3" xfId="35585"/>
    <cellStyle name="Normal 2 8 20 4 4" xfId="35586"/>
    <cellStyle name="Normal 2 8 20 4 5" xfId="35587"/>
    <cellStyle name="Normal 2 8 20 5" xfId="35588"/>
    <cellStyle name="Normal 2 8 20 5 2" xfId="35589"/>
    <cellStyle name="Normal 2 8 20 5 3" xfId="35590"/>
    <cellStyle name="Normal 2 8 20 5 4" xfId="35591"/>
    <cellStyle name="Normal 2 8 20 6" xfId="35592"/>
    <cellStyle name="Normal 2 8 20 6 2" xfId="35593"/>
    <cellStyle name="Normal 2 8 20 7" xfId="35594"/>
    <cellStyle name="Normal 2 8 20 8" xfId="35595"/>
    <cellStyle name="Normal 2 8 20 9" xfId="35596"/>
    <cellStyle name="Normal 2 8 21" xfId="35597"/>
    <cellStyle name="Normal 2 8 21 10" xfId="35598"/>
    <cellStyle name="Normal 2 8 21 2" xfId="35599"/>
    <cellStyle name="Normal 2 8 21 2 2" xfId="35600"/>
    <cellStyle name="Normal 2 8 21 2 2 2" xfId="35601"/>
    <cellStyle name="Normal 2 8 21 2 2 3" xfId="35602"/>
    <cellStyle name="Normal 2 8 21 2 3" xfId="35603"/>
    <cellStyle name="Normal 2 8 21 2 4" xfId="35604"/>
    <cellStyle name="Normal 2 8 21 2 5" xfId="35605"/>
    <cellStyle name="Normal 2 8 21 2 6" xfId="35606"/>
    <cellStyle name="Normal 2 8 21 3" xfId="35607"/>
    <cellStyle name="Normal 2 8 21 3 2" xfId="35608"/>
    <cellStyle name="Normal 2 8 21 3 2 2" xfId="35609"/>
    <cellStyle name="Normal 2 8 21 3 2 3" xfId="35610"/>
    <cellStyle name="Normal 2 8 21 3 3" xfId="35611"/>
    <cellStyle name="Normal 2 8 21 3 4" xfId="35612"/>
    <cellStyle name="Normal 2 8 21 3 5" xfId="35613"/>
    <cellStyle name="Normal 2 8 21 3 6" xfId="35614"/>
    <cellStyle name="Normal 2 8 21 4" xfId="35615"/>
    <cellStyle name="Normal 2 8 21 4 2" xfId="35616"/>
    <cellStyle name="Normal 2 8 21 4 2 2" xfId="35617"/>
    <cellStyle name="Normal 2 8 21 4 3" xfId="35618"/>
    <cellStyle name="Normal 2 8 21 4 4" xfId="35619"/>
    <cellStyle name="Normal 2 8 21 4 5" xfId="35620"/>
    <cellStyle name="Normal 2 8 21 5" xfId="35621"/>
    <cellStyle name="Normal 2 8 21 5 2" xfId="35622"/>
    <cellStyle name="Normal 2 8 21 5 3" xfId="35623"/>
    <cellStyle name="Normal 2 8 21 5 4" xfId="35624"/>
    <cellStyle name="Normal 2 8 21 6" xfId="35625"/>
    <cellStyle name="Normal 2 8 21 6 2" xfId="35626"/>
    <cellStyle name="Normal 2 8 21 7" xfId="35627"/>
    <cellStyle name="Normal 2 8 21 8" xfId="35628"/>
    <cellStyle name="Normal 2 8 21 9" xfId="35629"/>
    <cellStyle name="Normal 2 8 22" xfId="35630"/>
    <cellStyle name="Normal 2 8 22 10" xfId="35631"/>
    <cellStyle name="Normal 2 8 22 2" xfId="35632"/>
    <cellStyle name="Normal 2 8 22 2 2" xfId="35633"/>
    <cellStyle name="Normal 2 8 22 2 2 2" xfId="35634"/>
    <cellStyle name="Normal 2 8 22 2 2 3" xfId="35635"/>
    <cellStyle name="Normal 2 8 22 2 3" xfId="35636"/>
    <cellStyle name="Normal 2 8 22 2 4" xfId="35637"/>
    <cellStyle name="Normal 2 8 22 2 5" xfId="35638"/>
    <cellStyle name="Normal 2 8 22 2 6" xfId="35639"/>
    <cellStyle name="Normal 2 8 22 3" xfId="35640"/>
    <cellStyle name="Normal 2 8 22 3 2" xfId="35641"/>
    <cellStyle name="Normal 2 8 22 3 2 2" xfId="35642"/>
    <cellStyle name="Normal 2 8 22 3 2 3" xfId="35643"/>
    <cellStyle name="Normal 2 8 22 3 3" xfId="35644"/>
    <cellStyle name="Normal 2 8 22 3 4" xfId="35645"/>
    <cellStyle name="Normal 2 8 22 3 5" xfId="35646"/>
    <cellStyle name="Normal 2 8 22 3 6" xfId="35647"/>
    <cellStyle name="Normal 2 8 22 4" xfId="35648"/>
    <cellStyle name="Normal 2 8 22 4 2" xfId="35649"/>
    <cellStyle name="Normal 2 8 22 4 2 2" xfId="35650"/>
    <cellStyle name="Normal 2 8 22 4 3" xfId="35651"/>
    <cellStyle name="Normal 2 8 22 4 4" xfId="35652"/>
    <cellStyle name="Normal 2 8 22 4 5" xfId="35653"/>
    <cellStyle name="Normal 2 8 22 5" xfId="35654"/>
    <cellStyle name="Normal 2 8 22 5 2" xfId="35655"/>
    <cellStyle name="Normal 2 8 22 5 3" xfId="35656"/>
    <cellStyle name="Normal 2 8 22 5 4" xfId="35657"/>
    <cellStyle name="Normal 2 8 22 6" xfId="35658"/>
    <cellStyle name="Normal 2 8 22 6 2" xfId="35659"/>
    <cellStyle name="Normal 2 8 22 7" xfId="35660"/>
    <cellStyle name="Normal 2 8 22 8" xfId="35661"/>
    <cellStyle name="Normal 2 8 22 9" xfId="35662"/>
    <cellStyle name="Normal 2 8 23" xfId="35663"/>
    <cellStyle name="Normal 2 8 23 10" xfId="35664"/>
    <cellStyle name="Normal 2 8 23 2" xfId="35665"/>
    <cellStyle name="Normal 2 8 23 2 2" xfId="35666"/>
    <cellStyle name="Normal 2 8 23 2 2 2" xfId="35667"/>
    <cellStyle name="Normal 2 8 23 2 2 3" xfId="35668"/>
    <cellStyle name="Normal 2 8 23 2 3" xfId="35669"/>
    <cellStyle name="Normal 2 8 23 2 4" xfId="35670"/>
    <cellStyle name="Normal 2 8 23 2 5" xfId="35671"/>
    <cellStyle name="Normal 2 8 23 2 6" xfId="35672"/>
    <cellStyle name="Normal 2 8 23 3" xfId="35673"/>
    <cellStyle name="Normal 2 8 23 3 2" xfId="35674"/>
    <cellStyle name="Normal 2 8 23 3 2 2" xfId="35675"/>
    <cellStyle name="Normal 2 8 23 3 2 3" xfId="35676"/>
    <cellStyle name="Normal 2 8 23 3 3" xfId="35677"/>
    <cellStyle name="Normal 2 8 23 3 4" xfId="35678"/>
    <cellStyle name="Normal 2 8 23 3 5" xfId="35679"/>
    <cellStyle name="Normal 2 8 23 3 6" xfId="35680"/>
    <cellStyle name="Normal 2 8 23 4" xfId="35681"/>
    <cellStyle name="Normal 2 8 23 4 2" xfId="35682"/>
    <cellStyle name="Normal 2 8 23 4 2 2" xfId="35683"/>
    <cellStyle name="Normal 2 8 23 4 3" xfId="35684"/>
    <cellStyle name="Normal 2 8 23 4 4" xfId="35685"/>
    <cellStyle name="Normal 2 8 23 4 5" xfId="35686"/>
    <cellStyle name="Normal 2 8 23 5" xfId="35687"/>
    <cellStyle name="Normal 2 8 23 5 2" xfId="35688"/>
    <cellStyle name="Normal 2 8 23 5 3" xfId="35689"/>
    <cellStyle name="Normal 2 8 23 5 4" xfId="35690"/>
    <cellStyle name="Normal 2 8 23 6" xfId="35691"/>
    <cellStyle name="Normal 2 8 23 6 2" xfId="35692"/>
    <cellStyle name="Normal 2 8 23 7" xfId="35693"/>
    <cellStyle name="Normal 2 8 23 8" xfId="35694"/>
    <cellStyle name="Normal 2 8 23 9" xfId="35695"/>
    <cellStyle name="Normal 2 8 24" xfId="35696"/>
    <cellStyle name="Normal 2 8 24 10" xfId="35697"/>
    <cellStyle name="Normal 2 8 24 2" xfId="35698"/>
    <cellStyle name="Normal 2 8 24 2 2" xfId="35699"/>
    <cellStyle name="Normal 2 8 24 2 2 2" xfId="35700"/>
    <cellStyle name="Normal 2 8 24 2 2 3" xfId="35701"/>
    <cellStyle name="Normal 2 8 24 2 3" xfId="35702"/>
    <cellStyle name="Normal 2 8 24 2 4" xfId="35703"/>
    <cellStyle name="Normal 2 8 24 2 5" xfId="35704"/>
    <cellStyle name="Normal 2 8 24 2 6" xfId="35705"/>
    <cellStyle name="Normal 2 8 24 3" xfId="35706"/>
    <cellStyle name="Normal 2 8 24 3 2" xfId="35707"/>
    <cellStyle name="Normal 2 8 24 3 2 2" xfId="35708"/>
    <cellStyle name="Normal 2 8 24 3 2 3" xfId="35709"/>
    <cellStyle name="Normal 2 8 24 3 3" xfId="35710"/>
    <cellStyle name="Normal 2 8 24 3 4" xfId="35711"/>
    <cellStyle name="Normal 2 8 24 3 5" xfId="35712"/>
    <cellStyle name="Normal 2 8 24 3 6" xfId="35713"/>
    <cellStyle name="Normal 2 8 24 4" xfId="35714"/>
    <cellStyle name="Normal 2 8 24 4 2" xfId="35715"/>
    <cellStyle name="Normal 2 8 24 4 2 2" xfId="35716"/>
    <cellStyle name="Normal 2 8 24 4 3" xfId="35717"/>
    <cellStyle name="Normal 2 8 24 4 4" xfId="35718"/>
    <cellStyle name="Normal 2 8 24 4 5" xfId="35719"/>
    <cellStyle name="Normal 2 8 24 5" xfId="35720"/>
    <cellStyle name="Normal 2 8 24 5 2" xfId="35721"/>
    <cellStyle name="Normal 2 8 24 5 3" xfId="35722"/>
    <cellStyle name="Normal 2 8 24 5 4" xfId="35723"/>
    <cellStyle name="Normal 2 8 24 6" xfId="35724"/>
    <cellStyle name="Normal 2 8 24 6 2" xfId="35725"/>
    <cellStyle name="Normal 2 8 24 7" xfId="35726"/>
    <cellStyle name="Normal 2 8 24 8" xfId="35727"/>
    <cellStyle name="Normal 2 8 24 9" xfId="35728"/>
    <cellStyle name="Normal 2 8 25" xfId="35729"/>
    <cellStyle name="Normal 2 8 25 10" xfId="35730"/>
    <cellStyle name="Normal 2 8 25 2" xfId="35731"/>
    <cellStyle name="Normal 2 8 25 2 2" xfId="35732"/>
    <cellStyle name="Normal 2 8 25 2 2 2" xfId="35733"/>
    <cellStyle name="Normal 2 8 25 2 2 3" xfId="35734"/>
    <cellStyle name="Normal 2 8 25 2 3" xfId="35735"/>
    <cellStyle name="Normal 2 8 25 2 4" xfId="35736"/>
    <cellStyle name="Normal 2 8 25 2 5" xfId="35737"/>
    <cellStyle name="Normal 2 8 25 2 6" xfId="35738"/>
    <cellStyle name="Normal 2 8 25 3" xfId="35739"/>
    <cellStyle name="Normal 2 8 25 3 2" xfId="35740"/>
    <cellStyle name="Normal 2 8 25 3 2 2" xfId="35741"/>
    <cellStyle name="Normal 2 8 25 3 2 3" xfId="35742"/>
    <cellStyle name="Normal 2 8 25 3 3" xfId="35743"/>
    <cellStyle name="Normal 2 8 25 3 4" xfId="35744"/>
    <cellStyle name="Normal 2 8 25 3 5" xfId="35745"/>
    <cellStyle name="Normal 2 8 25 3 6" xfId="35746"/>
    <cellStyle name="Normal 2 8 25 4" xfId="35747"/>
    <cellStyle name="Normal 2 8 25 4 2" xfId="35748"/>
    <cellStyle name="Normal 2 8 25 4 2 2" xfId="35749"/>
    <cellStyle name="Normal 2 8 25 4 3" xfId="35750"/>
    <cellStyle name="Normal 2 8 25 4 4" xfId="35751"/>
    <cellStyle name="Normal 2 8 25 4 5" xfId="35752"/>
    <cellStyle name="Normal 2 8 25 5" xfId="35753"/>
    <cellStyle name="Normal 2 8 25 5 2" xfId="35754"/>
    <cellStyle name="Normal 2 8 25 5 3" xfId="35755"/>
    <cellStyle name="Normal 2 8 25 5 4" xfId="35756"/>
    <cellStyle name="Normal 2 8 25 6" xfId="35757"/>
    <cellStyle name="Normal 2 8 25 6 2" xfId="35758"/>
    <cellStyle name="Normal 2 8 25 7" xfId="35759"/>
    <cellStyle name="Normal 2 8 25 8" xfId="35760"/>
    <cellStyle name="Normal 2 8 25 9" xfId="35761"/>
    <cellStyle name="Normal 2 8 26" xfId="35762"/>
    <cellStyle name="Normal 2 8 26 10" xfId="35763"/>
    <cellStyle name="Normal 2 8 26 2" xfId="35764"/>
    <cellStyle name="Normal 2 8 26 2 2" xfId="35765"/>
    <cellStyle name="Normal 2 8 26 2 2 2" xfId="35766"/>
    <cellStyle name="Normal 2 8 26 2 2 3" xfId="35767"/>
    <cellStyle name="Normal 2 8 26 2 3" xfId="35768"/>
    <cellStyle name="Normal 2 8 26 2 4" xfId="35769"/>
    <cellStyle name="Normal 2 8 26 2 5" xfId="35770"/>
    <cellStyle name="Normal 2 8 26 2 6" xfId="35771"/>
    <cellStyle name="Normal 2 8 26 3" xfId="35772"/>
    <cellStyle name="Normal 2 8 26 3 2" xfId="35773"/>
    <cellStyle name="Normal 2 8 26 3 2 2" xfId="35774"/>
    <cellStyle name="Normal 2 8 26 3 2 3" xfId="35775"/>
    <cellStyle name="Normal 2 8 26 3 3" xfId="35776"/>
    <cellStyle name="Normal 2 8 26 3 4" xfId="35777"/>
    <cellStyle name="Normal 2 8 26 3 5" xfId="35778"/>
    <cellStyle name="Normal 2 8 26 3 6" xfId="35779"/>
    <cellStyle name="Normal 2 8 26 4" xfId="35780"/>
    <cellStyle name="Normal 2 8 26 4 2" xfId="35781"/>
    <cellStyle name="Normal 2 8 26 4 2 2" xfId="35782"/>
    <cellStyle name="Normal 2 8 26 4 3" xfId="35783"/>
    <cellStyle name="Normal 2 8 26 4 4" xfId="35784"/>
    <cellStyle name="Normal 2 8 26 4 5" xfId="35785"/>
    <cellStyle name="Normal 2 8 26 5" xfId="35786"/>
    <cellStyle name="Normal 2 8 26 5 2" xfId="35787"/>
    <cellStyle name="Normal 2 8 26 5 3" xfId="35788"/>
    <cellStyle name="Normal 2 8 26 5 4" xfId="35789"/>
    <cellStyle name="Normal 2 8 26 6" xfId="35790"/>
    <cellStyle name="Normal 2 8 26 6 2" xfId="35791"/>
    <cellStyle name="Normal 2 8 26 7" xfId="35792"/>
    <cellStyle name="Normal 2 8 26 8" xfId="35793"/>
    <cellStyle name="Normal 2 8 26 9" xfId="35794"/>
    <cellStyle name="Normal 2 8 27" xfId="35795"/>
    <cellStyle name="Normal 2 8 27 10" xfId="35796"/>
    <cellStyle name="Normal 2 8 27 2" xfId="35797"/>
    <cellStyle name="Normal 2 8 27 2 2" xfId="35798"/>
    <cellStyle name="Normal 2 8 27 2 2 2" xfId="35799"/>
    <cellStyle name="Normal 2 8 27 2 2 3" xfId="35800"/>
    <cellStyle name="Normal 2 8 27 2 3" xfId="35801"/>
    <cellStyle name="Normal 2 8 27 2 4" xfId="35802"/>
    <cellStyle name="Normal 2 8 27 2 5" xfId="35803"/>
    <cellStyle name="Normal 2 8 27 2 6" xfId="35804"/>
    <cellStyle name="Normal 2 8 27 3" xfId="35805"/>
    <cellStyle name="Normal 2 8 27 3 2" xfId="35806"/>
    <cellStyle name="Normal 2 8 27 3 2 2" xfId="35807"/>
    <cellStyle name="Normal 2 8 27 3 2 3" xfId="35808"/>
    <cellStyle name="Normal 2 8 27 3 3" xfId="35809"/>
    <cellStyle name="Normal 2 8 27 3 4" xfId="35810"/>
    <cellStyle name="Normal 2 8 27 3 5" xfId="35811"/>
    <cellStyle name="Normal 2 8 27 3 6" xfId="35812"/>
    <cellStyle name="Normal 2 8 27 4" xfId="35813"/>
    <cellStyle name="Normal 2 8 27 4 2" xfId="35814"/>
    <cellStyle name="Normal 2 8 27 4 2 2" xfId="35815"/>
    <cellStyle name="Normal 2 8 27 4 3" xfId="35816"/>
    <cellStyle name="Normal 2 8 27 4 4" xfId="35817"/>
    <cellStyle name="Normal 2 8 27 4 5" xfId="35818"/>
    <cellStyle name="Normal 2 8 27 5" xfId="35819"/>
    <cellStyle name="Normal 2 8 27 5 2" xfId="35820"/>
    <cellStyle name="Normal 2 8 27 5 3" xfId="35821"/>
    <cellStyle name="Normal 2 8 27 5 4" xfId="35822"/>
    <cellStyle name="Normal 2 8 27 6" xfId="35823"/>
    <cellStyle name="Normal 2 8 27 6 2" xfId="35824"/>
    <cellStyle name="Normal 2 8 27 7" xfId="35825"/>
    <cellStyle name="Normal 2 8 27 8" xfId="35826"/>
    <cellStyle name="Normal 2 8 27 9" xfId="35827"/>
    <cellStyle name="Normal 2 8 28" xfId="35828"/>
    <cellStyle name="Normal 2 8 28 10" xfId="35829"/>
    <cellStyle name="Normal 2 8 28 2" xfId="35830"/>
    <cellStyle name="Normal 2 8 28 2 2" xfId="35831"/>
    <cellStyle name="Normal 2 8 28 2 2 2" xfId="35832"/>
    <cellStyle name="Normal 2 8 28 2 2 3" xfId="35833"/>
    <cellStyle name="Normal 2 8 28 2 3" xfId="35834"/>
    <cellStyle name="Normal 2 8 28 2 4" xfId="35835"/>
    <cellStyle name="Normal 2 8 28 2 5" xfId="35836"/>
    <cellStyle name="Normal 2 8 28 2 6" xfId="35837"/>
    <cellStyle name="Normal 2 8 28 3" xfId="35838"/>
    <cellStyle name="Normal 2 8 28 3 2" xfId="35839"/>
    <cellStyle name="Normal 2 8 28 3 2 2" xfId="35840"/>
    <cellStyle name="Normal 2 8 28 3 2 3" xfId="35841"/>
    <cellStyle name="Normal 2 8 28 3 3" xfId="35842"/>
    <cellStyle name="Normal 2 8 28 3 4" xfId="35843"/>
    <cellStyle name="Normal 2 8 28 3 5" xfId="35844"/>
    <cellStyle name="Normal 2 8 28 3 6" xfId="35845"/>
    <cellStyle name="Normal 2 8 28 4" xfId="35846"/>
    <cellStyle name="Normal 2 8 28 4 2" xfId="35847"/>
    <cellStyle name="Normal 2 8 28 4 2 2" xfId="35848"/>
    <cellStyle name="Normal 2 8 28 4 3" xfId="35849"/>
    <cellStyle name="Normal 2 8 28 4 4" xfId="35850"/>
    <cellStyle name="Normal 2 8 28 4 5" xfId="35851"/>
    <cellStyle name="Normal 2 8 28 5" xfId="35852"/>
    <cellStyle name="Normal 2 8 28 5 2" xfId="35853"/>
    <cellStyle name="Normal 2 8 28 5 3" xfId="35854"/>
    <cellStyle name="Normal 2 8 28 5 4" xfId="35855"/>
    <cellStyle name="Normal 2 8 28 6" xfId="35856"/>
    <cellStyle name="Normal 2 8 28 6 2" xfId="35857"/>
    <cellStyle name="Normal 2 8 28 7" xfId="35858"/>
    <cellStyle name="Normal 2 8 28 8" xfId="35859"/>
    <cellStyle name="Normal 2 8 28 9" xfId="35860"/>
    <cellStyle name="Normal 2 8 29" xfId="35861"/>
    <cellStyle name="Normal 2 8 29 10" xfId="35862"/>
    <cellStyle name="Normal 2 8 29 2" xfId="35863"/>
    <cellStyle name="Normal 2 8 29 2 2" xfId="35864"/>
    <cellStyle name="Normal 2 8 29 2 2 2" xfId="35865"/>
    <cellStyle name="Normal 2 8 29 2 2 3" xfId="35866"/>
    <cellStyle name="Normal 2 8 29 2 3" xfId="35867"/>
    <cellStyle name="Normal 2 8 29 2 4" xfId="35868"/>
    <cellStyle name="Normal 2 8 29 2 5" xfId="35869"/>
    <cellStyle name="Normal 2 8 29 2 6" xfId="35870"/>
    <cellStyle name="Normal 2 8 29 3" xfId="35871"/>
    <cellStyle name="Normal 2 8 29 3 2" xfId="35872"/>
    <cellStyle name="Normal 2 8 29 3 2 2" xfId="35873"/>
    <cellStyle name="Normal 2 8 29 3 2 3" xfId="35874"/>
    <cellStyle name="Normal 2 8 29 3 3" xfId="35875"/>
    <cellStyle name="Normal 2 8 29 3 4" xfId="35876"/>
    <cellStyle name="Normal 2 8 29 3 5" xfId="35877"/>
    <cellStyle name="Normal 2 8 29 3 6" xfId="35878"/>
    <cellStyle name="Normal 2 8 29 4" xfId="35879"/>
    <cellStyle name="Normal 2 8 29 4 2" xfId="35880"/>
    <cellStyle name="Normal 2 8 29 4 2 2" xfId="35881"/>
    <cellStyle name="Normal 2 8 29 4 3" xfId="35882"/>
    <cellStyle name="Normal 2 8 29 4 4" xfId="35883"/>
    <cellStyle name="Normal 2 8 29 4 5" xfId="35884"/>
    <cellStyle name="Normal 2 8 29 5" xfId="35885"/>
    <cellStyle name="Normal 2 8 29 5 2" xfId="35886"/>
    <cellStyle name="Normal 2 8 29 5 3" xfId="35887"/>
    <cellStyle name="Normal 2 8 29 5 4" xfId="35888"/>
    <cellStyle name="Normal 2 8 29 6" xfId="35889"/>
    <cellStyle name="Normal 2 8 29 6 2" xfId="35890"/>
    <cellStyle name="Normal 2 8 29 7" xfId="35891"/>
    <cellStyle name="Normal 2 8 29 8" xfId="35892"/>
    <cellStyle name="Normal 2 8 29 9" xfId="35893"/>
    <cellStyle name="Normal 2 8 3" xfId="35894"/>
    <cellStyle name="Normal 2 8 3 10" xfId="35895"/>
    <cellStyle name="Normal 2 8 3 10 10" xfId="35896"/>
    <cellStyle name="Normal 2 8 3 10 2" xfId="35897"/>
    <cellStyle name="Normal 2 8 3 10 2 2" xfId="35898"/>
    <cellStyle name="Normal 2 8 3 10 2 2 2" xfId="35899"/>
    <cellStyle name="Normal 2 8 3 10 2 2 3" xfId="35900"/>
    <cellStyle name="Normal 2 8 3 10 2 3" xfId="35901"/>
    <cellStyle name="Normal 2 8 3 10 2 4" xfId="35902"/>
    <cellStyle name="Normal 2 8 3 10 2 5" xfId="35903"/>
    <cellStyle name="Normal 2 8 3 10 2 6" xfId="35904"/>
    <cellStyle name="Normal 2 8 3 10 3" xfId="35905"/>
    <cellStyle name="Normal 2 8 3 10 3 2" xfId="35906"/>
    <cellStyle name="Normal 2 8 3 10 3 2 2" xfId="35907"/>
    <cellStyle name="Normal 2 8 3 10 3 2 3" xfId="35908"/>
    <cellStyle name="Normal 2 8 3 10 3 3" xfId="35909"/>
    <cellStyle name="Normal 2 8 3 10 3 4" xfId="35910"/>
    <cellStyle name="Normal 2 8 3 10 3 5" xfId="35911"/>
    <cellStyle name="Normal 2 8 3 10 3 6" xfId="35912"/>
    <cellStyle name="Normal 2 8 3 10 4" xfId="35913"/>
    <cellStyle name="Normal 2 8 3 10 4 2" xfId="35914"/>
    <cellStyle name="Normal 2 8 3 10 4 2 2" xfId="35915"/>
    <cellStyle name="Normal 2 8 3 10 4 3" xfId="35916"/>
    <cellStyle name="Normal 2 8 3 10 4 4" xfId="35917"/>
    <cellStyle name="Normal 2 8 3 10 4 5" xfId="35918"/>
    <cellStyle name="Normal 2 8 3 10 5" xfId="35919"/>
    <cellStyle name="Normal 2 8 3 10 5 2" xfId="35920"/>
    <cellStyle name="Normal 2 8 3 10 5 3" xfId="35921"/>
    <cellStyle name="Normal 2 8 3 10 5 4" xfId="35922"/>
    <cellStyle name="Normal 2 8 3 10 6" xfId="35923"/>
    <cellStyle name="Normal 2 8 3 10 6 2" xfId="35924"/>
    <cellStyle name="Normal 2 8 3 10 7" xfId="35925"/>
    <cellStyle name="Normal 2 8 3 10 8" xfId="35926"/>
    <cellStyle name="Normal 2 8 3 10 9" xfId="35927"/>
    <cellStyle name="Normal 2 8 3 11" xfId="35928"/>
    <cellStyle name="Normal 2 8 3 11 10" xfId="35929"/>
    <cellStyle name="Normal 2 8 3 11 2" xfId="35930"/>
    <cellStyle name="Normal 2 8 3 11 2 2" xfId="35931"/>
    <cellStyle name="Normal 2 8 3 11 2 2 2" xfId="35932"/>
    <cellStyle name="Normal 2 8 3 11 2 2 3" xfId="35933"/>
    <cellStyle name="Normal 2 8 3 11 2 3" xfId="35934"/>
    <cellStyle name="Normal 2 8 3 11 2 4" xfId="35935"/>
    <cellStyle name="Normal 2 8 3 11 2 5" xfId="35936"/>
    <cellStyle name="Normal 2 8 3 11 2 6" xfId="35937"/>
    <cellStyle name="Normal 2 8 3 11 3" xfId="35938"/>
    <cellStyle name="Normal 2 8 3 11 3 2" xfId="35939"/>
    <cellStyle name="Normal 2 8 3 11 3 2 2" xfId="35940"/>
    <cellStyle name="Normal 2 8 3 11 3 2 3" xfId="35941"/>
    <cellStyle name="Normal 2 8 3 11 3 3" xfId="35942"/>
    <cellStyle name="Normal 2 8 3 11 3 4" xfId="35943"/>
    <cellStyle name="Normal 2 8 3 11 3 5" xfId="35944"/>
    <cellStyle name="Normal 2 8 3 11 3 6" xfId="35945"/>
    <cellStyle name="Normal 2 8 3 11 4" xfId="35946"/>
    <cellStyle name="Normal 2 8 3 11 4 2" xfId="35947"/>
    <cellStyle name="Normal 2 8 3 11 4 2 2" xfId="35948"/>
    <cellStyle name="Normal 2 8 3 11 4 3" xfId="35949"/>
    <cellStyle name="Normal 2 8 3 11 4 4" xfId="35950"/>
    <cellStyle name="Normal 2 8 3 11 4 5" xfId="35951"/>
    <cellStyle name="Normal 2 8 3 11 5" xfId="35952"/>
    <cellStyle name="Normal 2 8 3 11 5 2" xfId="35953"/>
    <cellStyle name="Normal 2 8 3 11 5 3" xfId="35954"/>
    <cellStyle name="Normal 2 8 3 11 5 4" xfId="35955"/>
    <cellStyle name="Normal 2 8 3 11 6" xfId="35956"/>
    <cellStyle name="Normal 2 8 3 11 6 2" xfId="35957"/>
    <cellStyle name="Normal 2 8 3 11 7" xfId="35958"/>
    <cellStyle name="Normal 2 8 3 11 8" xfId="35959"/>
    <cellStyle name="Normal 2 8 3 11 9" xfId="35960"/>
    <cellStyle name="Normal 2 8 3 12" xfId="35961"/>
    <cellStyle name="Normal 2 8 3 12 10" xfId="35962"/>
    <cellStyle name="Normal 2 8 3 12 2" xfId="35963"/>
    <cellStyle name="Normal 2 8 3 12 2 2" xfId="35964"/>
    <cellStyle name="Normal 2 8 3 12 2 2 2" xfId="35965"/>
    <cellStyle name="Normal 2 8 3 12 2 2 3" xfId="35966"/>
    <cellStyle name="Normal 2 8 3 12 2 3" xfId="35967"/>
    <cellStyle name="Normal 2 8 3 12 2 4" xfId="35968"/>
    <cellStyle name="Normal 2 8 3 12 2 5" xfId="35969"/>
    <cellStyle name="Normal 2 8 3 12 2 6" xfId="35970"/>
    <cellStyle name="Normal 2 8 3 12 3" xfId="35971"/>
    <cellStyle name="Normal 2 8 3 12 3 2" xfId="35972"/>
    <cellStyle name="Normal 2 8 3 12 3 2 2" xfId="35973"/>
    <cellStyle name="Normal 2 8 3 12 3 2 3" xfId="35974"/>
    <cellStyle name="Normal 2 8 3 12 3 3" xfId="35975"/>
    <cellStyle name="Normal 2 8 3 12 3 4" xfId="35976"/>
    <cellStyle name="Normal 2 8 3 12 3 5" xfId="35977"/>
    <cellStyle name="Normal 2 8 3 12 3 6" xfId="35978"/>
    <cellStyle name="Normal 2 8 3 12 4" xfId="35979"/>
    <cellStyle name="Normal 2 8 3 12 4 2" xfId="35980"/>
    <cellStyle name="Normal 2 8 3 12 4 2 2" xfId="35981"/>
    <cellStyle name="Normal 2 8 3 12 4 3" xfId="35982"/>
    <cellStyle name="Normal 2 8 3 12 4 4" xfId="35983"/>
    <cellStyle name="Normal 2 8 3 12 4 5" xfId="35984"/>
    <cellStyle name="Normal 2 8 3 12 5" xfId="35985"/>
    <cellStyle name="Normal 2 8 3 12 5 2" xfId="35986"/>
    <cellStyle name="Normal 2 8 3 12 5 3" xfId="35987"/>
    <cellStyle name="Normal 2 8 3 12 5 4" xfId="35988"/>
    <cellStyle name="Normal 2 8 3 12 6" xfId="35989"/>
    <cellStyle name="Normal 2 8 3 12 6 2" xfId="35990"/>
    <cellStyle name="Normal 2 8 3 12 7" xfId="35991"/>
    <cellStyle name="Normal 2 8 3 12 8" xfId="35992"/>
    <cellStyle name="Normal 2 8 3 12 9" xfId="35993"/>
    <cellStyle name="Normal 2 8 3 13" xfId="35994"/>
    <cellStyle name="Normal 2 8 3 13 2" xfId="35995"/>
    <cellStyle name="Normal 2 8 3 13 2 2" xfId="35996"/>
    <cellStyle name="Normal 2 8 3 13 2 2 2" xfId="35997"/>
    <cellStyle name="Normal 2 8 3 13 2 2 3" xfId="35998"/>
    <cellStyle name="Normal 2 8 3 13 2 3" xfId="35999"/>
    <cellStyle name="Normal 2 8 3 13 2 4" xfId="36000"/>
    <cellStyle name="Normal 2 8 3 13 2 5" xfId="36001"/>
    <cellStyle name="Normal 2 8 3 13 2 6" xfId="36002"/>
    <cellStyle name="Normal 2 8 3 13 3" xfId="36003"/>
    <cellStyle name="Normal 2 8 3 13 3 2" xfId="36004"/>
    <cellStyle name="Normal 2 8 3 13 3 2 2" xfId="36005"/>
    <cellStyle name="Normal 2 8 3 13 3 3" xfId="36006"/>
    <cellStyle name="Normal 2 8 3 13 3 4" xfId="36007"/>
    <cellStyle name="Normal 2 8 3 13 3 5" xfId="36008"/>
    <cellStyle name="Normal 2 8 3 13 4" xfId="36009"/>
    <cellStyle name="Normal 2 8 3 13 4 2" xfId="36010"/>
    <cellStyle name="Normal 2 8 3 13 4 3" xfId="36011"/>
    <cellStyle name="Normal 2 8 3 13 4 4" xfId="36012"/>
    <cellStyle name="Normal 2 8 3 13 5" xfId="36013"/>
    <cellStyle name="Normal 2 8 3 13 5 2" xfId="36014"/>
    <cellStyle name="Normal 2 8 3 13 6" xfId="36015"/>
    <cellStyle name="Normal 2 8 3 13 7" xfId="36016"/>
    <cellStyle name="Normal 2 8 3 13 8" xfId="36017"/>
    <cellStyle name="Normal 2 8 3 13 9" xfId="36018"/>
    <cellStyle name="Normal 2 8 3 14" xfId="36019"/>
    <cellStyle name="Normal 2 8 3 14 2" xfId="36020"/>
    <cellStyle name="Normal 2 8 3 14 2 2" xfId="36021"/>
    <cellStyle name="Normal 2 8 3 14 2 2 2" xfId="36022"/>
    <cellStyle name="Normal 2 8 3 14 2 2 3" xfId="36023"/>
    <cellStyle name="Normal 2 8 3 14 2 3" xfId="36024"/>
    <cellStyle name="Normal 2 8 3 14 2 4" xfId="36025"/>
    <cellStyle name="Normal 2 8 3 14 2 5" xfId="36026"/>
    <cellStyle name="Normal 2 8 3 14 2 6" xfId="36027"/>
    <cellStyle name="Normal 2 8 3 14 3" xfId="36028"/>
    <cellStyle name="Normal 2 8 3 14 3 2" xfId="36029"/>
    <cellStyle name="Normal 2 8 3 14 3 2 2" xfId="36030"/>
    <cellStyle name="Normal 2 8 3 14 3 3" xfId="36031"/>
    <cellStyle name="Normal 2 8 3 14 3 4" xfId="36032"/>
    <cellStyle name="Normal 2 8 3 14 3 5" xfId="36033"/>
    <cellStyle name="Normal 2 8 3 14 4" xfId="36034"/>
    <cellStyle name="Normal 2 8 3 14 4 2" xfId="36035"/>
    <cellStyle name="Normal 2 8 3 14 4 3" xfId="36036"/>
    <cellStyle name="Normal 2 8 3 14 4 4" xfId="36037"/>
    <cellStyle name="Normal 2 8 3 14 5" xfId="36038"/>
    <cellStyle name="Normal 2 8 3 14 5 2" xfId="36039"/>
    <cellStyle name="Normal 2 8 3 14 6" xfId="36040"/>
    <cellStyle name="Normal 2 8 3 14 7" xfId="36041"/>
    <cellStyle name="Normal 2 8 3 14 8" xfId="36042"/>
    <cellStyle name="Normal 2 8 3 14 9" xfId="36043"/>
    <cellStyle name="Normal 2 8 3 15" xfId="36044"/>
    <cellStyle name="Normal 2 8 3 15 2" xfId="36045"/>
    <cellStyle name="Normal 2 8 3 15 2 2" xfId="36046"/>
    <cellStyle name="Normal 2 8 3 15 2 3" xfId="36047"/>
    <cellStyle name="Normal 2 8 3 15 3" xfId="36048"/>
    <cellStyle name="Normal 2 8 3 15 4" xfId="36049"/>
    <cellStyle name="Normal 2 8 3 15 5" xfId="36050"/>
    <cellStyle name="Normal 2 8 3 15 6" xfId="36051"/>
    <cellStyle name="Normal 2 8 3 16" xfId="36052"/>
    <cellStyle name="Normal 2 8 3 16 2" xfId="36053"/>
    <cellStyle name="Normal 2 8 3 16 2 2" xfId="36054"/>
    <cellStyle name="Normal 2 8 3 16 3" xfId="36055"/>
    <cellStyle name="Normal 2 8 3 16 4" xfId="36056"/>
    <cellStyle name="Normal 2 8 3 16 5" xfId="36057"/>
    <cellStyle name="Normal 2 8 3 17" xfId="36058"/>
    <cellStyle name="Normal 2 8 3 17 2" xfId="36059"/>
    <cellStyle name="Normal 2 8 3 17 2 2" xfId="36060"/>
    <cellStyle name="Normal 2 8 3 17 3" xfId="36061"/>
    <cellStyle name="Normal 2 8 3 17 4" xfId="36062"/>
    <cellStyle name="Normal 2 8 3 17 5" xfId="36063"/>
    <cellStyle name="Normal 2 8 3 18" xfId="36064"/>
    <cellStyle name="Normal 2 8 3 18 2" xfId="36065"/>
    <cellStyle name="Normal 2 8 3 19" xfId="36066"/>
    <cellStyle name="Normal 2 8 3 2" xfId="36067"/>
    <cellStyle name="Normal 2 8 3 2 10" xfId="36068"/>
    <cellStyle name="Normal 2 8 3 2 11" xfId="36069"/>
    <cellStyle name="Normal 2 8 3 2 2" xfId="36070"/>
    <cellStyle name="Normal 2 8 3 2 2 2" xfId="36071"/>
    <cellStyle name="Normal 2 8 3 2 2 2 2" xfId="36072"/>
    <cellStyle name="Normal 2 8 3 2 2 2 2 2" xfId="36073"/>
    <cellStyle name="Normal 2 8 3 2 2 2 2 3" xfId="36074"/>
    <cellStyle name="Normal 2 8 3 2 2 2 3" xfId="36075"/>
    <cellStyle name="Normal 2 8 3 2 2 2 4" xfId="36076"/>
    <cellStyle name="Normal 2 8 3 2 2 2 5" xfId="36077"/>
    <cellStyle name="Normal 2 8 3 2 2 2 6" xfId="36078"/>
    <cellStyle name="Normal 2 8 3 2 2 3" xfId="36079"/>
    <cellStyle name="Normal 2 8 3 2 2 3 2" xfId="36080"/>
    <cellStyle name="Normal 2 8 3 2 2 3 2 2" xfId="36081"/>
    <cellStyle name="Normal 2 8 3 2 2 3 3" xfId="36082"/>
    <cellStyle name="Normal 2 8 3 2 2 3 4" xfId="36083"/>
    <cellStyle name="Normal 2 8 3 2 2 3 5" xfId="36084"/>
    <cellStyle name="Normal 2 8 3 2 2 4" xfId="36085"/>
    <cellStyle name="Normal 2 8 3 2 2 4 2" xfId="36086"/>
    <cellStyle name="Normal 2 8 3 2 2 4 3" xfId="36087"/>
    <cellStyle name="Normal 2 8 3 2 2 4 4" xfId="36088"/>
    <cellStyle name="Normal 2 8 3 2 2 5" xfId="36089"/>
    <cellStyle name="Normal 2 8 3 2 2 5 2" xfId="36090"/>
    <cellStyle name="Normal 2 8 3 2 2 6" xfId="36091"/>
    <cellStyle name="Normal 2 8 3 2 2 7" xfId="36092"/>
    <cellStyle name="Normal 2 8 3 2 2 8" xfId="36093"/>
    <cellStyle name="Normal 2 8 3 2 2 9" xfId="36094"/>
    <cellStyle name="Normal 2 8 3 2 3" xfId="36095"/>
    <cellStyle name="Normal 2 8 3 2 3 2" xfId="36096"/>
    <cellStyle name="Normal 2 8 3 2 3 2 2" xfId="36097"/>
    <cellStyle name="Normal 2 8 3 2 3 2 2 2" xfId="36098"/>
    <cellStyle name="Normal 2 8 3 2 3 2 2 3" xfId="36099"/>
    <cellStyle name="Normal 2 8 3 2 3 2 3" xfId="36100"/>
    <cellStyle name="Normal 2 8 3 2 3 2 4" xfId="36101"/>
    <cellStyle name="Normal 2 8 3 2 3 2 5" xfId="36102"/>
    <cellStyle name="Normal 2 8 3 2 3 2 6" xfId="36103"/>
    <cellStyle name="Normal 2 8 3 2 3 3" xfId="36104"/>
    <cellStyle name="Normal 2 8 3 2 3 3 2" xfId="36105"/>
    <cellStyle name="Normal 2 8 3 2 3 3 2 2" xfId="36106"/>
    <cellStyle name="Normal 2 8 3 2 3 3 3" xfId="36107"/>
    <cellStyle name="Normal 2 8 3 2 3 3 4" xfId="36108"/>
    <cellStyle name="Normal 2 8 3 2 3 3 5" xfId="36109"/>
    <cellStyle name="Normal 2 8 3 2 3 4" xfId="36110"/>
    <cellStyle name="Normal 2 8 3 2 3 4 2" xfId="36111"/>
    <cellStyle name="Normal 2 8 3 2 3 4 3" xfId="36112"/>
    <cellStyle name="Normal 2 8 3 2 3 4 4" xfId="36113"/>
    <cellStyle name="Normal 2 8 3 2 3 5" xfId="36114"/>
    <cellStyle name="Normal 2 8 3 2 3 5 2" xfId="36115"/>
    <cellStyle name="Normal 2 8 3 2 3 6" xfId="36116"/>
    <cellStyle name="Normal 2 8 3 2 3 7" xfId="36117"/>
    <cellStyle name="Normal 2 8 3 2 3 8" xfId="36118"/>
    <cellStyle name="Normal 2 8 3 2 3 9" xfId="36119"/>
    <cellStyle name="Normal 2 8 3 2 4" xfId="36120"/>
    <cellStyle name="Normal 2 8 3 2 4 2" xfId="36121"/>
    <cellStyle name="Normal 2 8 3 2 4 2 2" xfId="36122"/>
    <cellStyle name="Normal 2 8 3 2 4 2 3" xfId="36123"/>
    <cellStyle name="Normal 2 8 3 2 4 3" xfId="36124"/>
    <cellStyle name="Normal 2 8 3 2 4 4" xfId="36125"/>
    <cellStyle name="Normal 2 8 3 2 4 5" xfId="36126"/>
    <cellStyle name="Normal 2 8 3 2 4 6" xfId="36127"/>
    <cellStyle name="Normal 2 8 3 2 5" xfId="36128"/>
    <cellStyle name="Normal 2 8 3 2 5 2" xfId="36129"/>
    <cellStyle name="Normal 2 8 3 2 5 2 2" xfId="36130"/>
    <cellStyle name="Normal 2 8 3 2 5 3" xfId="36131"/>
    <cellStyle name="Normal 2 8 3 2 5 4" xfId="36132"/>
    <cellStyle name="Normal 2 8 3 2 5 5" xfId="36133"/>
    <cellStyle name="Normal 2 8 3 2 6" xfId="36134"/>
    <cellStyle name="Normal 2 8 3 2 6 2" xfId="36135"/>
    <cellStyle name="Normal 2 8 3 2 6 3" xfId="36136"/>
    <cellStyle name="Normal 2 8 3 2 6 4" xfId="36137"/>
    <cellStyle name="Normal 2 8 3 2 7" xfId="36138"/>
    <cellStyle name="Normal 2 8 3 2 7 2" xfId="36139"/>
    <cellStyle name="Normal 2 8 3 2 8" xfId="36140"/>
    <cellStyle name="Normal 2 8 3 2 9" xfId="36141"/>
    <cellStyle name="Normal 2 8 3 20" xfId="36142"/>
    <cellStyle name="Normal 2 8 3 21" xfId="36143"/>
    <cellStyle name="Normal 2 8 3 22" xfId="36144"/>
    <cellStyle name="Normal 2 8 3 3" xfId="36145"/>
    <cellStyle name="Normal 2 8 3 3 10" xfId="36146"/>
    <cellStyle name="Normal 2 8 3 3 11" xfId="36147"/>
    <cellStyle name="Normal 2 8 3 3 2" xfId="36148"/>
    <cellStyle name="Normal 2 8 3 3 2 2" xfId="36149"/>
    <cellStyle name="Normal 2 8 3 3 2 2 2" xfId="36150"/>
    <cellStyle name="Normal 2 8 3 3 2 2 2 2" xfId="36151"/>
    <cellStyle name="Normal 2 8 3 3 2 2 2 3" xfId="36152"/>
    <cellStyle name="Normal 2 8 3 3 2 2 3" xfId="36153"/>
    <cellStyle name="Normal 2 8 3 3 2 2 4" xfId="36154"/>
    <cellStyle name="Normal 2 8 3 3 2 2 5" xfId="36155"/>
    <cellStyle name="Normal 2 8 3 3 2 2 6" xfId="36156"/>
    <cellStyle name="Normal 2 8 3 3 2 3" xfId="36157"/>
    <cellStyle name="Normal 2 8 3 3 2 3 2" xfId="36158"/>
    <cellStyle name="Normal 2 8 3 3 2 3 2 2" xfId="36159"/>
    <cellStyle name="Normal 2 8 3 3 2 3 3" xfId="36160"/>
    <cellStyle name="Normal 2 8 3 3 2 3 4" xfId="36161"/>
    <cellStyle name="Normal 2 8 3 3 2 3 5" xfId="36162"/>
    <cellStyle name="Normal 2 8 3 3 2 4" xfId="36163"/>
    <cellStyle name="Normal 2 8 3 3 2 4 2" xfId="36164"/>
    <cellStyle name="Normal 2 8 3 3 2 4 3" xfId="36165"/>
    <cellStyle name="Normal 2 8 3 3 2 4 4" xfId="36166"/>
    <cellStyle name="Normal 2 8 3 3 2 5" xfId="36167"/>
    <cellStyle name="Normal 2 8 3 3 2 5 2" xfId="36168"/>
    <cellStyle name="Normal 2 8 3 3 2 6" xfId="36169"/>
    <cellStyle name="Normal 2 8 3 3 2 7" xfId="36170"/>
    <cellStyle name="Normal 2 8 3 3 2 8" xfId="36171"/>
    <cellStyle name="Normal 2 8 3 3 2 9" xfId="36172"/>
    <cellStyle name="Normal 2 8 3 3 3" xfId="36173"/>
    <cellStyle name="Normal 2 8 3 3 3 2" xfId="36174"/>
    <cellStyle name="Normal 2 8 3 3 3 2 2" xfId="36175"/>
    <cellStyle name="Normal 2 8 3 3 3 2 2 2" xfId="36176"/>
    <cellStyle name="Normal 2 8 3 3 3 2 2 3" xfId="36177"/>
    <cellStyle name="Normal 2 8 3 3 3 2 3" xfId="36178"/>
    <cellStyle name="Normal 2 8 3 3 3 2 4" xfId="36179"/>
    <cellStyle name="Normal 2 8 3 3 3 2 5" xfId="36180"/>
    <cellStyle name="Normal 2 8 3 3 3 2 6" xfId="36181"/>
    <cellStyle name="Normal 2 8 3 3 3 3" xfId="36182"/>
    <cellStyle name="Normal 2 8 3 3 3 3 2" xfId="36183"/>
    <cellStyle name="Normal 2 8 3 3 3 3 2 2" xfId="36184"/>
    <cellStyle name="Normal 2 8 3 3 3 3 3" xfId="36185"/>
    <cellStyle name="Normal 2 8 3 3 3 3 4" xfId="36186"/>
    <cellStyle name="Normal 2 8 3 3 3 3 5" xfId="36187"/>
    <cellStyle name="Normal 2 8 3 3 3 4" xfId="36188"/>
    <cellStyle name="Normal 2 8 3 3 3 4 2" xfId="36189"/>
    <cellStyle name="Normal 2 8 3 3 3 4 3" xfId="36190"/>
    <cellStyle name="Normal 2 8 3 3 3 4 4" xfId="36191"/>
    <cellStyle name="Normal 2 8 3 3 3 5" xfId="36192"/>
    <cellStyle name="Normal 2 8 3 3 3 5 2" xfId="36193"/>
    <cellStyle name="Normal 2 8 3 3 3 6" xfId="36194"/>
    <cellStyle name="Normal 2 8 3 3 3 7" xfId="36195"/>
    <cellStyle name="Normal 2 8 3 3 3 8" xfId="36196"/>
    <cellStyle name="Normal 2 8 3 3 3 9" xfId="36197"/>
    <cellStyle name="Normal 2 8 3 3 4" xfId="36198"/>
    <cellStyle name="Normal 2 8 3 3 4 2" xfId="36199"/>
    <cellStyle name="Normal 2 8 3 3 4 2 2" xfId="36200"/>
    <cellStyle name="Normal 2 8 3 3 4 2 3" xfId="36201"/>
    <cellStyle name="Normal 2 8 3 3 4 3" xfId="36202"/>
    <cellStyle name="Normal 2 8 3 3 4 4" xfId="36203"/>
    <cellStyle name="Normal 2 8 3 3 4 5" xfId="36204"/>
    <cellStyle name="Normal 2 8 3 3 4 6" xfId="36205"/>
    <cellStyle name="Normal 2 8 3 3 5" xfId="36206"/>
    <cellStyle name="Normal 2 8 3 3 5 2" xfId="36207"/>
    <cellStyle name="Normal 2 8 3 3 5 2 2" xfId="36208"/>
    <cellStyle name="Normal 2 8 3 3 5 3" xfId="36209"/>
    <cellStyle name="Normal 2 8 3 3 5 4" xfId="36210"/>
    <cellStyle name="Normal 2 8 3 3 5 5" xfId="36211"/>
    <cellStyle name="Normal 2 8 3 3 6" xfId="36212"/>
    <cellStyle name="Normal 2 8 3 3 6 2" xfId="36213"/>
    <cellStyle name="Normal 2 8 3 3 6 3" xfId="36214"/>
    <cellStyle name="Normal 2 8 3 3 6 4" xfId="36215"/>
    <cellStyle name="Normal 2 8 3 3 7" xfId="36216"/>
    <cellStyle name="Normal 2 8 3 3 7 2" xfId="36217"/>
    <cellStyle name="Normal 2 8 3 3 8" xfId="36218"/>
    <cellStyle name="Normal 2 8 3 3 9" xfId="36219"/>
    <cellStyle name="Normal 2 8 3 4" xfId="36220"/>
    <cellStyle name="Normal 2 8 3 4 10" xfId="36221"/>
    <cellStyle name="Normal 2 8 3 4 11" xfId="36222"/>
    <cellStyle name="Normal 2 8 3 4 2" xfId="36223"/>
    <cellStyle name="Normal 2 8 3 4 2 2" xfId="36224"/>
    <cellStyle name="Normal 2 8 3 4 2 2 2" xfId="36225"/>
    <cellStyle name="Normal 2 8 3 4 2 2 2 2" xfId="36226"/>
    <cellStyle name="Normal 2 8 3 4 2 2 2 3" xfId="36227"/>
    <cellStyle name="Normal 2 8 3 4 2 2 3" xfId="36228"/>
    <cellStyle name="Normal 2 8 3 4 2 2 4" xfId="36229"/>
    <cellStyle name="Normal 2 8 3 4 2 2 5" xfId="36230"/>
    <cellStyle name="Normal 2 8 3 4 2 2 6" xfId="36231"/>
    <cellStyle name="Normal 2 8 3 4 2 3" xfId="36232"/>
    <cellStyle name="Normal 2 8 3 4 2 3 2" xfId="36233"/>
    <cellStyle name="Normal 2 8 3 4 2 3 2 2" xfId="36234"/>
    <cellStyle name="Normal 2 8 3 4 2 3 3" xfId="36235"/>
    <cellStyle name="Normal 2 8 3 4 2 3 4" xfId="36236"/>
    <cellStyle name="Normal 2 8 3 4 2 3 5" xfId="36237"/>
    <cellStyle name="Normal 2 8 3 4 2 4" xfId="36238"/>
    <cellStyle name="Normal 2 8 3 4 2 4 2" xfId="36239"/>
    <cellStyle name="Normal 2 8 3 4 2 4 3" xfId="36240"/>
    <cellStyle name="Normal 2 8 3 4 2 4 4" xfId="36241"/>
    <cellStyle name="Normal 2 8 3 4 2 5" xfId="36242"/>
    <cellStyle name="Normal 2 8 3 4 2 5 2" xfId="36243"/>
    <cellStyle name="Normal 2 8 3 4 2 6" xfId="36244"/>
    <cellStyle name="Normal 2 8 3 4 2 7" xfId="36245"/>
    <cellStyle name="Normal 2 8 3 4 2 8" xfId="36246"/>
    <cellStyle name="Normal 2 8 3 4 2 9" xfId="36247"/>
    <cellStyle name="Normal 2 8 3 4 3" xfId="36248"/>
    <cellStyle name="Normal 2 8 3 4 3 2" xfId="36249"/>
    <cellStyle name="Normal 2 8 3 4 3 2 2" xfId="36250"/>
    <cellStyle name="Normal 2 8 3 4 3 2 2 2" xfId="36251"/>
    <cellStyle name="Normal 2 8 3 4 3 2 2 3" xfId="36252"/>
    <cellStyle name="Normal 2 8 3 4 3 2 3" xfId="36253"/>
    <cellStyle name="Normal 2 8 3 4 3 2 4" xfId="36254"/>
    <cellStyle name="Normal 2 8 3 4 3 2 5" xfId="36255"/>
    <cellStyle name="Normal 2 8 3 4 3 2 6" xfId="36256"/>
    <cellStyle name="Normal 2 8 3 4 3 3" xfId="36257"/>
    <cellStyle name="Normal 2 8 3 4 3 3 2" xfId="36258"/>
    <cellStyle name="Normal 2 8 3 4 3 3 2 2" xfId="36259"/>
    <cellStyle name="Normal 2 8 3 4 3 3 3" xfId="36260"/>
    <cellStyle name="Normal 2 8 3 4 3 3 4" xfId="36261"/>
    <cellStyle name="Normal 2 8 3 4 3 3 5" xfId="36262"/>
    <cellStyle name="Normal 2 8 3 4 3 4" xfId="36263"/>
    <cellStyle name="Normal 2 8 3 4 3 4 2" xfId="36264"/>
    <cellStyle name="Normal 2 8 3 4 3 4 3" xfId="36265"/>
    <cellStyle name="Normal 2 8 3 4 3 4 4" xfId="36266"/>
    <cellStyle name="Normal 2 8 3 4 3 5" xfId="36267"/>
    <cellStyle name="Normal 2 8 3 4 3 5 2" xfId="36268"/>
    <cellStyle name="Normal 2 8 3 4 3 6" xfId="36269"/>
    <cellStyle name="Normal 2 8 3 4 3 7" xfId="36270"/>
    <cellStyle name="Normal 2 8 3 4 3 8" xfId="36271"/>
    <cellStyle name="Normal 2 8 3 4 3 9" xfId="36272"/>
    <cellStyle name="Normal 2 8 3 4 4" xfId="36273"/>
    <cellStyle name="Normal 2 8 3 4 4 2" xfId="36274"/>
    <cellStyle name="Normal 2 8 3 4 4 2 2" xfId="36275"/>
    <cellStyle name="Normal 2 8 3 4 4 2 3" xfId="36276"/>
    <cellStyle name="Normal 2 8 3 4 4 3" xfId="36277"/>
    <cellStyle name="Normal 2 8 3 4 4 4" xfId="36278"/>
    <cellStyle name="Normal 2 8 3 4 4 5" xfId="36279"/>
    <cellStyle name="Normal 2 8 3 4 4 6" xfId="36280"/>
    <cellStyle name="Normal 2 8 3 4 5" xfId="36281"/>
    <cellStyle name="Normal 2 8 3 4 5 2" xfId="36282"/>
    <cellStyle name="Normal 2 8 3 4 5 2 2" xfId="36283"/>
    <cellStyle name="Normal 2 8 3 4 5 3" xfId="36284"/>
    <cellStyle name="Normal 2 8 3 4 5 4" xfId="36285"/>
    <cellStyle name="Normal 2 8 3 4 5 5" xfId="36286"/>
    <cellStyle name="Normal 2 8 3 4 6" xfId="36287"/>
    <cellStyle name="Normal 2 8 3 4 6 2" xfId="36288"/>
    <cellStyle name="Normal 2 8 3 4 6 3" xfId="36289"/>
    <cellStyle name="Normal 2 8 3 4 6 4" xfId="36290"/>
    <cellStyle name="Normal 2 8 3 4 7" xfId="36291"/>
    <cellStyle name="Normal 2 8 3 4 7 2" xfId="36292"/>
    <cellStyle name="Normal 2 8 3 4 8" xfId="36293"/>
    <cellStyle name="Normal 2 8 3 4 9" xfId="36294"/>
    <cellStyle name="Normal 2 8 3 5" xfId="36295"/>
    <cellStyle name="Normal 2 8 3 5 10" xfId="36296"/>
    <cellStyle name="Normal 2 8 3 5 11" xfId="36297"/>
    <cellStyle name="Normal 2 8 3 5 2" xfId="36298"/>
    <cellStyle name="Normal 2 8 3 5 2 2" xfId="36299"/>
    <cellStyle name="Normal 2 8 3 5 2 2 2" xfId="36300"/>
    <cellStyle name="Normal 2 8 3 5 2 2 2 2" xfId="36301"/>
    <cellStyle name="Normal 2 8 3 5 2 2 2 3" xfId="36302"/>
    <cellStyle name="Normal 2 8 3 5 2 2 3" xfId="36303"/>
    <cellStyle name="Normal 2 8 3 5 2 2 4" xfId="36304"/>
    <cellStyle name="Normal 2 8 3 5 2 2 5" xfId="36305"/>
    <cellStyle name="Normal 2 8 3 5 2 2 6" xfId="36306"/>
    <cellStyle name="Normal 2 8 3 5 2 3" xfId="36307"/>
    <cellStyle name="Normal 2 8 3 5 2 3 2" xfId="36308"/>
    <cellStyle name="Normal 2 8 3 5 2 3 2 2" xfId="36309"/>
    <cellStyle name="Normal 2 8 3 5 2 3 3" xfId="36310"/>
    <cellStyle name="Normal 2 8 3 5 2 3 4" xfId="36311"/>
    <cellStyle name="Normal 2 8 3 5 2 3 5" xfId="36312"/>
    <cellStyle name="Normal 2 8 3 5 2 4" xfId="36313"/>
    <cellStyle name="Normal 2 8 3 5 2 4 2" xfId="36314"/>
    <cellStyle name="Normal 2 8 3 5 2 4 3" xfId="36315"/>
    <cellStyle name="Normal 2 8 3 5 2 4 4" xfId="36316"/>
    <cellStyle name="Normal 2 8 3 5 2 5" xfId="36317"/>
    <cellStyle name="Normal 2 8 3 5 2 5 2" xfId="36318"/>
    <cellStyle name="Normal 2 8 3 5 2 6" xfId="36319"/>
    <cellStyle name="Normal 2 8 3 5 2 7" xfId="36320"/>
    <cellStyle name="Normal 2 8 3 5 2 8" xfId="36321"/>
    <cellStyle name="Normal 2 8 3 5 2 9" xfId="36322"/>
    <cellStyle name="Normal 2 8 3 5 3" xfId="36323"/>
    <cellStyle name="Normal 2 8 3 5 3 2" xfId="36324"/>
    <cellStyle name="Normal 2 8 3 5 3 2 2" xfId="36325"/>
    <cellStyle name="Normal 2 8 3 5 3 2 2 2" xfId="36326"/>
    <cellStyle name="Normal 2 8 3 5 3 2 2 3" xfId="36327"/>
    <cellStyle name="Normal 2 8 3 5 3 2 3" xfId="36328"/>
    <cellStyle name="Normal 2 8 3 5 3 2 4" xfId="36329"/>
    <cellStyle name="Normal 2 8 3 5 3 2 5" xfId="36330"/>
    <cellStyle name="Normal 2 8 3 5 3 2 6" xfId="36331"/>
    <cellStyle name="Normal 2 8 3 5 3 3" xfId="36332"/>
    <cellStyle name="Normal 2 8 3 5 3 3 2" xfId="36333"/>
    <cellStyle name="Normal 2 8 3 5 3 3 2 2" xfId="36334"/>
    <cellStyle name="Normal 2 8 3 5 3 3 3" xfId="36335"/>
    <cellStyle name="Normal 2 8 3 5 3 3 4" xfId="36336"/>
    <cellStyle name="Normal 2 8 3 5 3 3 5" xfId="36337"/>
    <cellStyle name="Normal 2 8 3 5 3 4" xfId="36338"/>
    <cellStyle name="Normal 2 8 3 5 3 4 2" xfId="36339"/>
    <cellStyle name="Normal 2 8 3 5 3 4 3" xfId="36340"/>
    <cellStyle name="Normal 2 8 3 5 3 4 4" xfId="36341"/>
    <cellStyle name="Normal 2 8 3 5 3 5" xfId="36342"/>
    <cellStyle name="Normal 2 8 3 5 3 5 2" xfId="36343"/>
    <cellStyle name="Normal 2 8 3 5 3 6" xfId="36344"/>
    <cellStyle name="Normal 2 8 3 5 3 7" xfId="36345"/>
    <cellStyle name="Normal 2 8 3 5 3 8" xfId="36346"/>
    <cellStyle name="Normal 2 8 3 5 3 9" xfId="36347"/>
    <cellStyle name="Normal 2 8 3 5 4" xfId="36348"/>
    <cellStyle name="Normal 2 8 3 5 4 2" xfId="36349"/>
    <cellStyle name="Normal 2 8 3 5 4 2 2" xfId="36350"/>
    <cellStyle name="Normal 2 8 3 5 4 2 3" xfId="36351"/>
    <cellStyle name="Normal 2 8 3 5 4 3" xfId="36352"/>
    <cellStyle name="Normal 2 8 3 5 4 4" xfId="36353"/>
    <cellStyle name="Normal 2 8 3 5 4 5" xfId="36354"/>
    <cellStyle name="Normal 2 8 3 5 4 6" xfId="36355"/>
    <cellStyle name="Normal 2 8 3 5 5" xfId="36356"/>
    <cellStyle name="Normal 2 8 3 5 5 2" xfId="36357"/>
    <cellStyle name="Normal 2 8 3 5 5 2 2" xfId="36358"/>
    <cellStyle name="Normal 2 8 3 5 5 3" xfId="36359"/>
    <cellStyle name="Normal 2 8 3 5 5 4" xfId="36360"/>
    <cellStyle name="Normal 2 8 3 5 5 5" xfId="36361"/>
    <cellStyle name="Normal 2 8 3 5 6" xfId="36362"/>
    <cellStyle name="Normal 2 8 3 5 6 2" xfId="36363"/>
    <cellStyle name="Normal 2 8 3 5 6 3" xfId="36364"/>
    <cellStyle name="Normal 2 8 3 5 6 4" xfId="36365"/>
    <cellStyle name="Normal 2 8 3 5 7" xfId="36366"/>
    <cellStyle name="Normal 2 8 3 5 7 2" xfId="36367"/>
    <cellStyle name="Normal 2 8 3 5 8" xfId="36368"/>
    <cellStyle name="Normal 2 8 3 5 9" xfId="36369"/>
    <cellStyle name="Normal 2 8 3 6" xfId="36370"/>
    <cellStyle name="Normal 2 8 3 6 10" xfId="36371"/>
    <cellStyle name="Normal 2 8 3 6 11" xfId="36372"/>
    <cellStyle name="Normal 2 8 3 6 2" xfId="36373"/>
    <cellStyle name="Normal 2 8 3 6 2 2" xfId="36374"/>
    <cellStyle name="Normal 2 8 3 6 2 2 2" xfId="36375"/>
    <cellStyle name="Normal 2 8 3 6 2 2 2 2" xfId="36376"/>
    <cellStyle name="Normal 2 8 3 6 2 2 2 3" xfId="36377"/>
    <cellStyle name="Normal 2 8 3 6 2 2 3" xfId="36378"/>
    <cellStyle name="Normal 2 8 3 6 2 2 4" xfId="36379"/>
    <cellStyle name="Normal 2 8 3 6 2 2 5" xfId="36380"/>
    <cellStyle name="Normal 2 8 3 6 2 2 6" xfId="36381"/>
    <cellStyle name="Normal 2 8 3 6 2 3" xfId="36382"/>
    <cellStyle name="Normal 2 8 3 6 2 3 2" xfId="36383"/>
    <cellStyle name="Normal 2 8 3 6 2 3 2 2" xfId="36384"/>
    <cellStyle name="Normal 2 8 3 6 2 3 3" xfId="36385"/>
    <cellStyle name="Normal 2 8 3 6 2 3 4" xfId="36386"/>
    <cellStyle name="Normal 2 8 3 6 2 3 5" xfId="36387"/>
    <cellStyle name="Normal 2 8 3 6 2 4" xfId="36388"/>
    <cellStyle name="Normal 2 8 3 6 2 4 2" xfId="36389"/>
    <cellStyle name="Normal 2 8 3 6 2 4 3" xfId="36390"/>
    <cellStyle name="Normal 2 8 3 6 2 4 4" xfId="36391"/>
    <cellStyle name="Normal 2 8 3 6 2 5" xfId="36392"/>
    <cellStyle name="Normal 2 8 3 6 2 5 2" xfId="36393"/>
    <cellStyle name="Normal 2 8 3 6 2 6" xfId="36394"/>
    <cellStyle name="Normal 2 8 3 6 2 7" xfId="36395"/>
    <cellStyle name="Normal 2 8 3 6 2 8" xfId="36396"/>
    <cellStyle name="Normal 2 8 3 6 2 9" xfId="36397"/>
    <cellStyle name="Normal 2 8 3 6 3" xfId="36398"/>
    <cellStyle name="Normal 2 8 3 6 3 2" xfId="36399"/>
    <cellStyle name="Normal 2 8 3 6 3 2 2" xfId="36400"/>
    <cellStyle name="Normal 2 8 3 6 3 2 2 2" xfId="36401"/>
    <cellStyle name="Normal 2 8 3 6 3 2 2 3" xfId="36402"/>
    <cellStyle name="Normal 2 8 3 6 3 2 3" xfId="36403"/>
    <cellStyle name="Normal 2 8 3 6 3 2 4" xfId="36404"/>
    <cellStyle name="Normal 2 8 3 6 3 2 5" xfId="36405"/>
    <cellStyle name="Normal 2 8 3 6 3 2 6" xfId="36406"/>
    <cellStyle name="Normal 2 8 3 6 3 3" xfId="36407"/>
    <cellStyle name="Normal 2 8 3 6 3 3 2" xfId="36408"/>
    <cellStyle name="Normal 2 8 3 6 3 3 2 2" xfId="36409"/>
    <cellStyle name="Normal 2 8 3 6 3 3 3" xfId="36410"/>
    <cellStyle name="Normal 2 8 3 6 3 3 4" xfId="36411"/>
    <cellStyle name="Normal 2 8 3 6 3 3 5" xfId="36412"/>
    <cellStyle name="Normal 2 8 3 6 3 4" xfId="36413"/>
    <cellStyle name="Normal 2 8 3 6 3 4 2" xfId="36414"/>
    <cellStyle name="Normal 2 8 3 6 3 4 3" xfId="36415"/>
    <cellStyle name="Normal 2 8 3 6 3 4 4" xfId="36416"/>
    <cellStyle name="Normal 2 8 3 6 3 5" xfId="36417"/>
    <cellStyle name="Normal 2 8 3 6 3 5 2" xfId="36418"/>
    <cellStyle name="Normal 2 8 3 6 3 6" xfId="36419"/>
    <cellStyle name="Normal 2 8 3 6 3 7" xfId="36420"/>
    <cellStyle name="Normal 2 8 3 6 3 8" xfId="36421"/>
    <cellStyle name="Normal 2 8 3 6 3 9" xfId="36422"/>
    <cellStyle name="Normal 2 8 3 6 4" xfId="36423"/>
    <cellStyle name="Normal 2 8 3 6 4 2" xfId="36424"/>
    <cellStyle name="Normal 2 8 3 6 4 2 2" xfId="36425"/>
    <cellStyle name="Normal 2 8 3 6 4 2 3" xfId="36426"/>
    <cellStyle name="Normal 2 8 3 6 4 3" xfId="36427"/>
    <cellStyle name="Normal 2 8 3 6 4 4" xfId="36428"/>
    <cellStyle name="Normal 2 8 3 6 4 5" xfId="36429"/>
    <cellStyle name="Normal 2 8 3 6 4 6" xfId="36430"/>
    <cellStyle name="Normal 2 8 3 6 5" xfId="36431"/>
    <cellStyle name="Normal 2 8 3 6 5 2" xfId="36432"/>
    <cellStyle name="Normal 2 8 3 6 5 2 2" xfId="36433"/>
    <cellStyle name="Normal 2 8 3 6 5 3" xfId="36434"/>
    <cellStyle name="Normal 2 8 3 6 5 4" xfId="36435"/>
    <cellStyle name="Normal 2 8 3 6 5 5" xfId="36436"/>
    <cellStyle name="Normal 2 8 3 6 6" xfId="36437"/>
    <cellStyle name="Normal 2 8 3 6 6 2" xfId="36438"/>
    <cellStyle name="Normal 2 8 3 6 6 3" xfId="36439"/>
    <cellStyle name="Normal 2 8 3 6 6 4" xfId="36440"/>
    <cellStyle name="Normal 2 8 3 6 7" xfId="36441"/>
    <cellStyle name="Normal 2 8 3 6 7 2" xfId="36442"/>
    <cellStyle name="Normal 2 8 3 6 8" xfId="36443"/>
    <cellStyle name="Normal 2 8 3 6 9" xfId="36444"/>
    <cellStyle name="Normal 2 8 3 7" xfId="36445"/>
    <cellStyle name="Normal 2 8 3 7 10" xfId="36446"/>
    <cellStyle name="Normal 2 8 3 7 11" xfId="36447"/>
    <cellStyle name="Normal 2 8 3 7 2" xfId="36448"/>
    <cellStyle name="Normal 2 8 3 7 2 2" xfId="36449"/>
    <cellStyle name="Normal 2 8 3 7 2 2 2" xfId="36450"/>
    <cellStyle name="Normal 2 8 3 7 2 2 2 2" xfId="36451"/>
    <cellStyle name="Normal 2 8 3 7 2 2 2 3" xfId="36452"/>
    <cellStyle name="Normal 2 8 3 7 2 2 3" xfId="36453"/>
    <cellStyle name="Normal 2 8 3 7 2 2 4" xfId="36454"/>
    <cellStyle name="Normal 2 8 3 7 2 2 5" xfId="36455"/>
    <cellStyle name="Normal 2 8 3 7 2 2 6" xfId="36456"/>
    <cellStyle name="Normal 2 8 3 7 2 3" xfId="36457"/>
    <cellStyle name="Normal 2 8 3 7 2 3 2" xfId="36458"/>
    <cellStyle name="Normal 2 8 3 7 2 3 2 2" xfId="36459"/>
    <cellStyle name="Normal 2 8 3 7 2 3 3" xfId="36460"/>
    <cellStyle name="Normal 2 8 3 7 2 3 4" xfId="36461"/>
    <cellStyle name="Normal 2 8 3 7 2 3 5" xfId="36462"/>
    <cellStyle name="Normal 2 8 3 7 2 4" xfId="36463"/>
    <cellStyle name="Normal 2 8 3 7 2 4 2" xfId="36464"/>
    <cellStyle name="Normal 2 8 3 7 2 4 3" xfId="36465"/>
    <cellStyle name="Normal 2 8 3 7 2 4 4" xfId="36466"/>
    <cellStyle name="Normal 2 8 3 7 2 5" xfId="36467"/>
    <cellStyle name="Normal 2 8 3 7 2 5 2" xfId="36468"/>
    <cellStyle name="Normal 2 8 3 7 2 6" xfId="36469"/>
    <cellStyle name="Normal 2 8 3 7 2 7" xfId="36470"/>
    <cellStyle name="Normal 2 8 3 7 2 8" xfId="36471"/>
    <cellStyle name="Normal 2 8 3 7 2 9" xfId="36472"/>
    <cellStyle name="Normal 2 8 3 7 3" xfId="36473"/>
    <cellStyle name="Normal 2 8 3 7 3 2" xfId="36474"/>
    <cellStyle name="Normal 2 8 3 7 3 2 2" xfId="36475"/>
    <cellStyle name="Normal 2 8 3 7 3 2 2 2" xfId="36476"/>
    <cellStyle name="Normal 2 8 3 7 3 2 2 3" xfId="36477"/>
    <cellStyle name="Normal 2 8 3 7 3 2 3" xfId="36478"/>
    <cellStyle name="Normal 2 8 3 7 3 2 4" xfId="36479"/>
    <cellStyle name="Normal 2 8 3 7 3 2 5" xfId="36480"/>
    <cellStyle name="Normal 2 8 3 7 3 2 6" xfId="36481"/>
    <cellStyle name="Normal 2 8 3 7 3 3" xfId="36482"/>
    <cellStyle name="Normal 2 8 3 7 3 3 2" xfId="36483"/>
    <cellStyle name="Normal 2 8 3 7 3 3 2 2" xfId="36484"/>
    <cellStyle name="Normal 2 8 3 7 3 3 3" xfId="36485"/>
    <cellStyle name="Normal 2 8 3 7 3 3 4" xfId="36486"/>
    <cellStyle name="Normal 2 8 3 7 3 3 5" xfId="36487"/>
    <cellStyle name="Normal 2 8 3 7 3 4" xfId="36488"/>
    <cellStyle name="Normal 2 8 3 7 3 4 2" xfId="36489"/>
    <cellStyle name="Normal 2 8 3 7 3 4 3" xfId="36490"/>
    <cellStyle name="Normal 2 8 3 7 3 4 4" xfId="36491"/>
    <cellStyle name="Normal 2 8 3 7 3 5" xfId="36492"/>
    <cellStyle name="Normal 2 8 3 7 3 5 2" xfId="36493"/>
    <cellStyle name="Normal 2 8 3 7 3 6" xfId="36494"/>
    <cellStyle name="Normal 2 8 3 7 3 7" xfId="36495"/>
    <cellStyle name="Normal 2 8 3 7 3 8" xfId="36496"/>
    <cellStyle name="Normal 2 8 3 7 3 9" xfId="36497"/>
    <cellStyle name="Normal 2 8 3 7 4" xfId="36498"/>
    <cellStyle name="Normal 2 8 3 7 4 2" xfId="36499"/>
    <cellStyle name="Normal 2 8 3 7 4 2 2" xfId="36500"/>
    <cellStyle name="Normal 2 8 3 7 4 2 3" xfId="36501"/>
    <cellStyle name="Normal 2 8 3 7 4 3" xfId="36502"/>
    <cellStyle name="Normal 2 8 3 7 4 4" xfId="36503"/>
    <cellStyle name="Normal 2 8 3 7 4 5" xfId="36504"/>
    <cellStyle name="Normal 2 8 3 7 4 6" xfId="36505"/>
    <cellStyle name="Normal 2 8 3 7 5" xfId="36506"/>
    <cellStyle name="Normal 2 8 3 7 5 2" xfId="36507"/>
    <cellStyle name="Normal 2 8 3 7 5 2 2" xfId="36508"/>
    <cellStyle name="Normal 2 8 3 7 5 3" xfId="36509"/>
    <cellStyle name="Normal 2 8 3 7 5 4" xfId="36510"/>
    <cellStyle name="Normal 2 8 3 7 5 5" xfId="36511"/>
    <cellStyle name="Normal 2 8 3 7 6" xfId="36512"/>
    <cellStyle name="Normal 2 8 3 7 6 2" xfId="36513"/>
    <cellStyle name="Normal 2 8 3 7 6 3" xfId="36514"/>
    <cellStyle name="Normal 2 8 3 7 6 4" xfId="36515"/>
    <cellStyle name="Normal 2 8 3 7 7" xfId="36516"/>
    <cellStyle name="Normal 2 8 3 7 7 2" xfId="36517"/>
    <cellStyle name="Normal 2 8 3 7 8" xfId="36518"/>
    <cellStyle name="Normal 2 8 3 7 9" xfId="36519"/>
    <cellStyle name="Normal 2 8 3 8" xfId="36520"/>
    <cellStyle name="Normal 2 8 3 8 10" xfId="36521"/>
    <cellStyle name="Normal 2 8 3 8 2" xfId="36522"/>
    <cellStyle name="Normal 2 8 3 8 2 2" xfId="36523"/>
    <cellStyle name="Normal 2 8 3 8 2 2 2" xfId="36524"/>
    <cellStyle name="Normal 2 8 3 8 2 2 3" xfId="36525"/>
    <cellStyle name="Normal 2 8 3 8 2 3" xfId="36526"/>
    <cellStyle name="Normal 2 8 3 8 2 4" xfId="36527"/>
    <cellStyle name="Normal 2 8 3 8 2 5" xfId="36528"/>
    <cellStyle name="Normal 2 8 3 8 2 6" xfId="36529"/>
    <cellStyle name="Normal 2 8 3 8 3" xfId="36530"/>
    <cellStyle name="Normal 2 8 3 8 3 2" xfId="36531"/>
    <cellStyle name="Normal 2 8 3 8 3 2 2" xfId="36532"/>
    <cellStyle name="Normal 2 8 3 8 3 2 3" xfId="36533"/>
    <cellStyle name="Normal 2 8 3 8 3 3" xfId="36534"/>
    <cellStyle name="Normal 2 8 3 8 3 4" xfId="36535"/>
    <cellStyle name="Normal 2 8 3 8 3 5" xfId="36536"/>
    <cellStyle name="Normal 2 8 3 8 3 6" xfId="36537"/>
    <cellStyle name="Normal 2 8 3 8 4" xfId="36538"/>
    <cellStyle name="Normal 2 8 3 8 4 2" xfId="36539"/>
    <cellStyle name="Normal 2 8 3 8 4 2 2" xfId="36540"/>
    <cellStyle name="Normal 2 8 3 8 4 3" xfId="36541"/>
    <cellStyle name="Normal 2 8 3 8 4 4" xfId="36542"/>
    <cellStyle name="Normal 2 8 3 8 4 5" xfId="36543"/>
    <cellStyle name="Normal 2 8 3 8 5" xfId="36544"/>
    <cellStyle name="Normal 2 8 3 8 5 2" xfId="36545"/>
    <cellStyle name="Normal 2 8 3 8 5 3" xfId="36546"/>
    <cellStyle name="Normal 2 8 3 8 5 4" xfId="36547"/>
    <cellStyle name="Normal 2 8 3 8 6" xfId="36548"/>
    <cellStyle name="Normal 2 8 3 8 6 2" xfId="36549"/>
    <cellStyle name="Normal 2 8 3 8 7" xfId="36550"/>
    <cellStyle name="Normal 2 8 3 8 8" xfId="36551"/>
    <cellStyle name="Normal 2 8 3 8 9" xfId="36552"/>
    <cellStyle name="Normal 2 8 3 9" xfId="36553"/>
    <cellStyle name="Normal 2 8 3 9 10" xfId="36554"/>
    <cellStyle name="Normal 2 8 3 9 2" xfId="36555"/>
    <cellStyle name="Normal 2 8 3 9 2 2" xfId="36556"/>
    <cellStyle name="Normal 2 8 3 9 2 2 2" xfId="36557"/>
    <cellStyle name="Normal 2 8 3 9 2 2 3" xfId="36558"/>
    <cellStyle name="Normal 2 8 3 9 2 3" xfId="36559"/>
    <cellStyle name="Normal 2 8 3 9 2 4" xfId="36560"/>
    <cellStyle name="Normal 2 8 3 9 2 5" xfId="36561"/>
    <cellStyle name="Normal 2 8 3 9 2 6" xfId="36562"/>
    <cellStyle name="Normal 2 8 3 9 3" xfId="36563"/>
    <cellStyle name="Normal 2 8 3 9 3 2" xfId="36564"/>
    <cellStyle name="Normal 2 8 3 9 3 2 2" xfId="36565"/>
    <cellStyle name="Normal 2 8 3 9 3 2 3" xfId="36566"/>
    <cellStyle name="Normal 2 8 3 9 3 3" xfId="36567"/>
    <cellStyle name="Normal 2 8 3 9 3 4" xfId="36568"/>
    <cellStyle name="Normal 2 8 3 9 3 5" xfId="36569"/>
    <cellStyle name="Normal 2 8 3 9 3 6" xfId="36570"/>
    <cellStyle name="Normal 2 8 3 9 4" xfId="36571"/>
    <cellStyle name="Normal 2 8 3 9 4 2" xfId="36572"/>
    <cellStyle name="Normal 2 8 3 9 4 2 2" xfId="36573"/>
    <cellStyle name="Normal 2 8 3 9 4 3" xfId="36574"/>
    <cellStyle name="Normal 2 8 3 9 4 4" xfId="36575"/>
    <cellStyle name="Normal 2 8 3 9 4 5" xfId="36576"/>
    <cellStyle name="Normal 2 8 3 9 5" xfId="36577"/>
    <cellStyle name="Normal 2 8 3 9 5 2" xfId="36578"/>
    <cellStyle name="Normal 2 8 3 9 5 3" xfId="36579"/>
    <cellStyle name="Normal 2 8 3 9 5 4" xfId="36580"/>
    <cellStyle name="Normal 2 8 3 9 6" xfId="36581"/>
    <cellStyle name="Normal 2 8 3 9 6 2" xfId="36582"/>
    <cellStyle name="Normal 2 8 3 9 7" xfId="36583"/>
    <cellStyle name="Normal 2 8 3 9 8" xfId="36584"/>
    <cellStyle name="Normal 2 8 3 9 9" xfId="36585"/>
    <cellStyle name="Normal 2 8 30" xfId="36586"/>
    <cellStyle name="Normal 2 8 30 2" xfId="36587"/>
    <cellStyle name="Normal 2 8 30 2 2" xfId="36588"/>
    <cellStyle name="Normal 2 8 30 2 2 2" xfId="36589"/>
    <cellStyle name="Normal 2 8 30 2 2 3" xfId="36590"/>
    <cellStyle name="Normal 2 8 30 2 3" xfId="36591"/>
    <cellStyle name="Normal 2 8 30 2 4" xfId="36592"/>
    <cellStyle name="Normal 2 8 30 2 5" xfId="36593"/>
    <cellStyle name="Normal 2 8 30 2 6" xfId="36594"/>
    <cellStyle name="Normal 2 8 30 3" xfId="36595"/>
    <cellStyle name="Normal 2 8 30 3 2" xfId="36596"/>
    <cellStyle name="Normal 2 8 30 3 2 2" xfId="36597"/>
    <cellStyle name="Normal 2 8 30 3 3" xfId="36598"/>
    <cellStyle name="Normal 2 8 30 3 4" xfId="36599"/>
    <cellStyle name="Normal 2 8 30 3 5" xfId="36600"/>
    <cellStyle name="Normal 2 8 30 4" xfId="36601"/>
    <cellStyle name="Normal 2 8 30 4 2" xfId="36602"/>
    <cellStyle name="Normal 2 8 30 4 3" xfId="36603"/>
    <cellStyle name="Normal 2 8 30 4 4" xfId="36604"/>
    <cellStyle name="Normal 2 8 30 5" xfId="36605"/>
    <cellStyle name="Normal 2 8 30 5 2" xfId="36606"/>
    <cellStyle name="Normal 2 8 30 6" xfId="36607"/>
    <cellStyle name="Normal 2 8 30 7" xfId="36608"/>
    <cellStyle name="Normal 2 8 30 8" xfId="36609"/>
    <cellStyle name="Normal 2 8 30 9" xfId="36610"/>
    <cellStyle name="Normal 2 8 31" xfId="36611"/>
    <cellStyle name="Normal 2 8 31 2" xfId="36612"/>
    <cellStyle name="Normal 2 8 31 2 2" xfId="36613"/>
    <cellStyle name="Normal 2 8 31 2 2 2" xfId="36614"/>
    <cellStyle name="Normal 2 8 31 2 2 3" xfId="36615"/>
    <cellStyle name="Normal 2 8 31 2 3" xfId="36616"/>
    <cellStyle name="Normal 2 8 31 2 4" xfId="36617"/>
    <cellStyle name="Normal 2 8 31 2 5" xfId="36618"/>
    <cellStyle name="Normal 2 8 31 2 6" xfId="36619"/>
    <cellStyle name="Normal 2 8 31 3" xfId="36620"/>
    <cellStyle name="Normal 2 8 31 3 2" xfId="36621"/>
    <cellStyle name="Normal 2 8 31 3 2 2" xfId="36622"/>
    <cellStyle name="Normal 2 8 31 3 3" xfId="36623"/>
    <cellStyle name="Normal 2 8 31 3 4" xfId="36624"/>
    <cellStyle name="Normal 2 8 31 3 5" xfId="36625"/>
    <cellStyle name="Normal 2 8 31 4" xfId="36626"/>
    <cellStyle name="Normal 2 8 31 4 2" xfId="36627"/>
    <cellStyle name="Normal 2 8 31 4 3" xfId="36628"/>
    <cellStyle name="Normal 2 8 31 4 4" xfId="36629"/>
    <cellStyle name="Normal 2 8 31 5" xfId="36630"/>
    <cellStyle name="Normal 2 8 31 5 2" xfId="36631"/>
    <cellStyle name="Normal 2 8 31 6" xfId="36632"/>
    <cellStyle name="Normal 2 8 31 7" xfId="36633"/>
    <cellStyle name="Normal 2 8 31 8" xfId="36634"/>
    <cellStyle name="Normal 2 8 31 9" xfId="36635"/>
    <cellStyle name="Normal 2 8 32" xfId="36636"/>
    <cellStyle name="Normal 2 8 32 2" xfId="36637"/>
    <cellStyle name="Normal 2 8 32 2 2" xfId="36638"/>
    <cellStyle name="Normal 2 8 32 2 3" xfId="36639"/>
    <cellStyle name="Normal 2 8 32 3" xfId="36640"/>
    <cellStyle name="Normal 2 8 32 4" xfId="36641"/>
    <cellStyle name="Normal 2 8 32 5" xfId="36642"/>
    <cellStyle name="Normal 2 8 32 6" xfId="36643"/>
    <cellStyle name="Normal 2 8 33" xfId="36644"/>
    <cellStyle name="Normal 2 8 33 2" xfId="36645"/>
    <cellStyle name="Normal 2 8 33 2 2" xfId="36646"/>
    <cellStyle name="Normal 2 8 33 3" xfId="36647"/>
    <cellStyle name="Normal 2 8 33 4" xfId="36648"/>
    <cellStyle name="Normal 2 8 33 5" xfId="36649"/>
    <cellStyle name="Normal 2 8 34" xfId="36650"/>
    <cellStyle name="Normal 2 8 34 2" xfId="36651"/>
    <cellStyle name="Normal 2 8 34 2 2" xfId="36652"/>
    <cellStyle name="Normal 2 8 34 3" xfId="36653"/>
    <cellStyle name="Normal 2 8 34 4" xfId="36654"/>
    <cellStyle name="Normal 2 8 34 5" xfId="36655"/>
    <cellStyle name="Normal 2 8 35" xfId="36656"/>
    <cellStyle name="Normal 2 8 35 2" xfId="36657"/>
    <cellStyle name="Normal 2 8 36" xfId="36658"/>
    <cellStyle name="Normal 2 8 37" xfId="36659"/>
    <cellStyle name="Normal 2 8 38" xfId="36660"/>
    <cellStyle name="Normal 2 8 39" xfId="36661"/>
    <cellStyle name="Normal 2 8 4" xfId="36662"/>
    <cellStyle name="Normal 2 8 4 10" xfId="36663"/>
    <cellStyle name="Normal 2 8 4 10 10" xfId="36664"/>
    <cellStyle name="Normal 2 8 4 10 2" xfId="36665"/>
    <cellStyle name="Normal 2 8 4 10 2 2" xfId="36666"/>
    <cellStyle name="Normal 2 8 4 10 2 2 2" xfId="36667"/>
    <cellStyle name="Normal 2 8 4 10 2 2 3" xfId="36668"/>
    <cellStyle name="Normal 2 8 4 10 2 3" xfId="36669"/>
    <cellStyle name="Normal 2 8 4 10 2 4" xfId="36670"/>
    <cellStyle name="Normal 2 8 4 10 2 5" xfId="36671"/>
    <cellStyle name="Normal 2 8 4 10 2 6" xfId="36672"/>
    <cellStyle name="Normal 2 8 4 10 3" xfId="36673"/>
    <cellStyle name="Normal 2 8 4 10 3 2" xfId="36674"/>
    <cellStyle name="Normal 2 8 4 10 3 2 2" xfId="36675"/>
    <cellStyle name="Normal 2 8 4 10 3 2 3" xfId="36676"/>
    <cellStyle name="Normal 2 8 4 10 3 3" xfId="36677"/>
    <cellStyle name="Normal 2 8 4 10 3 4" xfId="36678"/>
    <cellStyle name="Normal 2 8 4 10 3 5" xfId="36679"/>
    <cellStyle name="Normal 2 8 4 10 3 6" xfId="36680"/>
    <cellStyle name="Normal 2 8 4 10 4" xfId="36681"/>
    <cellStyle name="Normal 2 8 4 10 4 2" xfId="36682"/>
    <cellStyle name="Normal 2 8 4 10 4 2 2" xfId="36683"/>
    <cellStyle name="Normal 2 8 4 10 4 3" xfId="36684"/>
    <cellStyle name="Normal 2 8 4 10 4 4" xfId="36685"/>
    <cellStyle name="Normal 2 8 4 10 4 5" xfId="36686"/>
    <cellStyle name="Normal 2 8 4 10 5" xfId="36687"/>
    <cellStyle name="Normal 2 8 4 10 5 2" xfId="36688"/>
    <cellStyle name="Normal 2 8 4 10 5 3" xfId="36689"/>
    <cellStyle name="Normal 2 8 4 10 5 4" xfId="36690"/>
    <cellStyle name="Normal 2 8 4 10 6" xfId="36691"/>
    <cellStyle name="Normal 2 8 4 10 6 2" xfId="36692"/>
    <cellStyle name="Normal 2 8 4 10 7" xfId="36693"/>
    <cellStyle name="Normal 2 8 4 10 8" xfId="36694"/>
    <cellStyle name="Normal 2 8 4 10 9" xfId="36695"/>
    <cellStyle name="Normal 2 8 4 11" xfId="36696"/>
    <cellStyle name="Normal 2 8 4 11 10" xfId="36697"/>
    <cellStyle name="Normal 2 8 4 11 2" xfId="36698"/>
    <cellStyle name="Normal 2 8 4 11 2 2" xfId="36699"/>
    <cellStyle name="Normal 2 8 4 11 2 2 2" xfId="36700"/>
    <cellStyle name="Normal 2 8 4 11 2 2 3" xfId="36701"/>
    <cellStyle name="Normal 2 8 4 11 2 3" xfId="36702"/>
    <cellStyle name="Normal 2 8 4 11 2 4" xfId="36703"/>
    <cellStyle name="Normal 2 8 4 11 2 5" xfId="36704"/>
    <cellStyle name="Normal 2 8 4 11 2 6" xfId="36705"/>
    <cellStyle name="Normal 2 8 4 11 3" xfId="36706"/>
    <cellStyle name="Normal 2 8 4 11 3 2" xfId="36707"/>
    <cellStyle name="Normal 2 8 4 11 3 2 2" xfId="36708"/>
    <cellStyle name="Normal 2 8 4 11 3 2 3" xfId="36709"/>
    <cellStyle name="Normal 2 8 4 11 3 3" xfId="36710"/>
    <cellStyle name="Normal 2 8 4 11 3 4" xfId="36711"/>
    <cellStyle name="Normal 2 8 4 11 3 5" xfId="36712"/>
    <cellStyle name="Normal 2 8 4 11 3 6" xfId="36713"/>
    <cellStyle name="Normal 2 8 4 11 4" xfId="36714"/>
    <cellStyle name="Normal 2 8 4 11 4 2" xfId="36715"/>
    <cellStyle name="Normal 2 8 4 11 4 2 2" xfId="36716"/>
    <cellStyle name="Normal 2 8 4 11 4 3" xfId="36717"/>
    <cellStyle name="Normal 2 8 4 11 4 4" xfId="36718"/>
    <cellStyle name="Normal 2 8 4 11 4 5" xfId="36719"/>
    <cellStyle name="Normal 2 8 4 11 5" xfId="36720"/>
    <cellStyle name="Normal 2 8 4 11 5 2" xfId="36721"/>
    <cellStyle name="Normal 2 8 4 11 5 3" xfId="36722"/>
    <cellStyle name="Normal 2 8 4 11 5 4" xfId="36723"/>
    <cellStyle name="Normal 2 8 4 11 6" xfId="36724"/>
    <cellStyle name="Normal 2 8 4 11 6 2" xfId="36725"/>
    <cellStyle name="Normal 2 8 4 11 7" xfId="36726"/>
    <cellStyle name="Normal 2 8 4 11 8" xfId="36727"/>
    <cellStyle name="Normal 2 8 4 11 9" xfId="36728"/>
    <cellStyle name="Normal 2 8 4 12" xfId="36729"/>
    <cellStyle name="Normal 2 8 4 12 10" xfId="36730"/>
    <cellStyle name="Normal 2 8 4 12 2" xfId="36731"/>
    <cellStyle name="Normal 2 8 4 12 2 2" xfId="36732"/>
    <cellStyle name="Normal 2 8 4 12 2 2 2" xfId="36733"/>
    <cellStyle name="Normal 2 8 4 12 2 2 3" xfId="36734"/>
    <cellStyle name="Normal 2 8 4 12 2 3" xfId="36735"/>
    <cellStyle name="Normal 2 8 4 12 2 4" xfId="36736"/>
    <cellStyle name="Normal 2 8 4 12 2 5" xfId="36737"/>
    <cellStyle name="Normal 2 8 4 12 2 6" xfId="36738"/>
    <cellStyle name="Normal 2 8 4 12 3" xfId="36739"/>
    <cellStyle name="Normal 2 8 4 12 3 2" xfId="36740"/>
    <cellStyle name="Normal 2 8 4 12 3 2 2" xfId="36741"/>
    <cellStyle name="Normal 2 8 4 12 3 2 3" xfId="36742"/>
    <cellStyle name="Normal 2 8 4 12 3 3" xfId="36743"/>
    <cellStyle name="Normal 2 8 4 12 3 4" xfId="36744"/>
    <cellStyle name="Normal 2 8 4 12 3 5" xfId="36745"/>
    <cellStyle name="Normal 2 8 4 12 3 6" xfId="36746"/>
    <cellStyle name="Normal 2 8 4 12 4" xfId="36747"/>
    <cellStyle name="Normal 2 8 4 12 4 2" xfId="36748"/>
    <cellStyle name="Normal 2 8 4 12 4 2 2" xfId="36749"/>
    <cellStyle name="Normal 2 8 4 12 4 3" xfId="36750"/>
    <cellStyle name="Normal 2 8 4 12 4 4" xfId="36751"/>
    <cellStyle name="Normal 2 8 4 12 4 5" xfId="36752"/>
    <cellStyle name="Normal 2 8 4 12 5" xfId="36753"/>
    <cellStyle name="Normal 2 8 4 12 5 2" xfId="36754"/>
    <cellStyle name="Normal 2 8 4 12 5 3" xfId="36755"/>
    <cellStyle name="Normal 2 8 4 12 5 4" xfId="36756"/>
    <cellStyle name="Normal 2 8 4 12 6" xfId="36757"/>
    <cellStyle name="Normal 2 8 4 12 6 2" xfId="36758"/>
    <cellStyle name="Normal 2 8 4 12 7" xfId="36759"/>
    <cellStyle name="Normal 2 8 4 12 8" xfId="36760"/>
    <cellStyle name="Normal 2 8 4 12 9" xfId="36761"/>
    <cellStyle name="Normal 2 8 4 13" xfId="36762"/>
    <cellStyle name="Normal 2 8 4 13 2" xfId="36763"/>
    <cellStyle name="Normal 2 8 4 13 2 2" xfId="36764"/>
    <cellStyle name="Normal 2 8 4 13 2 2 2" xfId="36765"/>
    <cellStyle name="Normal 2 8 4 13 2 2 3" xfId="36766"/>
    <cellStyle name="Normal 2 8 4 13 2 3" xfId="36767"/>
    <cellStyle name="Normal 2 8 4 13 2 4" xfId="36768"/>
    <cellStyle name="Normal 2 8 4 13 2 5" xfId="36769"/>
    <cellStyle name="Normal 2 8 4 13 2 6" xfId="36770"/>
    <cellStyle name="Normal 2 8 4 13 3" xfId="36771"/>
    <cellStyle name="Normal 2 8 4 13 3 2" xfId="36772"/>
    <cellStyle name="Normal 2 8 4 13 3 2 2" xfId="36773"/>
    <cellStyle name="Normal 2 8 4 13 3 3" xfId="36774"/>
    <cellStyle name="Normal 2 8 4 13 3 4" xfId="36775"/>
    <cellStyle name="Normal 2 8 4 13 3 5" xfId="36776"/>
    <cellStyle name="Normal 2 8 4 13 4" xfId="36777"/>
    <cellStyle name="Normal 2 8 4 13 4 2" xfId="36778"/>
    <cellStyle name="Normal 2 8 4 13 4 3" xfId="36779"/>
    <cellStyle name="Normal 2 8 4 13 4 4" xfId="36780"/>
    <cellStyle name="Normal 2 8 4 13 5" xfId="36781"/>
    <cellStyle name="Normal 2 8 4 13 5 2" xfId="36782"/>
    <cellStyle name="Normal 2 8 4 13 6" xfId="36783"/>
    <cellStyle name="Normal 2 8 4 13 7" xfId="36784"/>
    <cellStyle name="Normal 2 8 4 13 8" xfId="36785"/>
    <cellStyle name="Normal 2 8 4 13 9" xfId="36786"/>
    <cellStyle name="Normal 2 8 4 14" xfId="36787"/>
    <cellStyle name="Normal 2 8 4 14 2" xfId="36788"/>
    <cellStyle name="Normal 2 8 4 14 2 2" xfId="36789"/>
    <cellStyle name="Normal 2 8 4 14 2 2 2" xfId="36790"/>
    <cellStyle name="Normal 2 8 4 14 2 2 3" xfId="36791"/>
    <cellStyle name="Normal 2 8 4 14 2 3" xfId="36792"/>
    <cellStyle name="Normal 2 8 4 14 2 4" xfId="36793"/>
    <cellStyle name="Normal 2 8 4 14 2 5" xfId="36794"/>
    <cellStyle name="Normal 2 8 4 14 2 6" xfId="36795"/>
    <cellStyle name="Normal 2 8 4 14 3" xfId="36796"/>
    <cellStyle name="Normal 2 8 4 14 3 2" xfId="36797"/>
    <cellStyle name="Normal 2 8 4 14 3 2 2" xfId="36798"/>
    <cellStyle name="Normal 2 8 4 14 3 3" xfId="36799"/>
    <cellStyle name="Normal 2 8 4 14 3 4" xfId="36800"/>
    <cellStyle name="Normal 2 8 4 14 3 5" xfId="36801"/>
    <cellStyle name="Normal 2 8 4 14 4" xfId="36802"/>
    <cellStyle name="Normal 2 8 4 14 4 2" xfId="36803"/>
    <cellStyle name="Normal 2 8 4 14 4 3" xfId="36804"/>
    <cellStyle name="Normal 2 8 4 14 4 4" xfId="36805"/>
    <cellStyle name="Normal 2 8 4 14 5" xfId="36806"/>
    <cellStyle name="Normal 2 8 4 14 5 2" xfId="36807"/>
    <cellStyle name="Normal 2 8 4 14 6" xfId="36808"/>
    <cellStyle name="Normal 2 8 4 14 7" xfId="36809"/>
    <cellStyle name="Normal 2 8 4 14 8" xfId="36810"/>
    <cellStyle name="Normal 2 8 4 14 9" xfId="36811"/>
    <cellStyle name="Normal 2 8 4 15" xfId="36812"/>
    <cellStyle name="Normal 2 8 4 15 2" xfId="36813"/>
    <cellStyle name="Normal 2 8 4 15 2 2" xfId="36814"/>
    <cellStyle name="Normal 2 8 4 15 2 3" xfId="36815"/>
    <cellStyle name="Normal 2 8 4 15 3" xfId="36816"/>
    <cellStyle name="Normal 2 8 4 15 4" xfId="36817"/>
    <cellStyle name="Normal 2 8 4 15 5" xfId="36818"/>
    <cellStyle name="Normal 2 8 4 15 6" xfId="36819"/>
    <cellStyle name="Normal 2 8 4 16" xfId="36820"/>
    <cellStyle name="Normal 2 8 4 16 2" xfId="36821"/>
    <cellStyle name="Normal 2 8 4 16 2 2" xfId="36822"/>
    <cellStyle name="Normal 2 8 4 16 3" xfId="36823"/>
    <cellStyle name="Normal 2 8 4 16 4" xfId="36824"/>
    <cellStyle name="Normal 2 8 4 16 5" xfId="36825"/>
    <cellStyle name="Normal 2 8 4 17" xfId="36826"/>
    <cellStyle name="Normal 2 8 4 17 2" xfId="36827"/>
    <cellStyle name="Normal 2 8 4 17 2 2" xfId="36828"/>
    <cellStyle name="Normal 2 8 4 17 3" xfId="36829"/>
    <cellStyle name="Normal 2 8 4 17 4" xfId="36830"/>
    <cellStyle name="Normal 2 8 4 17 5" xfId="36831"/>
    <cellStyle name="Normal 2 8 4 18" xfId="36832"/>
    <cellStyle name="Normal 2 8 4 18 2" xfId="36833"/>
    <cellStyle name="Normal 2 8 4 19" xfId="36834"/>
    <cellStyle name="Normal 2 8 4 2" xfId="36835"/>
    <cellStyle name="Normal 2 8 4 2 10" xfId="36836"/>
    <cellStyle name="Normal 2 8 4 2 11" xfId="36837"/>
    <cellStyle name="Normal 2 8 4 2 2" xfId="36838"/>
    <cellStyle name="Normal 2 8 4 2 2 2" xfId="36839"/>
    <cellStyle name="Normal 2 8 4 2 2 2 2" xfId="36840"/>
    <cellStyle name="Normal 2 8 4 2 2 2 2 2" xfId="36841"/>
    <cellStyle name="Normal 2 8 4 2 2 2 2 3" xfId="36842"/>
    <cellStyle name="Normal 2 8 4 2 2 2 3" xfId="36843"/>
    <cellStyle name="Normal 2 8 4 2 2 2 4" xfId="36844"/>
    <cellStyle name="Normal 2 8 4 2 2 2 5" xfId="36845"/>
    <cellStyle name="Normal 2 8 4 2 2 2 6" xfId="36846"/>
    <cellStyle name="Normal 2 8 4 2 2 3" xfId="36847"/>
    <cellStyle name="Normal 2 8 4 2 2 3 2" xfId="36848"/>
    <cellStyle name="Normal 2 8 4 2 2 3 2 2" xfId="36849"/>
    <cellStyle name="Normal 2 8 4 2 2 3 3" xfId="36850"/>
    <cellStyle name="Normal 2 8 4 2 2 3 4" xfId="36851"/>
    <cellStyle name="Normal 2 8 4 2 2 3 5" xfId="36852"/>
    <cellStyle name="Normal 2 8 4 2 2 4" xfId="36853"/>
    <cellStyle name="Normal 2 8 4 2 2 4 2" xfId="36854"/>
    <cellStyle name="Normal 2 8 4 2 2 4 3" xfId="36855"/>
    <cellStyle name="Normal 2 8 4 2 2 4 4" xfId="36856"/>
    <cellStyle name="Normal 2 8 4 2 2 5" xfId="36857"/>
    <cellStyle name="Normal 2 8 4 2 2 5 2" xfId="36858"/>
    <cellStyle name="Normal 2 8 4 2 2 6" xfId="36859"/>
    <cellStyle name="Normal 2 8 4 2 2 7" xfId="36860"/>
    <cellStyle name="Normal 2 8 4 2 2 8" xfId="36861"/>
    <cellStyle name="Normal 2 8 4 2 2 9" xfId="36862"/>
    <cellStyle name="Normal 2 8 4 2 3" xfId="36863"/>
    <cellStyle name="Normal 2 8 4 2 3 2" xfId="36864"/>
    <cellStyle name="Normal 2 8 4 2 3 2 2" xfId="36865"/>
    <cellStyle name="Normal 2 8 4 2 3 2 2 2" xfId="36866"/>
    <cellStyle name="Normal 2 8 4 2 3 2 2 3" xfId="36867"/>
    <cellStyle name="Normal 2 8 4 2 3 2 3" xfId="36868"/>
    <cellStyle name="Normal 2 8 4 2 3 2 4" xfId="36869"/>
    <cellStyle name="Normal 2 8 4 2 3 2 5" xfId="36870"/>
    <cellStyle name="Normal 2 8 4 2 3 2 6" xfId="36871"/>
    <cellStyle name="Normal 2 8 4 2 3 3" xfId="36872"/>
    <cellStyle name="Normal 2 8 4 2 3 3 2" xfId="36873"/>
    <cellStyle name="Normal 2 8 4 2 3 3 2 2" xfId="36874"/>
    <cellStyle name="Normal 2 8 4 2 3 3 3" xfId="36875"/>
    <cellStyle name="Normal 2 8 4 2 3 3 4" xfId="36876"/>
    <cellStyle name="Normal 2 8 4 2 3 3 5" xfId="36877"/>
    <cellStyle name="Normal 2 8 4 2 3 4" xfId="36878"/>
    <cellStyle name="Normal 2 8 4 2 3 4 2" xfId="36879"/>
    <cellStyle name="Normal 2 8 4 2 3 4 3" xfId="36880"/>
    <cellStyle name="Normal 2 8 4 2 3 4 4" xfId="36881"/>
    <cellStyle name="Normal 2 8 4 2 3 5" xfId="36882"/>
    <cellStyle name="Normal 2 8 4 2 3 5 2" xfId="36883"/>
    <cellStyle name="Normal 2 8 4 2 3 6" xfId="36884"/>
    <cellStyle name="Normal 2 8 4 2 3 7" xfId="36885"/>
    <cellStyle name="Normal 2 8 4 2 3 8" xfId="36886"/>
    <cellStyle name="Normal 2 8 4 2 3 9" xfId="36887"/>
    <cellStyle name="Normal 2 8 4 2 4" xfId="36888"/>
    <cellStyle name="Normal 2 8 4 2 4 2" xfId="36889"/>
    <cellStyle name="Normal 2 8 4 2 4 2 2" xfId="36890"/>
    <cellStyle name="Normal 2 8 4 2 4 2 3" xfId="36891"/>
    <cellStyle name="Normal 2 8 4 2 4 3" xfId="36892"/>
    <cellStyle name="Normal 2 8 4 2 4 4" xfId="36893"/>
    <cellStyle name="Normal 2 8 4 2 4 5" xfId="36894"/>
    <cellStyle name="Normal 2 8 4 2 4 6" xfId="36895"/>
    <cellStyle name="Normal 2 8 4 2 5" xfId="36896"/>
    <cellStyle name="Normal 2 8 4 2 5 2" xfId="36897"/>
    <cellStyle name="Normal 2 8 4 2 5 2 2" xfId="36898"/>
    <cellStyle name="Normal 2 8 4 2 5 3" xfId="36899"/>
    <cellStyle name="Normal 2 8 4 2 5 4" xfId="36900"/>
    <cellStyle name="Normal 2 8 4 2 5 5" xfId="36901"/>
    <cellStyle name="Normal 2 8 4 2 6" xfId="36902"/>
    <cellStyle name="Normal 2 8 4 2 6 2" xfId="36903"/>
    <cellStyle name="Normal 2 8 4 2 6 3" xfId="36904"/>
    <cellStyle name="Normal 2 8 4 2 6 4" xfId="36905"/>
    <cellStyle name="Normal 2 8 4 2 7" xfId="36906"/>
    <cellStyle name="Normal 2 8 4 2 7 2" xfId="36907"/>
    <cellStyle name="Normal 2 8 4 2 8" xfId="36908"/>
    <cellStyle name="Normal 2 8 4 2 9" xfId="36909"/>
    <cellStyle name="Normal 2 8 4 20" xfId="36910"/>
    <cellStyle name="Normal 2 8 4 21" xfId="36911"/>
    <cellStyle name="Normal 2 8 4 22" xfId="36912"/>
    <cellStyle name="Normal 2 8 4 3" xfId="36913"/>
    <cellStyle name="Normal 2 8 4 3 10" xfId="36914"/>
    <cellStyle name="Normal 2 8 4 3 11" xfId="36915"/>
    <cellStyle name="Normal 2 8 4 3 2" xfId="36916"/>
    <cellStyle name="Normal 2 8 4 3 2 2" xfId="36917"/>
    <cellStyle name="Normal 2 8 4 3 2 2 2" xfId="36918"/>
    <cellStyle name="Normal 2 8 4 3 2 2 2 2" xfId="36919"/>
    <cellStyle name="Normal 2 8 4 3 2 2 2 3" xfId="36920"/>
    <cellStyle name="Normal 2 8 4 3 2 2 3" xfId="36921"/>
    <cellStyle name="Normal 2 8 4 3 2 2 4" xfId="36922"/>
    <cellStyle name="Normal 2 8 4 3 2 2 5" xfId="36923"/>
    <cellStyle name="Normal 2 8 4 3 2 2 6" xfId="36924"/>
    <cellStyle name="Normal 2 8 4 3 2 3" xfId="36925"/>
    <cellStyle name="Normal 2 8 4 3 2 3 2" xfId="36926"/>
    <cellStyle name="Normal 2 8 4 3 2 3 2 2" xfId="36927"/>
    <cellStyle name="Normal 2 8 4 3 2 3 3" xfId="36928"/>
    <cellStyle name="Normal 2 8 4 3 2 3 4" xfId="36929"/>
    <cellStyle name="Normal 2 8 4 3 2 3 5" xfId="36930"/>
    <cellStyle name="Normal 2 8 4 3 2 4" xfId="36931"/>
    <cellStyle name="Normal 2 8 4 3 2 4 2" xfId="36932"/>
    <cellStyle name="Normal 2 8 4 3 2 4 3" xfId="36933"/>
    <cellStyle name="Normal 2 8 4 3 2 4 4" xfId="36934"/>
    <cellStyle name="Normal 2 8 4 3 2 5" xfId="36935"/>
    <cellStyle name="Normal 2 8 4 3 2 5 2" xfId="36936"/>
    <cellStyle name="Normal 2 8 4 3 2 6" xfId="36937"/>
    <cellStyle name="Normal 2 8 4 3 2 7" xfId="36938"/>
    <cellStyle name="Normal 2 8 4 3 2 8" xfId="36939"/>
    <cellStyle name="Normal 2 8 4 3 2 9" xfId="36940"/>
    <cellStyle name="Normal 2 8 4 3 3" xfId="36941"/>
    <cellStyle name="Normal 2 8 4 3 3 2" xfId="36942"/>
    <cellStyle name="Normal 2 8 4 3 3 2 2" xfId="36943"/>
    <cellStyle name="Normal 2 8 4 3 3 2 2 2" xfId="36944"/>
    <cellStyle name="Normal 2 8 4 3 3 2 2 3" xfId="36945"/>
    <cellStyle name="Normal 2 8 4 3 3 2 3" xfId="36946"/>
    <cellStyle name="Normal 2 8 4 3 3 2 4" xfId="36947"/>
    <cellStyle name="Normal 2 8 4 3 3 2 5" xfId="36948"/>
    <cellStyle name="Normal 2 8 4 3 3 2 6" xfId="36949"/>
    <cellStyle name="Normal 2 8 4 3 3 3" xfId="36950"/>
    <cellStyle name="Normal 2 8 4 3 3 3 2" xfId="36951"/>
    <cellStyle name="Normal 2 8 4 3 3 3 2 2" xfId="36952"/>
    <cellStyle name="Normal 2 8 4 3 3 3 3" xfId="36953"/>
    <cellStyle name="Normal 2 8 4 3 3 3 4" xfId="36954"/>
    <cellStyle name="Normal 2 8 4 3 3 3 5" xfId="36955"/>
    <cellStyle name="Normal 2 8 4 3 3 4" xfId="36956"/>
    <cellStyle name="Normal 2 8 4 3 3 4 2" xfId="36957"/>
    <cellStyle name="Normal 2 8 4 3 3 4 3" xfId="36958"/>
    <cellStyle name="Normal 2 8 4 3 3 4 4" xfId="36959"/>
    <cellStyle name="Normal 2 8 4 3 3 5" xfId="36960"/>
    <cellStyle name="Normal 2 8 4 3 3 5 2" xfId="36961"/>
    <cellStyle name="Normal 2 8 4 3 3 6" xfId="36962"/>
    <cellStyle name="Normal 2 8 4 3 3 7" xfId="36963"/>
    <cellStyle name="Normal 2 8 4 3 3 8" xfId="36964"/>
    <cellStyle name="Normal 2 8 4 3 3 9" xfId="36965"/>
    <cellStyle name="Normal 2 8 4 3 4" xfId="36966"/>
    <cellStyle name="Normal 2 8 4 3 4 2" xfId="36967"/>
    <cellStyle name="Normal 2 8 4 3 4 2 2" xfId="36968"/>
    <cellStyle name="Normal 2 8 4 3 4 2 3" xfId="36969"/>
    <cellStyle name="Normal 2 8 4 3 4 3" xfId="36970"/>
    <cellStyle name="Normal 2 8 4 3 4 4" xfId="36971"/>
    <cellStyle name="Normal 2 8 4 3 4 5" xfId="36972"/>
    <cellStyle name="Normal 2 8 4 3 4 6" xfId="36973"/>
    <cellStyle name="Normal 2 8 4 3 5" xfId="36974"/>
    <cellStyle name="Normal 2 8 4 3 5 2" xfId="36975"/>
    <cellStyle name="Normal 2 8 4 3 5 2 2" xfId="36976"/>
    <cellStyle name="Normal 2 8 4 3 5 3" xfId="36977"/>
    <cellStyle name="Normal 2 8 4 3 5 4" xfId="36978"/>
    <cellStyle name="Normal 2 8 4 3 5 5" xfId="36979"/>
    <cellStyle name="Normal 2 8 4 3 6" xfId="36980"/>
    <cellStyle name="Normal 2 8 4 3 6 2" xfId="36981"/>
    <cellStyle name="Normal 2 8 4 3 6 3" xfId="36982"/>
    <cellStyle name="Normal 2 8 4 3 6 4" xfId="36983"/>
    <cellStyle name="Normal 2 8 4 3 7" xfId="36984"/>
    <cellStyle name="Normal 2 8 4 3 7 2" xfId="36985"/>
    <cellStyle name="Normal 2 8 4 3 8" xfId="36986"/>
    <cellStyle name="Normal 2 8 4 3 9" xfId="36987"/>
    <cellStyle name="Normal 2 8 4 4" xfId="36988"/>
    <cellStyle name="Normal 2 8 4 4 10" xfId="36989"/>
    <cellStyle name="Normal 2 8 4 4 11" xfId="36990"/>
    <cellStyle name="Normal 2 8 4 4 2" xfId="36991"/>
    <cellStyle name="Normal 2 8 4 4 2 2" xfId="36992"/>
    <cellStyle name="Normal 2 8 4 4 2 2 2" xfId="36993"/>
    <cellStyle name="Normal 2 8 4 4 2 2 2 2" xfId="36994"/>
    <cellStyle name="Normal 2 8 4 4 2 2 2 3" xfId="36995"/>
    <cellStyle name="Normal 2 8 4 4 2 2 3" xfId="36996"/>
    <cellStyle name="Normal 2 8 4 4 2 2 4" xfId="36997"/>
    <cellStyle name="Normal 2 8 4 4 2 2 5" xfId="36998"/>
    <cellStyle name="Normal 2 8 4 4 2 2 6" xfId="36999"/>
    <cellStyle name="Normal 2 8 4 4 2 3" xfId="37000"/>
    <cellStyle name="Normal 2 8 4 4 2 3 2" xfId="37001"/>
    <cellStyle name="Normal 2 8 4 4 2 3 2 2" xfId="37002"/>
    <cellStyle name="Normal 2 8 4 4 2 3 3" xfId="37003"/>
    <cellStyle name="Normal 2 8 4 4 2 3 4" xfId="37004"/>
    <cellStyle name="Normal 2 8 4 4 2 3 5" xfId="37005"/>
    <cellStyle name="Normal 2 8 4 4 2 4" xfId="37006"/>
    <cellStyle name="Normal 2 8 4 4 2 4 2" xfId="37007"/>
    <cellStyle name="Normal 2 8 4 4 2 4 3" xfId="37008"/>
    <cellStyle name="Normal 2 8 4 4 2 4 4" xfId="37009"/>
    <cellStyle name="Normal 2 8 4 4 2 5" xfId="37010"/>
    <cellStyle name="Normal 2 8 4 4 2 5 2" xfId="37011"/>
    <cellStyle name="Normal 2 8 4 4 2 6" xfId="37012"/>
    <cellStyle name="Normal 2 8 4 4 2 7" xfId="37013"/>
    <cellStyle name="Normal 2 8 4 4 2 8" xfId="37014"/>
    <cellStyle name="Normal 2 8 4 4 2 9" xfId="37015"/>
    <cellStyle name="Normal 2 8 4 4 3" xfId="37016"/>
    <cellStyle name="Normal 2 8 4 4 3 2" xfId="37017"/>
    <cellStyle name="Normal 2 8 4 4 3 2 2" xfId="37018"/>
    <cellStyle name="Normal 2 8 4 4 3 2 2 2" xfId="37019"/>
    <cellStyle name="Normal 2 8 4 4 3 2 2 3" xfId="37020"/>
    <cellStyle name="Normal 2 8 4 4 3 2 3" xfId="37021"/>
    <cellStyle name="Normal 2 8 4 4 3 2 4" xfId="37022"/>
    <cellStyle name="Normal 2 8 4 4 3 2 5" xfId="37023"/>
    <cellStyle name="Normal 2 8 4 4 3 2 6" xfId="37024"/>
    <cellStyle name="Normal 2 8 4 4 3 3" xfId="37025"/>
    <cellStyle name="Normal 2 8 4 4 3 3 2" xfId="37026"/>
    <cellStyle name="Normal 2 8 4 4 3 3 2 2" xfId="37027"/>
    <cellStyle name="Normal 2 8 4 4 3 3 3" xfId="37028"/>
    <cellStyle name="Normal 2 8 4 4 3 3 4" xfId="37029"/>
    <cellStyle name="Normal 2 8 4 4 3 3 5" xfId="37030"/>
    <cellStyle name="Normal 2 8 4 4 3 4" xfId="37031"/>
    <cellStyle name="Normal 2 8 4 4 3 4 2" xfId="37032"/>
    <cellStyle name="Normal 2 8 4 4 3 4 3" xfId="37033"/>
    <cellStyle name="Normal 2 8 4 4 3 4 4" xfId="37034"/>
    <cellStyle name="Normal 2 8 4 4 3 5" xfId="37035"/>
    <cellStyle name="Normal 2 8 4 4 3 5 2" xfId="37036"/>
    <cellStyle name="Normal 2 8 4 4 3 6" xfId="37037"/>
    <cellStyle name="Normal 2 8 4 4 3 7" xfId="37038"/>
    <cellStyle name="Normal 2 8 4 4 3 8" xfId="37039"/>
    <cellStyle name="Normal 2 8 4 4 3 9" xfId="37040"/>
    <cellStyle name="Normal 2 8 4 4 4" xfId="37041"/>
    <cellStyle name="Normal 2 8 4 4 4 2" xfId="37042"/>
    <cellStyle name="Normal 2 8 4 4 4 2 2" xfId="37043"/>
    <cellStyle name="Normal 2 8 4 4 4 2 3" xfId="37044"/>
    <cellStyle name="Normal 2 8 4 4 4 3" xfId="37045"/>
    <cellStyle name="Normal 2 8 4 4 4 4" xfId="37046"/>
    <cellStyle name="Normal 2 8 4 4 4 5" xfId="37047"/>
    <cellStyle name="Normal 2 8 4 4 4 6" xfId="37048"/>
    <cellStyle name="Normal 2 8 4 4 5" xfId="37049"/>
    <cellStyle name="Normal 2 8 4 4 5 2" xfId="37050"/>
    <cellStyle name="Normal 2 8 4 4 5 2 2" xfId="37051"/>
    <cellStyle name="Normal 2 8 4 4 5 3" xfId="37052"/>
    <cellStyle name="Normal 2 8 4 4 5 4" xfId="37053"/>
    <cellStyle name="Normal 2 8 4 4 5 5" xfId="37054"/>
    <cellStyle name="Normal 2 8 4 4 6" xfId="37055"/>
    <cellStyle name="Normal 2 8 4 4 6 2" xfId="37056"/>
    <cellStyle name="Normal 2 8 4 4 6 3" xfId="37057"/>
    <cellStyle name="Normal 2 8 4 4 6 4" xfId="37058"/>
    <cellStyle name="Normal 2 8 4 4 7" xfId="37059"/>
    <cellStyle name="Normal 2 8 4 4 7 2" xfId="37060"/>
    <cellStyle name="Normal 2 8 4 4 8" xfId="37061"/>
    <cellStyle name="Normal 2 8 4 4 9" xfId="37062"/>
    <cellStyle name="Normal 2 8 4 5" xfId="37063"/>
    <cellStyle name="Normal 2 8 4 5 10" xfId="37064"/>
    <cellStyle name="Normal 2 8 4 5 11" xfId="37065"/>
    <cellStyle name="Normal 2 8 4 5 2" xfId="37066"/>
    <cellStyle name="Normal 2 8 4 5 2 2" xfId="37067"/>
    <cellStyle name="Normal 2 8 4 5 2 2 2" xfId="37068"/>
    <cellStyle name="Normal 2 8 4 5 2 2 2 2" xfId="37069"/>
    <cellStyle name="Normal 2 8 4 5 2 2 2 3" xfId="37070"/>
    <cellStyle name="Normal 2 8 4 5 2 2 3" xfId="37071"/>
    <cellStyle name="Normal 2 8 4 5 2 2 4" xfId="37072"/>
    <cellStyle name="Normal 2 8 4 5 2 2 5" xfId="37073"/>
    <cellStyle name="Normal 2 8 4 5 2 2 6" xfId="37074"/>
    <cellStyle name="Normal 2 8 4 5 2 3" xfId="37075"/>
    <cellStyle name="Normal 2 8 4 5 2 3 2" xfId="37076"/>
    <cellStyle name="Normal 2 8 4 5 2 3 2 2" xfId="37077"/>
    <cellStyle name="Normal 2 8 4 5 2 3 3" xfId="37078"/>
    <cellStyle name="Normal 2 8 4 5 2 3 4" xfId="37079"/>
    <cellStyle name="Normal 2 8 4 5 2 3 5" xfId="37080"/>
    <cellStyle name="Normal 2 8 4 5 2 4" xfId="37081"/>
    <cellStyle name="Normal 2 8 4 5 2 4 2" xfId="37082"/>
    <cellStyle name="Normal 2 8 4 5 2 4 3" xfId="37083"/>
    <cellStyle name="Normal 2 8 4 5 2 4 4" xfId="37084"/>
    <cellStyle name="Normal 2 8 4 5 2 5" xfId="37085"/>
    <cellStyle name="Normal 2 8 4 5 2 5 2" xfId="37086"/>
    <cellStyle name="Normal 2 8 4 5 2 6" xfId="37087"/>
    <cellStyle name="Normal 2 8 4 5 2 7" xfId="37088"/>
    <cellStyle name="Normal 2 8 4 5 2 8" xfId="37089"/>
    <cellStyle name="Normal 2 8 4 5 2 9" xfId="37090"/>
    <cellStyle name="Normal 2 8 4 5 3" xfId="37091"/>
    <cellStyle name="Normal 2 8 4 5 3 2" xfId="37092"/>
    <cellStyle name="Normal 2 8 4 5 3 2 2" xfId="37093"/>
    <cellStyle name="Normal 2 8 4 5 3 2 2 2" xfId="37094"/>
    <cellStyle name="Normal 2 8 4 5 3 2 2 3" xfId="37095"/>
    <cellStyle name="Normal 2 8 4 5 3 2 3" xfId="37096"/>
    <cellStyle name="Normal 2 8 4 5 3 2 4" xfId="37097"/>
    <cellStyle name="Normal 2 8 4 5 3 2 5" xfId="37098"/>
    <cellStyle name="Normal 2 8 4 5 3 2 6" xfId="37099"/>
    <cellStyle name="Normal 2 8 4 5 3 3" xfId="37100"/>
    <cellStyle name="Normal 2 8 4 5 3 3 2" xfId="37101"/>
    <cellStyle name="Normal 2 8 4 5 3 3 2 2" xfId="37102"/>
    <cellStyle name="Normal 2 8 4 5 3 3 3" xfId="37103"/>
    <cellStyle name="Normal 2 8 4 5 3 3 4" xfId="37104"/>
    <cellStyle name="Normal 2 8 4 5 3 3 5" xfId="37105"/>
    <cellStyle name="Normal 2 8 4 5 3 4" xfId="37106"/>
    <cellStyle name="Normal 2 8 4 5 3 4 2" xfId="37107"/>
    <cellStyle name="Normal 2 8 4 5 3 4 3" xfId="37108"/>
    <cellStyle name="Normal 2 8 4 5 3 4 4" xfId="37109"/>
    <cellStyle name="Normal 2 8 4 5 3 5" xfId="37110"/>
    <cellStyle name="Normal 2 8 4 5 3 5 2" xfId="37111"/>
    <cellStyle name="Normal 2 8 4 5 3 6" xfId="37112"/>
    <cellStyle name="Normal 2 8 4 5 3 7" xfId="37113"/>
    <cellStyle name="Normal 2 8 4 5 3 8" xfId="37114"/>
    <cellStyle name="Normal 2 8 4 5 3 9" xfId="37115"/>
    <cellStyle name="Normal 2 8 4 5 4" xfId="37116"/>
    <cellStyle name="Normal 2 8 4 5 4 2" xfId="37117"/>
    <cellStyle name="Normal 2 8 4 5 4 2 2" xfId="37118"/>
    <cellStyle name="Normal 2 8 4 5 4 2 3" xfId="37119"/>
    <cellStyle name="Normal 2 8 4 5 4 3" xfId="37120"/>
    <cellStyle name="Normal 2 8 4 5 4 4" xfId="37121"/>
    <cellStyle name="Normal 2 8 4 5 4 5" xfId="37122"/>
    <cellStyle name="Normal 2 8 4 5 4 6" xfId="37123"/>
    <cellStyle name="Normal 2 8 4 5 5" xfId="37124"/>
    <cellStyle name="Normal 2 8 4 5 5 2" xfId="37125"/>
    <cellStyle name="Normal 2 8 4 5 5 2 2" xfId="37126"/>
    <cellStyle name="Normal 2 8 4 5 5 3" xfId="37127"/>
    <cellStyle name="Normal 2 8 4 5 5 4" xfId="37128"/>
    <cellStyle name="Normal 2 8 4 5 5 5" xfId="37129"/>
    <cellStyle name="Normal 2 8 4 5 6" xfId="37130"/>
    <cellStyle name="Normal 2 8 4 5 6 2" xfId="37131"/>
    <cellStyle name="Normal 2 8 4 5 6 3" xfId="37132"/>
    <cellStyle name="Normal 2 8 4 5 6 4" xfId="37133"/>
    <cellStyle name="Normal 2 8 4 5 7" xfId="37134"/>
    <cellStyle name="Normal 2 8 4 5 7 2" xfId="37135"/>
    <cellStyle name="Normal 2 8 4 5 8" xfId="37136"/>
    <cellStyle name="Normal 2 8 4 5 9" xfId="37137"/>
    <cellStyle name="Normal 2 8 4 6" xfId="37138"/>
    <cellStyle name="Normal 2 8 4 6 10" xfId="37139"/>
    <cellStyle name="Normal 2 8 4 6 11" xfId="37140"/>
    <cellStyle name="Normal 2 8 4 6 2" xfId="37141"/>
    <cellStyle name="Normal 2 8 4 6 2 2" xfId="37142"/>
    <cellStyle name="Normal 2 8 4 6 2 2 2" xfId="37143"/>
    <cellStyle name="Normal 2 8 4 6 2 2 2 2" xfId="37144"/>
    <cellStyle name="Normal 2 8 4 6 2 2 2 3" xfId="37145"/>
    <cellStyle name="Normal 2 8 4 6 2 2 3" xfId="37146"/>
    <cellStyle name="Normal 2 8 4 6 2 2 4" xfId="37147"/>
    <cellStyle name="Normal 2 8 4 6 2 2 5" xfId="37148"/>
    <cellStyle name="Normal 2 8 4 6 2 2 6" xfId="37149"/>
    <cellStyle name="Normal 2 8 4 6 2 3" xfId="37150"/>
    <cellStyle name="Normal 2 8 4 6 2 3 2" xfId="37151"/>
    <cellStyle name="Normal 2 8 4 6 2 3 2 2" xfId="37152"/>
    <cellStyle name="Normal 2 8 4 6 2 3 3" xfId="37153"/>
    <cellStyle name="Normal 2 8 4 6 2 3 4" xfId="37154"/>
    <cellStyle name="Normal 2 8 4 6 2 3 5" xfId="37155"/>
    <cellStyle name="Normal 2 8 4 6 2 4" xfId="37156"/>
    <cellStyle name="Normal 2 8 4 6 2 4 2" xfId="37157"/>
    <cellStyle name="Normal 2 8 4 6 2 4 3" xfId="37158"/>
    <cellStyle name="Normal 2 8 4 6 2 4 4" xfId="37159"/>
    <cellStyle name="Normal 2 8 4 6 2 5" xfId="37160"/>
    <cellStyle name="Normal 2 8 4 6 2 5 2" xfId="37161"/>
    <cellStyle name="Normal 2 8 4 6 2 6" xfId="37162"/>
    <cellStyle name="Normal 2 8 4 6 2 7" xfId="37163"/>
    <cellStyle name="Normal 2 8 4 6 2 8" xfId="37164"/>
    <cellStyle name="Normal 2 8 4 6 2 9" xfId="37165"/>
    <cellStyle name="Normal 2 8 4 6 3" xfId="37166"/>
    <cellStyle name="Normal 2 8 4 6 3 2" xfId="37167"/>
    <cellStyle name="Normal 2 8 4 6 3 2 2" xfId="37168"/>
    <cellStyle name="Normal 2 8 4 6 3 2 2 2" xfId="37169"/>
    <cellStyle name="Normal 2 8 4 6 3 2 2 3" xfId="37170"/>
    <cellStyle name="Normal 2 8 4 6 3 2 3" xfId="37171"/>
    <cellStyle name="Normal 2 8 4 6 3 2 4" xfId="37172"/>
    <cellStyle name="Normal 2 8 4 6 3 2 5" xfId="37173"/>
    <cellStyle name="Normal 2 8 4 6 3 2 6" xfId="37174"/>
    <cellStyle name="Normal 2 8 4 6 3 3" xfId="37175"/>
    <cellStyle name="Normal 2 8 4 6 3 3 2" xfId="37176"/>
    <cellStyle name="Normal 2 8 4 6 3 3 2 2" xfId="37177"/>
    <cellStyle name="Normal 2 8 4 6 3 3 3" xfId="37178"/>
    <cellStyle name="Normal 2 8 4 6 3 3 4" xfId="37179"/>
    <cellStyle name="Normal 2 8 4 6 3 3 5" xfId="37180"/>
    <cellStyle name="Normal 2 8 4 6 3 4" xfId="37181"/>
    <cellStyle name="Normal 2 8 4 6 3 4 2" xfId="37182"/>
    <cellStyle name="Normal 2 8 4 6 3 4 3" xfId="37183"/>
    <cellStyle name="Normal 2 8 4 6 3 4 4" xfId="37184"/>
    <cellStyle name="Normal 2 8 4 6 3 5" xfId="37185"/>
    <cellStyle name="Normal 2 8 4 6 3 5 2" xfId="37186"/>
    <cellStyle name="Normal 2 8 4 6 3 6" xfId="37187"/>
    <cellStyle name="Normal 2 8 4 6 3 7" xfId="37188"/>
    <cellStyle name="Normal 2 8 4 6 3 8" xfId="37189"/>
    <cellStyle name="Normal 2 8 4 6 3 9" xfId="37190"/>
    <cellStyle name="Normal 2 8 4 6 4" xfId="37191"/>
    <cellStyle name="Normal 2 8 4 6 4 2" xfId="37192"/>
    <cellStyle name="Normal 2 8 4 6 4 2 2" xfId="37193"/>
    <cellStyle name="Normal 2 8 4 6 4 2 3" xfId="37194"/>
    <cellStyle name="Normal 2 8 4 6 4 3" xfId="37195"/>
    <cellStyle name="Normal 2 8 4 6 4 4" xfId="37196"/>
    <cellStyle name="Normal 2 8 4 6 4 5" xfId="37197"/>
    <cellStyle name="Normal 2 8 4 6 4 6" xfId="37198"/>
    <cellStyle name="Normal 2 8 4 6 5" xfId="37199"/>
    <cellStyle name="Normal 2 8 4 6 5 2" xfId="37200"/>
    <cellStyle name="Normal 2 8 4 6 5 2 2" xfId="37201"/>
    <cellStyle name="Normal 2 8 4 6 5 3" xfId="37202"/>
    <cellStyle name="Normal 2 8 4 6 5 4" xfId="37203"/>
    <cellStyle name="Normal 2 8 4 6 5 5" xfId="37204"/>
    <cellStyle name="Normal 2 8 4 6 6" xfId="37205"/>
    <cellStyle name="Normal 2 8 4 6 6 2" xfId="37206"/>
    <cellStyle name="Normal 2 8 4 6 6 3" xfId="37207"/>
    <cellStyle name="Normal 2 8 4 6 6 4" xfId="37208"/>
    <cellStyle name="Normal 2 8 4 6 7" xfId="37209"/>
    <cellStyle name="Normal 2 8 4 6 7 2" xfId="37210"/>
    <cellStyle name="Normal 2 8 4 6 8" xfId="37211"/>
    <cellStyle name="Normal 2 8 4 6 9" xfId="37212"/>
    <cellStyle name="Normal 2 8 4 7" xfId="37213"/>
    <cellStyle name="Normal 2 8 4 7 10" xfId="37214"/>
    <cellStyle name="Normal 2 8 4 7 11" xfId="37215"/>
    <cellStyle name="Normal 2 8 4 7 2" xfId="37216"/>
    <cellStyle name="Normal 2 8 4 7 2 2" xfId="37217"/>
    <cellStyle name="Normal 2 8 4 7 2 2 2" xfId="37218"/>
    <cellStyle name="Normal 2 8 4 7 2 2 2 2" xfId="37219"/>
    <cellStyle name="Normal 2 8 4 7 2 2 2 3" xfId="37220"/>
    <cellStyle name="Normal 2 8 4 7 2 2 3" xfId="37221"/>
    <cellStyle name="Normal 2 8 4 7 2 2 4" xfId="37222"/>
    <cellStyle name="Normal 2 8 4 7 2 2 5" xfId="37223"/>
    <cellStyle name="Normal 2 8 4 7 2 2 6" xfId="37224"/>
    <cellStyle name="Normal 2 8 4 7 2 3" xfId="37225"/>
    <cellStyle name="Normal 2 8 4 7 2 3 2" xfId="37226"/>
    <cellStyle name="Normal 2 8 4 7 2 3 2 2" xfId="37227"/>
    <cellStyle name="Normal 2 8 4 7 2 3 3" xfId="37228"/>
    <cellStyle name="Normal 2 8 4 7 2 3 4" xfId="37229"/>
    <cellStyle name="Normal 2 8 4 7 2 3 5" xfId="37230"/>
    <cellStyle name="Normal 2 8 4 7 2 4" xfId="37231"/>
    <cellStyle name="Normal 2 8 4 7 2 4 2" xfId="37232"/>
    <cellStyle name="Normal 2 8 4 7 2 4 3" xfId="37233"/>
    <cellStyle name="Normal 2 8 4 7 2 4 4" xfId="37234"/>
    <cellStyle name="Normal 2 8 4 7 2 5" xfId="37235"/>
    <cellStyle name="Normal 2 8 4 7 2 5 2" xfId="37236"/>
    <cellStyle name="Normal 2 8 4 7 2 6" xfId="37237"/>
    <cellStyle name="Normal 2 8 4 7 2 7" xfId="37238"/>
    <cellStyle name="Normal 2 8 4 7 2 8" xfId="37239"/>
    <cellStyle name="Normal 2 8 4 7 2 9" xfId="37240"/>
    <cellStyle name="Normal 2 8 4 7 3" xfId="37241"/>
    <cellStyle name="Normal 2 8 4 7 3 2" xfId="37242"/>
    <cellStyle name="Normal 2 8 4 7 3 2 2" xfId="37243"/>
    <cellStyle name="Normal 2 8 4 7 3 2 2 2" xfId="37244"/>
    <cellStyle name="Normal 2 8 4 7 3 2 2 3" xfId="37245"/>
    <cellStyle name="Normal 2 8 4 7 3 2 3" xfId="37246"/>
    <cellStyle name="Normal 2 8 4 7 3 2 4" xfId="37247"/>
    <cellStyle name="Normal 2 8 4 7 3 2 5" xfId="37248"/>
    <cellStyle name="Normal 2 8 4 7 3 2 6" xfId="37249"/>
    <cellStyle name="Normal 2 8 4 7 3 3" xfId="37250"/>
    <cellStyle name="Normal 2 8 4 7 3 3 2" xfId="37251"/>
    <cellStyle name="Normal 2 8 4 7 3 3 2 2" xfId="37252"/>
    <cellStyle name="Normal 2 8 4 7 3 3 3" xfId="37253"/>
    <cellStyle name="Normal 2 8 4 7 3 3 4" xfId="37254"/>
    <cellStyle name="Normal 2 8 4 7 3 3 5" xfId="37255"/>
    <cellStyle name="Normal 2 8 4 7 3 4" xfId="37256"/>
    <cellStyle name="Normal 2 8 4 7 3 4 2" xfId="37257"/>
    <cellStyle name="Normal 2 8 4 7 3 4 3" xfId="37258"/>
    <cellStyle name="Normal 2 8 4 7 3 4 4" xfId="37259"/>
    <cellStyle name="Normal 2 8 4 7 3 5" xfId="37260"/>
    <cellStyle name="Normal 2 8 4 7 3 5 2" xfId="37261"/>
    <cellStyle name="Normal 2 8 4 7 3 6" xfId="37262"/>
    <cellStyle name="Normal 2 8 4 7 3 7" xfId="37263"/>
    <cellStyle name="Normal 2 8 4 7 3 8" xfId="37264"/>
    <cellStyle name="Normal 2 8 4 7 3 9" xfId="37265"/>
    <cellStyle name="Normal 2 8 4 7 4" xfId="37266"/>
    <cellStyle name="Normal 2 8 4 7 4 2" xfId="37267"/>
    <cellStyle name="Normal 2 8 4 7 4 2 2" xfId="37268"/>
    <cellStyle name="Normal 2 8 4 7 4 2 3" xfId="37269"/>
    <cellStyle name="Normal 2 8 4 7 4 3" xfId="37270"/>
    <cellStyle name="Normal 2 8 4 7 4 4" xfId="37271"/>
    <cellStyle name="Normal 2 8 4 7 4 5" xfId="37272"/>
    <cellStyle name="Normal 2 8 4 7 4 6" xfId="37273"/>
    <cellStyle name="Normal 2 8 4 7 5" xfId="37274"/>
    <cellStyle name="Normal 2 8 4 7 5 2" xfId="37275"/>
    <cellStyle name="Normal 2 8 4 7 5 2 2" xfId="37276"/>
    <cellStyle name="Normal 2 8 4 7 5 3" xfId="37277"/>
    <cellStyle name="Normal 2 8 4 7 5 4" xfId="37278"/>
    <cellStyle name="Normal 2 8 4 7 5 5" xfId="37279"/>
    <cellStyle name="Normal 2 8 4 7 6" xfId="37280"/>
    <cellStyle name="Normal 2 8 4 7 6 2" xfId="37281"/>
    <cellStyle name="Normal 2 8 4 7 6 3" xfId="37282"/>
    <cellStyle name="Normal 2 8 4 7 6 4" xfId="37283"/>
    <cellStyle name="Normal 2 8 4 7 7" xfId="37284"/>
    <cellStyle name="Normal 2 8 4 7 7 2" xfId="37285"/>
    <cellStyle name="Normal 2 8 4 7 8" xfId="37286"/>
    <cellStyle name="Normal 2 8 4 7 9" xfId="37287"/>
    <cellStyle name="Normal 2 8 4 8" xfId="37288"/>
    <cellStyle name="Normal 2 8 4 8 10" xfId="37289"/>
    <cellStyle name="Normal 2 8 4 8 2" xfId="37290"/>
    <cellStyle name="Normal 2 8 4 8 2 2" xfId="37291"/>
    <cellStyle name="Normal 2 8 4 8 2 2 2" xfId="37292"/>
    <cellStyle name="Normal 2 8 4 8 2 2 3" xfId="37293"/>
    <cellStyle name="Normal 2 8 4 8 2 3" xfId="37294"/>
    <cellStyle name="Normal 2 8 4 8 2 4" xfId="37295"/>
    <cellStyle name="Normal 2 8 4 8 2 5" xfId="37296"/>
    <cellStyle name="Normal 2 8 4 8 2 6" xfId="37297"/>
    <cellStyle name="Normal 2 8 4 8 3" xfId="37298"/>
    <cellStyle name="Normal 2 8 4 8 3 2" xfId="37299"/>
    <cellStyle name="Normal 2 8 4 8 3 2 2" xfId="37300"/>
    <cellStyle name="Normal 2 8 4 8 3 2 3" xfId="37301"/>
    <cellStyle name="Normal 2 8 4 8 3 3" xfId="37302"/>
    <cellStyle name="Normal 2 8 4 8 3 4" xfId="37303"/>
    <cellStyle name="Normal 2 8 4 8 3 5" xfId="37304"/>
    <cellStyle name="Normal 2 8 4 8 3 6" xfId="37305"/>
    <cellStyle name="Normal 2 8 4 8 4" xfId="37306"/>
    <cellStyle name="Normal 2 8 4 8 4 2" xfId="37307"/>
    <cellStyle name="Normal 2 8 4 8 4 2 2" xfId="37308"/>
    <cellStyle name="Normal 2 8 4 8 4 3" xfId="37309"/>
    <cellStyle name="Normal 2 8 4 8 4 4" xfId="37310"/>
    <cellStyle name="Normal 2 8 4 8 4 5" xfId="37311"/>
    <cellStyle name="Normal 2 8 4 8 5" xfId="37312"/>
    <cellStyle name="Normal 2 8 4 8 5 2" xfId="37313"/>
    <cellStyle name="Normal 2 8 4 8 5 3" xfId="37314"/>
    <cellStyle name="Normal 2 8 4 8 5 4" xfId="37315"/>
    <cellStyle name="Normal 2 8 4 8 6" xfId="37316"/>
    <cellStyle name="Normal 2 8 4 8 6 2" xfId="37317"/>
    <cellStyle name="Normal 2 8 4 8 7" xfId="37318"/>
    <cellStyle name="Normal 2 8 4 8 8" xfId="37319"/>
    <cellStyle name="Normal 2 8 4 8 9" xfId="37320"/>
    <cellStyle name="Normal 2 8 4 9" xfId="37321"/>
    <cellStyle name="Normal 2 8 4 9 10" xfId="37322"/>
    <cellStyle name="Normal 2 8 4 9 2" xfId="37323"/>
    <cellStyle name="Normal 2 8 4 9 2 2" xfId="37324"/>
    <cellStyle name="Normal 2 8 4 9 2 2 2" xfId="37325"/>
    <cellStyle name="Normal 2 8 4 9 2 2 3" xfId="37326"/>
    <cellStyle name="Normal 2 8 4 9 2 3" xfId="37327"/>
    <cellStyle name="Normal 2 8 4 9 2 4" xfId="37328"/>
    <cellStyle name="Normal 2 8 4 9 2 5" xfId="37329"/>
    <cellStyle name="Normal 2 8 4 9 2 6" xfId="37330"/>
    <cellStyle name="Normal 2 8 4 9 3" xfId="37331"/>
    <cellStyle name="Normal 2 8 4 9 3 2" xfId="37332"/>
    <cellStyle name="Normal 2 8 4 9 3 2 2" xfId="37333"/>
    <cellStyle name="Normal 2 8 4 9 3 2 3" xfId="37334"/>
    <cellStyle name="Normal 2 8 4 9 3 3" xfId="37335"/>
    <cellStyle name="Normal 2 8 4 9 3 4" xfId="37336"/>
    <cellStyle name="Normal 2 8 4 9 3 5" xfId="37337"/>
    <cellStyle name="Normal 2 8 4 9 3 6" xfId="37338"/>
    <cellStyle name="Normal 2 8 4 9 4" xfId="37339"/>
    <cellStyle name="Normal 2 8 4 9 4 2" xfId="37340"/>
    <cellStyle name="Normal 2 8 4 9 4 2 2" xfId="37341"/>
    <cellStyle name="Normal 2 8 4 9 4 3" xfId="37342"/>
    <cellStyle name="Normal 2 8 4 9 4 4" xfId="37343"/>
    <cellStyle name="Normal 2 8 4 9 4 5" xfId="37344"/>
    <cellStyle name="Normal 2 8 4 9 5" xfId="37345"/>
    <cellStyle name="Normal 2 8 4 9 5 2" xfId="37346"/>
    <cellStyle name="Normal 2 8 4 9 5 3" xfId="37347"/>
    <cellStyle name="Normal 2 8 4 9 5 4" xfId="37348"/>
    <cellStyle name="Normal 2 8 4 9 6" xfId="37349"/>
    <cellStyle name="Normal 2 8 4 9 6 2" xfId="37350"/>
    <cellStyle name="Normal 2 8 4 9 7" xfId="37351"/>
    <cellStyle name="Normal 2 8 4 9 8" xfId="37352"/>
    <cellStyle name="Normal 2 8 4 9 9" xfId="37353"/>
    <cellStyle name="Normal 2 8 5" xfId="37354"/>
    <cellStyle name="Normal 2 8 5 10" xfId="37355"/>
    <cellStyle name="Normal 2 8 5 11" xfId="37356"/>
    <cellStyle name="Normal 2 8 5 2" xfId="37357"/>
    <cellStyle name="Normal 2 8 5 2 2" xfId="37358"/>
    <cellStyle name="Normal 2 8 5 2 2 2" xfId="37359"/>
    <cellStyle name="Normal 2 8 5 2 2 2 2" xfId="37360"/>
    <cellStyle name="Normal 2 8 5 2 2 2 3" xfId="37361"/>
    <cellStyle name="Normal 2 8 5 2 2 3" xfId="37362"/>
    <cellStyle name="Normal 2 8 5 2 2 4" xfId="37363"/>
    <cellStyle name="Normal 2 8 5 2 2 5" xfId="37364"/>
    <cellStyle name="Normal 2 8 5 2 2 6" xfId="37365"/>
    <cellStyle name="Normal 2 8 5 2 3" xfId="37366"/>
    <cellStyle name="Normal 2 8 5 2 3 2" xfId="37367"/>
    <cellStyle name="Normal 2 8 5 2 3 2 2" xfId="37368"/>
    <cellStyle name="Normal 2 8 5 2 3 3" xfId="37369"/>
    <cellStyle name="Normal 2 8 5 2 3 4" xfId="37370"/>
    <cellStyle name="Normal 2 8 5 2 3 5" xfId="37371"/>
    <cellStyle name="Normal 2 8 5 2 4" xfId="37372"/>
    <cellStyle name="Normal 2 8 5 2 4 2" xfId="37373"/>
    <cellStyle name="Normal 2 8 5 2 4 3" xfId="37374"/>
    <cellStyle name="Normal 2 8 5 2 4 4" xfId="37375"/>
    <cellStyle name="Normal 2 8 5 2 5" xfId="37376"/>
    <cellStyle name="Normal 2 8 5 2 5 2" xfId="37377"/>
    <cellStyle name="Normal 2 8 5 2 6" xfId="37378"/>
    <cellStyle name="Normal 2 8 5 2 7" xfId="37379"/>
    <cellStyle name="Normal 2 8 5 2 8" xfId="37380"/>
    <cellStyle name="Normal 2 8 5 2 9" xfId="37381"/>
    <cellStyle name="Normal 2 8 5 3" xfId="37382"/>
    <cellStyle name="Normal 2 8 5 3 2" xfId="37383"/>
    <cellStyle name="Normal 2 8 5 3 2 2" xfId="37384"/>
    <cellStyle name="Normal 2 8 5 3 2 2 2" xfId="37385"/>
    <cellStyle name="Normal 2 8 5 3 2 2 3" xfId="37386"/>
    <cellStyle name="Normal 2 8 5 3 2 3" xfId="37387"/>
    <cellStyle name="Normal 2 8 5 3 2 4" xfId="37388"/>
    <cellStyle name="Normal 2 8 5 3 2 5" xfId="37389"/>
    <cellStyle name="Normal 2 8 5 3 2 6" xfId="37390"/>
    <cellStyle name="Normal 2 8 5 3 3" xfId="37391"/>
    <cellStyle name="Normal 2 8 5 3 3 2" xfId="37392"/>
    <cellStyle name="Normal 2 8 5 3 3 2 2" xfId="37393"/>
    <cellStyle name="Normal 2 8 5 3 3 3" xfId="37394"/>
    <cellStyle name="Normal 2 8 5 3 3 4" xfId="37395"/>
    <cellStyle name="Normal 2 8 5 3 3 5" xfId="37396"/>
    <cellStyle name="Normal 2 8 5 3 4" xfId="37397"/>
    <cellStyle name="Normal 2 8 5 3 4 2" xfId="37398"/>
    <cellStyle name="Normal 2 8 5 3 4 3" xfId="37399"/>
    <cellStyle name="Normal 2 8 5 3 4 4" xfId="37400"/>
    <cellStyle name="Normal 2 8 5 3 5" xfId="37401"/>
    <cellStyle name="Normal 2 8 5 3 5 2" xfId="37402"/>
    <cellStyle name="Normal 2 8 5 3 6" xfId="37403"/>
    <cellStyle name="Normal 2 8 5 3 7" xfId="37404"/>
    <cellStyle name="Normal 2 8 5 3 8" xfId="37405"/>
    <cellStyle name="Normal 2 8 5 3 9" xfId="37406"/>
    <cellStyle name="Normal 2 8 5 4" xfId="37407"/>
    <cellStyle name="Normal 2 8 5 4 2" xfId="37408"/>
    <cellStyle name="Normal 2 8 5 4 2 2" xfId="37409"/>
    <cellStyle name="Normal 2 8 5 4 2 3" xfId="37410"/>
    <cellStyle name="Normal 2 8 5 4 3" xfId="37411"/>
    <cellStyle name="Normal 2 8 5 4 4" xfId="37412"/>
    <cellStyle name="Normal 2 8 5 4 5" xfId="37413"/>
    <cellStyle name="Normal 2 8 5 4 6" xfId="37414"/>
    <cellStyle name="Normal 2 8 5 5" xfId="37415"/>
    <cellStyle name="Normal 2 8 5 5 2" xfId="37416"/>
    <cellStyle name="Normal 2 8 5 5 2 2" xfId="37417"/>
    <cellStyle name="Normal 2 8 5 5 3" xfId="37418"/>
    <cellStyle name="Normal 2 8 5 5 4" xfId="37419"/>
    <cellStyle name="Normal 2 8 5 5 5" xfId="37420"/>
    <cellStyle name="Normal 2 8 5 6" xfId="37421"/>
    <cellStyle name="Normal 2 8 5 6 2" xfId="37422"/>
    <cellStyle name="Normal 2 8 5 6 3" xfId="37423"/>
    <cellStyle name="Normal 2 8 5 6 4" xfId="37424"/>
    <cellStyle name="Normal 2 8 5 7" xfId="37425"/>
    <cellStyle name="Normal 2 8 5 7 2" xfId="37426"/>
    <cellStyle name="Normal 2 8 5 8" xfId="37427"/>
    <cellStyle name="Normal 2 8 5 9" xfId="37428"/>
    <cellStyle name="Normal 2 8 6" xfId="37429"/>
    <cellStyle name="Normal 2 8 6 10" xfId="37430"/>
    <cellStyle name="Normal 2 8 6 11" xfId="37431"/>
    <cellStyle name="Normal 2 8 6 2" xfId="37432"/>
    <cellStyle name="Normal 2 8 6 2 2" xfId="37433"/>
    <cellStyle name="Normal 2 8 6 2 2 2" xfId="37434"/>
    <cellStyle name="Normal 2 8 6 2 2 2 2" xfId="37435"/>
    <cellStyle name="Normal 2 8 6 2 2 2 3" xfId="37436"/>
    <cellStyle name="Normal 2 8 6 2 2 3" xfId="37437"/>
    <cellStyle name="Normal 2 8 6 2 2 4" xfId="37438"/>
    <cellStyle name="Normal 2 8 6 2 2 5" xfId="37439"/>
    <cellStyle name="Normal 2 8 6 2 2 6" xfId="37440"/>
    <cellStyle name="Normal 2 8 6 2 3" xfId="37441"/>
    <cellStyle name="Normal 2 8 6 2 3 2" xfId="37442"/>
    <cellStyle name="Normal 2 8 6 2 3 2 2" xfId="37443"/>
    <cellStyle name="Normal 2 8 6 2 3 3" xfId="37444"/>
    <cellStyle name="Normal 2 8 6 2 3 4" xfId="37445"/>
    <cellStyle name="Normal 2 8 6 2 3 5" xfId="37446"/>
    <cellStyle name="Normal 2 8 6 2 4" xfId="37447"/>
    <cellStyle name="Normal 2 8 6 2 4 2" xfId="37448"/>
    <cellStyle name="Normal 2 8 6 2 4 3" xfId="37449"/>
    <cellStyle name="Normal 2 8 6 2 4 4" xfId="37450"/>
    <cellStyle name="Normal 2 8 6 2 5" xfId="37451"/>
    <cellStyle name="Normal 2 8 6 2 5 2" xfId="37452"/>
    <cellStyle name="Normal 2 8 6 2 6" xfId="37453"/>
    <cellStyle name="Normal 2 8 6 2 7" xfId="37454"/>
    <cellStyle name="Normal 2 8 6 2 8" xfId="37455"/>
    <cellStyle name="Normal 2 8 6 2 9" xfId="37456"/>
    <cellStyle name="Normal 2 8 6 3" xfId="37457"/>
    <cellStyle name="Normal 2 8 6 3 2" xfId="37458"/>
    <cellStyle name="Normal 2 8 6 3 2 2" xfId="37459"/>
    <cellStyle name="Normal 2 8 6 3 2 2 2" xfId="37460"/>
    <cellStyle name="Normal 2 8 6 3 2 2 3" xfId="37461"/>
    <cellStyle name="Normal 2 8 6 3 2 3" xfId="37462"/>
    <cellStyle name="Normal 2 8 6 3 2 4" xfId="37463"/>
    <cellStyle name="Normal 2 8 6 3 2 5" xfId="37464"/>
    <cellStyle name="Normal 2 8 6 3 2 6" xfId="37465"/>
    <cellStyle name="Normal 2 8 6 3 3" xfId="37466"/>
    <cellStyle name="Normal 2 8 6 3 3 2" xfId="37467"/>
    <cellStyle name="Normal 2 8 6 3 3 2 2" xfId="37468"/>
    <cellStyle name="Normal 2 8 6 3 3 3" xfId="37469"/>
    <cellStyle name="Normal 2 8 6 3 3 4" xfId="37470"/>
    <cellStyle name="Normal 2 8 6 3 3 5" xfId="37471"/>
    <cellStyle name="Normal 2 8 6 3 4" xfId="37472"/>
    <cellStyle name="Normal 2 8 6 3 4 2" xfId="37473"/>
    <cellStyle name="Normal 2 8 6 3 4 3" xfId="37474"/>
    <cellStyle name="Normal 2 8 6 3 4 4" xfId="37475"/>
    <cellStyle name="Normal 2 8 6 3 5" xfId="37476"/>
    <cellStyle name="Normal 2 8 6 3 5 2" xfId="37477"/>
    <cellStyle name="Normal 2 8 6 3 6" xfId="37478"/>
    <cellStyle name="Normal 2 8 6 3 7" xfId="37479"/>
    <cellStyle name="Normal 2 8 6 3 8" xfId="37480"/>
    <cellStyle name="Normal 2 8 6 3 9" xfId="37481"/>
    <cellStyle name="Normal 2 8 6 4" xfId="37482"/>
    <cellStyle name="Normal 2 8 6 4 2" xfId="37483"/>
    <cellStyle name="Normal 2 8 6 4 2 2" xfId="37484"/>
    <cellStyle name="Normal 2 8 6 4 2 3" xfId="37485"/>
    <cellStyle name="Normal 2 8 6 4 3" xfId="37486"/>
    <cellStyle name="Normal 2 8 6 4 4" xfId="37487"/>
    <cellStyle name="Normal 2 8 6 4 5" xfId="37488"/>
    <cellStyle name="Normal 2 8 6 4 6" xfId="37489"/>
    <cellStyle name="Normal 2 8 6 5" xfId="37490"/>
    <cellStyle name="Normal 2 8 6 5 2" xfId="37491"/>
    <cellStyle name="Normal 2 8 6 5 2 2" xfId="37492"/>
    <cellStyle name="Normal 2 8 6 5 3" xfId="37493"/>
    <cellStyle name="Normal 2 8 6 5 4" xfId="37494"/>
    <cellStyle name="Normal 2 8 6 5 5" xfId="37495"/>
    <cellStyle name="Normal 2 8 6 6" xfId="37496"/>
    <cellStyle name="Normal 2 8 6 6 2" xfId="37497"/>
    <cellStyle name="Normal 2 8 6 6 3" xfId="37498"/>
    <cellStyle name="Normal 2 8 6 6 4" xfId="37499"/>
    <cellStyle name="Normal 2 8 6 7" xfId="37500"/>
    <cellStyle name="Normal 2 8 6 7 2" xfId="37501"/>
    <cellStyle name="Normal 2 8 6 8" xfId="37502"/>
    <cellStyle name="Normal 2 8 6 9" xfId="37503"/>
    <cellStyle name="Normal 2 8 7" xfId="37504"/>
    <cellStyle name="Normal 2 8 7 10" xfId="37505"/>
    <cellStyle name="Normal 2 8 7 11" xfId="37506"/>
    <cellStyle name="Normal 2 8 7 2" xfId="37507"/>
    <cellStyle name="Normal 2 8 7 2 2" xfId="37508"/>
    <cellStyle name="Normal 2 8 7 2 2 2" xfId="37509"/>
    <cellStyle name="Normal 2 8 7 2 2 2 2" xfId="37510"/>
    <cellStyle name="Normal 2 8 7 2 2 2 3" xfId="37511"/>
    <cellStyle name="Normal 2 8 7 2 2 3" xfId="37512"/>
    <cellStyle name="Normal 2 8 7 2 2 4" xfId="37513"/>
    <cellStyle name="Normal 2 8 7 2 2 5" xfId="37514"/>
    <cellStyle name="Normal 2 8 7 2 2 6" xfId="37515"/>
    <cellStyle name="Normal 2 8 7 2 3" xfId="37516"/>
    <cellStyle name="Normal 2 8 7 2 3 2" xfId="37517"/>
    <cellStyle name="Normal 2 8 7 2 3 2 2" xfId="37518"/>
    <cellStyle name="Normal 2 8 7 2 3 3" xfId="37519"/>
    <cellStyle name="Normal 2 8 7 2 3 4" xfId="37520"/>
    <cellStyle name="Normal 2 8 7 2 3 5" xfId="37521"/>
    <cellStyle name="Normal 2 8 7 2 4" xfId="37522"/>
    <cellStyle name="Normal 2 8 7 2 4 2" xfId="37523"/>
    <cellStyle name="Normal 2 8 7 2 4 3" xfId="37524"/>
    <cellStyle name="Normal 2 8 7 2 4 4" xfId="37525"/>
    <cellStyle name="Normal 2 8 7 2 5" xfId="37526"/>
    <cellStyle name="Normal 2 8 7 2 5 2" xfId="37527"/>
    <cellStyle name="Normal 2 8 7 2 6" xfId="37528"/>
    <cellStyle name="Normal 2 8 7 2 7" xfId="37529"/>
    <cellStyle name="Normal 2 8 7 2 8" xfId="37530"/>
    <cellStyle name="Normal 2 8 7 2 9" xfId="37531"/>
    <cellStyle name="Normal 2 8 7 3" xfId="37532"/>
    <cellStyle name="Normal 2 8 7 3 2" xfId="37533"/>
    <cellStyle name="Normal 2 8 7 3 2 2" xfId="37534"/>
    <cellStyle name="Normal 2 8 7 3 2 2 2" xfId="37535"/>
    <cellStyle name="Normal 2 8 7 3 2 2 3" xfId="37536"/>
    <cellStyle name="Normal 2 8 7 3 2 3" xfId="37537"/>
    <cellStyle name="Normal 2 8 7 3 2 4" xfId="37538"/>
    <cellStyle name="Normal 2 8 7 3 2 5" xfId="37539"/>
    <cellStyle name="Normal 2 8 7 3 2 6" xfId="37540"/>
    <cellStyle name="Normal 2 8 7 3 3" xfId="37541"/>
    <cellStyle name="Normal 2 8 7 3 3 2" xfId="37542"/>
    <cellStyle name="Normal 2 8 7 3 3 2 2" xfId="37543"/>
    <cellStyle name="Normal 2 8 7 3 3 3" xfId="37544"/>
    <cellStyle name="Normal 2 8 7 3 3 4" xfId="37545"/>
    <cellStyle name="Normal 2 8 7 3 3 5" xfId="37546"/>
    <cellStyle name="Normal 2 8 7 3 4" xfId="37547"/>
    <cellStyle name="Normal 2 8 7 3 4 2" xfId="37548"/>
    <cellStyle name="Normal 2 8 7 3 4 3" xfId="37549"/>
    <cellStyle name="Normal 2 8 7 3 4 4" xfId="37550"/>
    <cellStyle name="Normal 2 8 7 3 5" xfId="37551"/>
    <cellStyle name="Normal 2 8 7 3 5 2" xfId="37552"/>
    <cellStyle name="Normal 2 8 7 3 6" xfId="37553"/>
    <cellStyle name="Normal 2 8 7 3 7" xfId="37554"/>
    <cellStyle name="Normal 2 8 7 3 8" xfId="37555"/>
    <cellStyle name="Normal 2 8 7 3 9" xfId="37556"/>
    <cellStyle name="Normal 2 8 7 4" xfId="37557"/>
    <cellStyle name="Normal 2 8 7 4 2" xfId="37558"/>
    <cellStyle name="Normal 2 8 7 4 2 2" xfId="37559"/>
    <cellStyle name="Normal 2 8 7 4 2 3" xfId="37560"/>
    <cellStyle name="Normal 2 8 7 4 3" xfId="37561"/>
    <cellStyle name="Normal 2 8 7 4 4" xfId="37562"/>
    <cellStyle name="Normal 2 8 7 4 5" xfId="37563"/>
    <cellStyle name="Normal 2 8 7 4 6" xfId="37564"/>
    <cellStyle name="Normal 2 8 7 5" xfId="37565"/>
    <cellStyle name="Normal 2 8 7 5 2" xfId="37566"/>
    <cellStyle name="Normal 2 8 7 5 2 2" xfId="37567"/>
    <cellStyle name="Normal 2 8 7 5 3" xfId="37568"/>
    <cellStyle name="Normal 2 8 7 5 4" xfId="37569"/>
    <cellStyle name="Normal 2 8 7 5 5" xfId="37570"/>
    <cellStyle name="Normal 2 8 7 6" xfId="37571"/>
    <cellStyle name="Normal 2 8 7 6 2" xfId="37572"/>
    <cellStyle name="Normal 2 8 7 6 3" xfId="37573"/>
    <cellStyle name="Normal 2 8 7 6 4" xfId="37574"/>
    <cellStyle name="Normal 2 8 7 7" xfId="37575"/>
    <cellStyle name="Normal 2 8 7 7 2" xfId="37576"/>
    <cellStyle name="Normal 2 8 7 8" xfId="37577"/>
    <cellStyle name="Normal 2 8 7 9" xfId="37578"/>
    <cellStyle name="Normal 2 8 8" xfId="37579"/>
    <cellStyle name="Normal 2 8 8 10" xfId="37580"/>
    <cellStyle name="Normal 2 8 8 11" xfId="37581"/>
    <cellStyle name="Normal 2 8 8 2" xfId="37582"/>
    <cellStyle name="Normal 2 8 8 2 2" xfId="37583"/>
    <cellStyle name="Normal 2 8 8 2 2 2" xfId="37584"/>
    <cellStyle name="Normal 2 8 8 2 2 2 2" xfId="37585"/>
    <cellStyle name="Normal 2 8 8 2 2 2 3" xfId="37586"/>
    <cellStyle name="Normal 2 8 8 2 2 3" xfId="37587"/>
    <cellStyle name="Normal 2 8 8 2 2 4" xfId="37588"/>
    <cellStyle name="Normal 2 8 8 2 2 5" xfId="37589"/>
    <cellStyle name="Normal 2 8 8 2 2 6" xfId="37590"/>
    <cellStyle name="Normal 2 8 8 2 3" xfId="37591"/>
    <cellStyle name="Normal 2 8 8 2 3 2" xfId="37592"/>
    <cellStyle name="Normal 2 8 8 2 3 2 2" xfId="37593"/>
    <cellStyle name="Normal 2 8 8 2 3 3" xfId="37594"/>
    <cellStyle name="Normal 2 8 8 2 3 4" xfId="37595"/>
    <cellStyle name="Normal 2 8 8 2 3 5" xfId="37596"/>
    <cellStyle name="Normal 2 8 8 2 4" xfId="37597"/>
    <cellStyle name="Normal 2 8 8 2 4 2" xfId="37598"/>
    <cellStyle name="Normal 2 8 8 2 4 3" xfId="37599"/>
    <cellStyle name="Normal 2 8 8 2 4 4" xfId="37600"/>
    <cellStyle name="Normal 2 8 8 2 5" xfId="37601"/>
    <cellStyle name="Normal 2 8 8 2 5 2" xfId="37602"/>
    <cellStyle name="Normal 2 8 8 2 6" xfId="37603"/>
    <cellStyle name="Normal 2 8 8 2 7" xfId="37604"/>
    <cellStyle name="Normal 2 8 8 2 8" xfId="37605"/>
    <cellStyle name="Normal 2 8 8 2 9" xfId="37606"/>
    <cellStyle name="Normal 2 8 8 3" xfId="37607"/>
    <cellStyle name="Normal 2 8 8 3 2" xfId="37608"/>
    <cellStyle name="Normal 2 8 8 3 2 2" xfId="37609"/>
    <cellStyle name="Normal 2 8 8 3 2 2 2" xfId="37610"/>
    <cellStyle name="Normal 2 8 8 3 2 2 3" xfId="37611"/>
    <cellStyle name="Normal 2 8 8 3 2 3" xfId="37612"/>
    <cellStyle name="Normal 2 8 8 3 2 4" xfId="37613"/>
    <cellStyle name="Normal 2 8 8 3 2 5" xfId="37614"/>
    <cellStyle name="Normal 2 8 8 3 2 6" xfId="37615"/>
    <cellStyle name="Normal 2 8 8 3 3" xfId="37616"/>
    <cellStyle name="Normal 2 8 8 3 3 2" xfId="37617"/>
    <cellStyle name="Normal 2 8 8 3 3 2 2" xfId="37618"/>
    <cellStyle name="Normal 2 8 8 3 3 3" xfId="37619"/>
    <cellStyle name="Normal 2 8 8 3 3 4" xfId="37620"/>
    <cellStyle name="Normal 2 8 8 3 3 5" xfId="37621"/>
    <cellStyle name="Normal 2 8 8 3 4" xfId="37622"/>
    <cellStyle name="Normal 2 8 8 3 4 2" xfId="37623"/>
    <cellStyle name="Normal 2 8 8 3 4 3" xfId="37624"/>
    <cellStyle name="Normal 2 8 8 3 4 4" xfId="37625"/>
    <cellStyle name="Normal 2 8 8 3 5" xfId="37626"/>
    <cellStyle name="Normal 2 8 8 3 5 2" xfId="37627"/>
    <cellStyle name="Normal 2 8 8 3 6" xfId="37628"/>
    <cellStyle name="Normal 2 8 8 3 7" xfId="37629"/>
    <cellStyle name="Normal 2 8 8 3 8" xfId="37630"/>
    <cellStyle name="Normal 2 8 8 3 9" xfId="37631"/>
    <cellStyle name="Normal 2 8 8 4" xfId="37632"/>
    <cellStyle name="Normal 2 8 8 4 2" xfId="37633"/>
    <cellStyle name="Normal 2 8 8 4 2 2" xfId="37634"/>
    <cellStyle name="Normal 2 8 8 4 2 3" xfId="37635"/>
    <cellStyle name="Normal 2 8 8 4 3" xfId="37636"/>
    <cellStyle name="Normal 2 8 8 4 4" xfId="37637"/>
    <cellStyle name="Normal 2 8 8 4 5" xfId="37638"/>
    <cellStyle name="Normal 2 8 8 4 6" xfId="37639"/>
    <cellStyle name="Normal 2 8 8 5" xfId="37640"/>
    <cellStyle name="Normal 2 8 8 5 2" xfId="37641"/>
    <cellStyle name="Normal 2 8 8 5 2 2" xfId="37642"/>
    <cellStyle name="Normal 2 8 8 5 3" xfId="37643"/>
    <cellStyle name="Normal 2 8 8 5 4" xfId="37644"/>
    <cellStyle name="Normal 2 8 8 5 5" xfId="37645"/>
    <cellStyle name="Normal 2 8 8 6" xfId="37646"/>
    <cellStyle name="Normal 2 8 8 6 2" xfId="37647"/>
    <cellStyle name="Normal 2 8 8 6 3" xfId="37648"/>
    <cellStyle name="Normal 2 8 8 6 4" xfId="37649"/>
    <cellStyle name="Normal 2 8 8 7" xfId="37650"/>
    <cellStyle name="Normal 2 8 8 7 2" xfId="37651"/>
    <cellStyle name="Normal 2 8 8 8" xfId="37652"/>
    <cellStyle name="Normal 2 8 8 9" xfId="37653"/>
    <cellStyle name="Normal 2 8 9" xfId="37654"/>
    <cellStyle name="Normal 2 8 9 10" xfId="37655"/>
    <cellStyle name="Normal 2 8 9 11" xfId="37656"/>
    <cellStyle name="Normal 2 8 9 2" xfId="37657"/>
    <cellStyle name="Normal 2 8 9 2 2" xfId="37658"/>
    <cellStyle name="Normal 2 8 9 2 2 2" xfId="37659"/>
    <cellStyle name="Normal 2 8 9 2 2 2 2" xfId="37660"/>
    <cellStyle name="Normal 2 8 9 2 2 2 3" xfId="37661"/>
    <cellStyle name="Normal 2 8 9 2 2 3" xfId="37662"/>
    <cellStyle name="Normal 2 8 9 2 2 4" xfId="37663"/>
    <cellStyle name="Normal 2 8 9 2 2 5" xfId="37664"/>
    <cellStyle name="Normal 2 8 9 2 2 6" xfId="37665"/>
    <cellStyle name="Normal 2 8 9 2 3" xfId="37666"/>
    <cellStyle name="Normal 2 8 9 2 3 2" xfId="37667"/>
    <cellStyle name="Normal 2 8 9 2 3 2 2" xfId="37668"/>
    <cellStyle name="Normal 2 8 9 2 3 3" xfId="37669"/>
    <cellStyle name="Normal 2 8 9 2 3 4" xfId="37670"/>
    <cellStyle name="Normal 2 8 9 2 3 5" xfId="37671"/>
    <cellStyle name="Normal 2 8 9 2 4" xfId="37672"/>
    <cellStyle name="Normal 2 8 9 2 4 2" xfId="37673"/>
    <cellStyle name="Normal 2 8 9 2 4 3" xfId="37674"/>
    <cellStyle name="Normal 2 8 9 2 4 4" xfId="37675"/>
    <cellStyle name="Normal 2 8 9 2 5" xfId="37676"/>
    <cellStyle name="Normal 2 8 9 2 5 2" xfId="37677"/>
    <cellStyle name="Normal 2 8 9 2 6" xfId="37678"/>
    <cellStyle name="Normal 2 8 9 2 7" xfId="37679"/>
    <cellStyle name="Normal 2 8 9 2 8" xfId="37680"/>
    <cellStyle name="Normal 2 8 9 2 9" xfId="37681"/>
    <cellStyle name="Normal 2 8 9 3" xfId="37682"/>
    <cellStyle name="Normal 2 8 9 3 2" xfId="37683"/>
    <cellStyle name="Normal 2 8 9 3 2 2" xfId="37684"/>
    <cellStyle name="Normal 2 8 9 3 2 2 2" xfId="37685"/>
    <cellStyle name="Normal 2 8 9 3 2 2 3" xfId="37686"/>
    <cellStyle name="Normal 2 8 9 3 2 3" xfId="37687"/>
    <cellStyle name="Normal 2 8 9 3 2 4" xfId="37688"/>
    <cellStyle name="Normal 2 8 9 3 2 5" xfId="37689"/>
    <cellStyle name="Normal 2 8 9 3 2 6" xfId="37690"/>
    <cellStyle name="Normal 2 8 9 3 3" xfId="37691"/>
    <cellStyle name="Normal 2 8 9 3 3 2" xfId="37692"/>
    <cellStyle name="Normal 2 8 9 3 3 2 2" xfId="37693"/>
    <cellStyle name="Normal 2 8 9 3 3 3" xfId="37694"/>
    <cellStyle name="Normal 2 8 9 3 3 4" xfId="37695"/>
    <cellStyle name="Normal 2 8 9 3 3 5" xfId="37696"/>
    <cellStyle name="Normal 2 8 9 3 4" xfId="37697"/>
    <cellStyle name="Normal 2 8 9 3 4 2" xfId="37698"/>
    <cellStyle name="Normal 2 8 9 3 4 3" xfId="37699"/>
    <cellStyle name="Normal 2 8 9 3 4 4" xfId="37700"/>
    <cellStyle name="Normal 2 8 9 3 5" xfId="37701"/>
    <cellStyle name="Normal 2 8 9 3 5 2" xfId="37702"/>
    <cellStyle name="Normal 2 8 9 3 6" xfId="37703"/>
    <cellStyle name="Normal 2 8 9 3 7" xfId="37704"/>
    <cellStyle name="Normal 2 8 9 3 8" xfId="37705"/>
    <cellStyle name="Normal 2 8 9 3 9" xfId="37706"/>
    <cellStyle name="Normal 2 8 9 4" xfId="37707"/>
    <cellStyle name="Normal 2 8 9 4 2" xfId="37708"/>
    <cellStyle name="Normal 2 8 9 4 2 2" xfId="37709"/>
    <cellStyle name="Normal 2 8 9 4 2 3" xfId="37710"/>
    <cellStyle name="Normal 2 8 9 4 3" xfId="37711"/>
    <cellStyle name="Normal 2 8 9 4 4" xfId="37712"/>
    <cellStyle name="Normal 2 8 9 4 5" xfId="37713"/>
    <cellStyle name="Normal 2 8 9 4 6" xfId="37714"/>
    <cellStyle name="Normal 2 8 9 5" xfId="37715"/>
    <cellStyle name="Normal 2 8 9 5 2" xfId="37716"/>
    <cellStyle name="Normal 2 8 9 5 2 2" xfId="37717"/>
    <cellStyle name="Normal 2 8 9 5 3" xfId="37718"/>
    <cellStyle name="Normal 2 8 9 5 4" xfId="37719"/>
    <cellStyle name="Normal 2 8 9 5 5" xfId="37720"/>
    <cellStyle name="Normal 2 8 9 6" xfId="37721"/>
    <cellStyle name="Normal 2 8 9 6 2" xfId="37722"/>
    <cellStyle name="Normal 2 8 9 6 3" xfId="37723"/>
    <cellStyle name="Normal 2 8 9 6 4" xfId="37724"/>
    <cellStyle name="Normal 2 8 9 7" xfId="37725"/>
    <cellStyle name="Normal 2 8 9 7 2" xfId="37726"/>
    <cellStyle name="Normal 2 8 9 8" xfId="37727"/>
    <cellStyle name="Normal 2 8 9 9" xfId="37728"/>
    <cellStyle name="Normal 2 9" xfId="37729"/>
    <cellStyle name="Normal 2 9 2" xfId="37730"/>
    <cellStyle name="Normal 2 9 2 10" xfId="37731"/>
    <cellStyle name="Normal 2 9 2 10 10" xfId="37732"/>
    <cellStyle name="Normal 2 9 2 10 2" xfId="37733"/>
    <cellStyle name="Normal 2 9 2 10 2 2" xfId="37734"/>
    <cellStyle name="Normal 2 9 2 10 2 2 2" xfId="37735"/>
    <cellStyle name="Normal 2 9 2 10 2 2 3" xfId="37736"/>
    <cellStyle name="Normal 2 9 2 10 2 3" xfId="37737"/>
    <cellStyle name="Normal 2 9 2 10 2 4" xfId="37738"/>
    <cellStyle name="Normal 2 9 2 10 2 5" xfId="37739"/>
    <cellStyle name="Normal 2 9 2 10 2 6" xfId="37740"/>
    <cellStyle name="Normal 2 9 2 10 3" xfId="37741"/>
    <cellStyle name="Normal 2 9 2 10 3 2" xfId="37742"/>
    <cellStyle name="Normal 2 9 2 10 3 2 2" xfId="37743"/>
    <cellStyle name="Normal 2 9 2 10 3 2 3" xfId="37744"/>
    <cellStyle name="Normal 2 9 2 10 3 3" xfId="37745"/>
    <cellStyle name="Normal 2 9 2 10 3 4" xfId="37746"/>
    <cellStyle name="Normal 2 9 2 10 3 5" xfId="37747"/>
    <cellStyle name="Normal 2 9 2 10 3 6" xfId="37748"/>
    <cellStyle name="Normal 2 9 2 10 4" xfId="37749"/>
    <cellStyle name="Normal 2 9 2 10 4 2" xfId="37750"/>
    <cellStyle name="Normal 2 9 2 10 4 2 2" xfId="37751"/>
    <cellStyle name="Normal 2 9 2 10 4 3" xfId="37752"/>
    <cellStyle name="Normal 2 9 2 10 4 4" xfId="37753"/>
    <cellStyle name="Normal 2 9 2 10 4 5" xfId="37754"/>
    <cellStyle name="Normal 2 9 2 10 5" xfId="37755"/>
    <cellStyle name="Normal 2 9 2 10 5 2" xfId="37756"/>
    <cellStyle name="Normal 2 9 2 10 5 3" xfId="37757"/>
    <cellStyle name="Normal 2 9 2 10 5 4" xfId="37758"/>
    <cellStyle name="Normal 2 9 2 10 6" xfId="37759"/>
    <cellStyle name="Normal 2 9 2 10 6 2" xfId="37760"/>
    <cellStyle name="Normal 2 9 2 10 7" xfId="37761"/>
    <cellStyle name="Normal 2 9 2 10 8" xfId="37762"/>
    <cellStyle name="Normal 2 9 2 10 9" xfId="37763"/>
    <cellStyle name="Normal 2 9 2 11" xfId="37764"/>
    <cellStyle name="Normal 2 9 2 11 10" xfId="37765"/>
    <cellStyle name="Normal 2 9 2 11 2" xfId="37766"/>
    <cellStyle name="Normal 2 9 2 11 2 2" xfId="37767"/>
    <cellStyle name="Normal 2 9 2 11 2 2 2" xfId="37768"/>
    <cellStyle name="Normal 2 9 2 11 2 2 3" xfId="37769"/>
    <cellStyle name="Normal 2 9 2 11 2 3" xfId="37770"/>
    <cellStyle name="Normal 2 9 2 11 2 4" xfId="37771"/>
    <cellStyle name="Normal 2 9 2 11 2 5" xfId="37772"/>
    <cellStyle name="Normal 2 9 2 11 2 6" xfId="37773"/>
    <cellStyle name="Normal 2 9 2 11 3" xfId="37774"/>
    <cellStyle name="Normal 2 9 2 11 3 2" xfId="37775"/>
    <cellStyle name="Normal 2 9 2 11 3 2 2" xfId="37776"/>
    <cellStyle name="Normal 2 9 2 11 3 2 3" xfId="37777"/>
    <cellStyle name="Normal 2 9 2 11 3 3" xfId="37778"/>
    <cellStyle name="Normal 2 9 2 11 3 4" xfId="37779"/>
    <cellStyle name="Normal 2 9 2 11 3 5" xfId="37780"/>
    <cellStyle name="Normal 2 9 2 11 3 6" xfId="37781"/>
    <cellStyle name="Normal 2 9 2 11 4" xfId="37782"/>
    <cellStyle name="Normal 2 9 2 11 4 2" xfId="37783"/>
    <cellStyle name="Normal 2 9 2 11 4 2 2" xfId="37784"/>
    <cellStyle name="Normal 2 9 2 11 4 3" xfId="37785"/>
    <cellStyle name="Normal 2 9 2 11 4 4" xfId="37786"/>
    <cellStyle name="Normal 2 9 2 11 4 5" xfId="37787"/>
    <cellStyle name="Normal 2 9 2 11 5" xfId="37788"/>
    <cellStyle name="Normal 2 9 2 11 5 2" xfId="37789"/>
    <cellStyle name="Normal 2 9 2 11 5 3" xfId="37790"/>
    <cellStyle name="Normal 2 9 2 11 5 4" xfId="37791"/>
    <cellStyle name="Normal 2 9 2 11 6" xfId="37792"/>
    <cellStyle name="Normal 2 9 2 11 6 2" xfId="37793"/>
    <cellStyle name="Normal 2 9 2 11 7" xfId="37794"/>
    <cellStyle name="Normal 2 9 2 11 8" xfId="37795"/>
    <cellStyle name="Normal 2 9 2 11 9" xfId="37796"/>
    <cellStyle name="Normal 2 9 2 12" xfId="37797"/>
    <cellStyle name="Normal 2 9 2 12 10" xfId="37798"/>
    <cellStyle name="Normal 2 9 2 12 2" xfId="37799"/>
    <cellStyle name="Normal 2 9 2 12 2 2" xfId="37800"/>
    <cellStyle name="Normal 2 9 2 12 2 2 2" xfId="37801"/>
    <cellStyle name="Normal 2 9 2 12 2 2 3" xfId="37802"/>
    <cellStyle name="Normal 2 9 2 12 2 3" xfId="37803"/>
    <cellStyle name="Normal 2 9 2 12 2 4" xfId="37804"/>
    <cellStyle name="Normal 2 9 2 12 2 5" xfId="37805"/>
    <cellStyle name="Normal 2 9 2 12 2 6" xfId="37806"/>
    <cellStyle name="Normal 2 9 2 12 3" xfId="37807"/>
    <cellStyle name="Normal 2 9 2 12 3 2" xfId="37808"/>
    <cellStyle name="Normal 2 9 2 12 3 2 2" xfId="37809"/>
    <cellStyle name="Normal 2 9 2 12 3 2 3" xfId="37810"/>
    <cellStyle name="Normal 2 9 2 12 3 3" xfId="37811"/>
    <cellStyle name="Normal 2 9 2 12 3 4" xfId="37812"/>
    <cellStyle name="Normal 2 9 2 12 3 5" xfId="37813"/>
    <cellStyle name="Normal 2 9 2 12 3 6" xfId="37814"/>
    <cellStyle name="Normal 2 9 2 12 4" xfId="37815"/>
    <cellStyle name="Normal 2 9 2 12 4 2" xfId="37816"/>
    <cellStyle name="Normal 2 9 2 12 4 2 2" xfId="37817"/>
    <cellStyle name="Normal 2 9 2 12 4 3" xfId="37818"/>
    <cellStyle name="Normal 2 9 2 12 4 4" xfId="37819"/>
    <cellStyle name="Normal 2 9 2 12 4 5" xfId="37820"/>
    <cellStyle name="Normal 2 9 2 12 5" xfId="37821"/>
    <cellStyle name="Normal 2 9 2 12 5 2" xfId="37822"/>
    <cellStyle name="Normal 2 9 2 12 5 3" xfId="37823"/>
    <cellStyle name="Normal 2 9 2 12 5 4" xfId="37824"/>
    <cellStyle name="Normal 2 9 2 12 6" xfId="37825"/>
    <cellStyle name="Normal 2 9 2 12 6 2" xfId="37826"/>
    <cellStyle name="Normal 2 9 2 12 7" xfId="37827"/>
    <cellStyle name="Normal 2 9 2 12 8" xfId="37828"/>
    <cellStyle name="Normal 2 9 2 12 9" xfId="37829"/>
    <cellStyle name="Normal 2 9 2 13" xfId="37830"/>
    <cellStyle name="Normal 2 9 2 13 2" xfId="37831"/>
    <cellStyle name="Normal 2 9 2 13 2 2" xfId="37832"/>
    <cellStyle name="Normal 2 9 2 13 2 2 2" xfId="37833"/>
    <cellStyle name="Normal 2 9 2 13 2 2 3" xfId="37834"/>
    <cellStyle name="Normal 2 9 2 13 2 3" xfId="37835"/>
    <cellStyle name="Normal 2 9 2 13 2 4" xfId="37836"/>
    <cellStyle name="Normal 2 9 2 13 2 5" xfId="37837"/>
    <cellStyle name="Normal 2 9 2 13 2 6" xfId="37838"/>
    <cellStyle name="Normal 2 9 2 13 3" xfId="37839"/>
    <cellStyle name="Normal 2 9 2 13 3 2" xfId="37840"/>
    <cellStyle name="Normal 2 9 2 13 3 2 2" xfId="37841"/>
    <cellStyle name="Normal 2 9 2 13 3 3" xfId="37842"/>
    <cellStyle name="Normal 2 9 2 13 3 4" xfId="37843"/>
    <cellStyle name="Normal 2 9 2 13 3 5" xfId="37844"/>
    <cellStyle name="Normal 2 9 2 13 4" xfId="37845"/>
    <cellStyle name="Normal 2 9 2 13 4 2" xfId="37846"/>
    <cellStyle name="Normal 2 9 2 13 4 3" xfId="37847"/>
    <cellStyle name="Normal 2 9 2 13 4 4" xfId="37848"/>
    <cellStyle name="Normal 2 9 2 13 5" xfId="37849"/>
    <cellStyle name="Normal 2 9 2 13 5 2" xfId="37850"/>
    <cellStyle name="Normal 2 9 2 13 6" xfId="37851"/>
    <cellStyle name="Normal 2 9 2 13 7" xfId="37852"/>
    <cellStyle name="Normal 2 9 2 13 8" xfId="37853"/>
    <cellStyle name="Normal 2 9 2 13 9" xfId="37854"/>
    <cellStyle name="Normal 2 9 2 14" xfId="37855"/>
    <cellStyle name="Normal 2 9 2 14 2" xfId="37856"/>
    <cellStyle name="Normal 2 9 2 14 2 2" xfId="37857"/>
    <cellStyle name="Normal 2 9 2 14 2 2 2" xfId="37858"/>
    <cellStyle name="Normal 2 9 2 14 2 2 3" xfId="37859"/>
    <cellStyle name="Normal 2 9 2 14 2 3" xfId="37860"/>
    <cellStyle name="Normal 2 9 2 14 2 4" xfId="37861"/>
    <cellStyle name="Normal 2 9 2 14 2 5" xfId="37862"/>
    <cellStyle name="Normal 2 9 2 14 2 6" xfId="37863"/>
    <cellStyle name="Normal 2 9 2 14 3" xfId="37864"/>
    <cellStyle name="Normal 2 9 2 14 3 2" xfId="37865"/>
    <cellStyle name="Normal 2 9 2 14 3 2 2" xfId="37866"/>
    <cellStyle name="Normal 2 9 2 14 3 3" xfId="37867"/>
    <cellStyle name="Normal 2 9 2 14 3 4" xfId="37868"/>
    <cellStyle name="Normal 2 9 2 14 3 5" xfId="37869"/>
    <cellStyle name="Normal 2 9 2 14 4" xfId="37870"/>
    <cellStyle name="Normal 2 9 2 14 4 2" xfId="37871"/>
    <cellStyle name="Normal 2 9 2 14 4 3" xfId="37872"/>
    <cellStyle name="Normal 2 9 2 14 4 4" xfId="37873"/>
    <cellStyle name="Normal 2 9 2 14 5" xfId="37874"/>
    <cellStyle name="Normal 2 9 2 14 5 2" xfId="37875"/>
    <cellStyle name="Normal 2 9 2 14 6" xfId="37876"/>
    <cellStyle name="Normal 2 9 2 14 7" xfId="37877"/>
    <cellStyle name="Normal 2 9 2 14 8" xfId="37878"/>
    <cellStyle name="Normal 2 9 2 14 9" xfId="37879"/>
    <cellStyle name="Normal 2 9 2 15" xfId="37880"/>
    <cellStyle name="Normal 2 9 2 15 2" xfId="37881"/>
    <cellStyle name="Normal 2 9 2 15 2 2" xfId="37882"/>
    <cellStyle name="Normal 2 9 2 15 2 3" xfId="37883"/>
    <cellStyle name="Normal 2 9 2 15 3" xfId="37884"/>
    <cellStyle name="Normal 2 9 2 15 4" xfId="37885"/>
    <cellStyle name="Normal 2 9 2 15 5" xfId="37886"/>
    <cellStyle name="Normal 2 9 2 15 6" xfId="37887"/>
    <cellStyle name="Normal 2 9 2 16" xfId="37888"/>
    <cellStyle name="Normal 2 9 2 16 2" xfId="37889"/>
    <cellStyle name="Normal 2 9 2 16 2 2" xfId="37890"/>
    <cellStyle name="Normal 2 9 2 16 3" xfId="37891"/>
    <cellStyle name="Normal 2 9 2 16 4" xfId="37892"/>
    <cellStyle name="Normal 2 9 2 16 5" xfId="37893"/>
    <cellStyle name="Normal 2 9 2 17" xfId="37894"/>
    <cellStyle name="Normal 2 9 2 17 2" xfId="37895"/>
    <cellStyle name="Normal 2 9 2 17 2 2" xfId="37896"/>
    <cellStyle name="Normal 2 9 2 17 3" xfId="37897"/>
    <cellStyle name="Normal 2 9 2 17 4" xfId="37898"/>
    <cellStyle name="Normal 2 9 2 17 5" xfId="37899"/>
    <cellStyle name="Normal 2 9 2 18" xfId="37900"/>
    <cellStyle name="Normal 2 9 2 18 2" xfId="37901"/>
    <cellStyle name="Normal 2 9 2 19" xfId="37902"/>
    <cellStyle name="Normal 2 9 2 2" xfId="37903"/>
    <cellStyle name="Normal 2 9 2 2 10" xfId="37904"/>
    <cellStyle name="Normal 2 9 2 2 11" xfId="37905"/>
    <cellStyle name="Normal 2 9 2 2 2" xfId="37906"/>
    <cellStyle name="Normal 2 9 2 2 2 2" xfId="37907"/>
    <cellStyle name="Normal 2 9 2 2 2 2 2" xfId="37908"/>
    <cellStyle name="Normal 2 9 2 2 2 2 2 2" xfId="37909"/>
    <cellStyle name="Normal 2 9 2 2 2 2 2 3" xfId="37910"/>
    <cellStyle name="Normal 2 9 2 2 2 2 3" xfId="37911"/>
    <cellStyle name="Normal 2 9 2 2 2 2 4" xfId="37912"/>
    <cellStyle name="Normal 2 9 2 2 2 2 5" xfId="37913"/>
    <cellStyle name="Normal 2 9 2 2 2 2 6" xfId="37914"/>
    <cellStyle name="Normal 2 9 2 2 2 3" xfId="37915"/>
    <cellStyle name="Normal 2 9 2 2 2 3 2" xfId="37916"/>
    <cellStyle name="Normal 2 9 2 2 2 3 2 2" xfId="37917"/>
    <cellStyle name="Normal 2 9 2 2 2 3 3" xfId="37918"/>
    <cellStyle name="Normal 2 9 2 2 2 3 4" xfId="37919"/>
    <cellStyle name="Normal 2 9 2 2 2 3 5" xfId="37920"/>
    <cellStyle name="Normal 2 9 2 2 2 4" xfId="37921"/>
    <cellStyle name="Normal 2 9 2 2 2 4 2" xfId="37922"/>
    <cellStyle name="Normal 2 9 2 2 2 4 3" xfId="37923"/>
    <cellStyle name="Normal 2 9 2 2 2 4 4" xfId="37924"/>
    <cellStyle name="Normal 2 9 2 2 2 5" xfId="37925"/>
    <cellStyle name="Normal 2 9 2 2 2 5 2" xfId="37926"/>
    <cellStyle name="Normal 2 9 2 2 2 6" xfId="37927"/>
    <cellStyle name="Normal 2 9 2 2 2 7" xfId="37928"/>
    <cellStyle name="Normal 2 9 2 2 2 8" xfId="37929"/>
    <cellStyle name="Normal 2 9 2 2 2 9" xfId="37930"/>
    <cellStyle name="Normal 2 9 2 2 3" xfId="37931"/>
    <cellStyle name="Normal 2 9 2 2 3 2" xfId="37932"/>
    <cellStyle name="Normal 2 9 2 2 3 2 2" xfId="37933"/>
    <cellStyle name="Normal 2 9 2 2 3 2 2 2" xfId="37934"/>
    <cellStyle name="Normal 2 9 2 2 3 2 2 3" xfId="37935"/>
    <cellStyle name="Normal 2 9 2 2 3 2 3" xfId="37936"/>
    <cellStyle name="Normal 2 9 2 2 3 2 4" xfId="37937"/>
    <cellStyle name="Normal 2 9 2 2 3 2 5" xfId="37938"/>
    <cellStyle name="Normal 2 9 2 2 3 2 6" xfId="37939"/>
    <cellStyle name="Normal 2 9 2 2 3 3" xfId="37940"/>
    <cellStyle name="Normal 2 9 2 2 3 3 2" xfId="37941"/>
    <cellStyle name="Normal 2 9 2 2 3 3 2 2" xfId="37942"/>
    <cellStyle name="Normal 2 9 2 2 3 3 3" xfId="37943"/>
    <cellStyle name="Normal 2 9 2 2 3 3 4" xfId="37944"/>
    <cellStyle name="Normal 2 9 2 2 3 3 5" xfId="37945"/>
    <cellStyle name="Normal 2 9 2 2 3 4" xfId="37946"/>
    <cellStyle name="Normal 2 9 2 2 3 4 2" xfId="37947"/>
    <cellStyle name="Normal 2 9 2 2 3 4 3" xfId="37948"/>
    <cellStyle name="Normal 2 9 2 2 3 4 4" xfId="37949"/>
    <cellStyle name="Normal 2 9 2 2 3 5" xfId="37950"/>
    <cellStyle name="Normal 2 9 2 2 3 5 2" xfId="37951"/>
    <cellStyle name="Normal 2 9 2 2 3 6" xfId="37952"/>
    <cellStyle name="Normal 2 9 2 2 3 7" xfId="37953"/>
    <cellStyle name="Normal 2 9 2 2 3 8" xfId="37954"/>
    <cellStyle name="Normal 2 9 2 2 3 9" xfId="37955"/>
    <cellStyle name="Normal 2 9 2 2 4" xfId="37956"/>
    <cellStyle name="Normal 2 9 2 2 4 2" xfId="37957"/>
    <cellStyle name="Normal 2 9 2 2 4 2 2" xfId="37958"/>
    <cellStyle name="Normal 2 9 2 2 4 2 3" xfId="37959"/>
    <cellStyle name="Normal 2 9 2 2 4 3" xfId="37960"/>
    <cellStyle name="Normal 2 9 2 2 4 4" xfId="37961"/>
    <cellStyle name="Normal 2 9 2 2 4 5" xfId="37962"/>
    <cellStyle name="Normal 2 9 2 2 4 6" xfId="37963"/>
    <cellStyle name="Normal 2 9 2 2 5" xfId="37964"/>
    <cellStyle name="Normal 2 9 2 2 5 2" xfId="37965"/>
    <cellStyle name="Normal 2 9 2 2 5 2 2" xfId="37966"/>
    <cellStyle name="Normal 2 9 2 2 5 3" xfId="37967"/>
    <cellStyle name="Normal 2 9 2 2 5 4" xfId="37968"/>
    <cellStyle name="Normal 2 9 2 2 5 5" xfId="37969"/>
    <cellStyle name="Normal 2 9 2 2 6" xfId="37970"/>
    <cellStyle name="Normal 2 9 2 2 6 2" xfId="37971"/>
    <cellStyle name="Normal 2 9 2 2 6 3" xfId="37972"/>
    <cellStyle name="Normal 2 9 2 2 6 4" xfId="37973"/>
    <cellStyle name="Normal 2 9 2 2 7" xfId="37974"/>
    <cellStyle name="Normal 2 9 2 2 7 2" xfId="37975"/>
    <cellStyle name="Normal 2 9 2 2 8" xfId="37976"/>
    <cellStyle name="Normal 2 9 2 2 9" xfId="37977"/>
    <cellStyle name="Normal 2 9 2 20" xfId="37978"/>
    <cellStyle name="Normal 2 9 2 21" xfId="37979"/>
    <cellStyle name="Normal 2 9 2 22" xfId="37980"/>
    <cellStyle name="Normal 2 9 2 3" xfId="37981"/>
    <cellStyle name="Normal 2 9 2 3 10" xfId="37982"/>
    <cellStyle name="Normal 2 9 2 3 11" xfId="37983"/>
    <cellStyle name="Normal 2 9 2 3 2" xfId="37984"/>
    <cellStyle name="Normal 2 9 2 3 2 2" xfId="37985"/>
    <cellStyle name="Normal 2 9 2 3 2 2 2" xfId="37986"/>
    <cellStyle name="Normal 2 9 2 3 2 2 2 2" xfId="37987"/>
    <cellStyle name="Normal 2 9 2 3 2 2 2 3" xfId="37988"/>
    <cellStyle name="Normal 2 9 2 3 2 2 3" xfId="37989"/>
    <cellStyle name="Normal 2 9 2 3 2 2 4" xfId="37990"/>
    <cellStyle name="Normal 2 9 2 3 2 2 5" xfId="37991"/>
    <cellStyle name="Normal 2 9 2 3 2 2 6" xfId="37992"/>
    <cellStyle name="Normal 2 9 2 3 2 3" xfId="37993"/>
    <cellStyle name="Normal 2 9 2 3 2 3 2" xfId="37994"/>
    <cellStyle name="Normal 2 9 2 3 2 3 2 2" xfId="37995"/>
    <cellStyle name="Normal 2 9 2 3 2 3 3" xfId="37996"/>
    <cellStyle name="Normal 2 9 2 3 2 3 4" xfId="37997"/>
    <cellStyle name="Normal 2 9 2 3 2 3 5" xfId="37998"/>
    <cellStyle name="Normal 2 9 2 3 2 4" xfId="37999"/>
    <cellStyle name="Normal 2 9 2 3 2 4 2" xfId="38000"/>
    <cellStyle name="Normal 2 9 2 3 2 4 3" xfId="38001"/>
    <cellStyle name="Normal 2 9 2 3 2 4 4" xfId="38002"/>
    <cellStyle name="Normal 2 9 2 3 2 5" xfId="38003"/>
    <cellStyle name="Normal 2 9 2 3 2 5 2" xfId="38004"/>
    <cellStyle name="Normal 2 9 2 3 2 6" xfId="38005"/>
    <cellStyle name="Normal 2 9 2 3 2 7" xfId="38006"/>
    <cellStyle name="Normal 2 9 2 3 2 8" xfId="38007"/>
    <cellStyle name="Normal 2 9 2 3 2 9" xfId="38008"/>
    <cellStyle name="Normal 2 9 2 3 3" xfId="38009"/>
    <cellStyle name="Normal 2 9 2 3 3 2" xfId="38010"/>
    <cellStyle name="Normal 2 9 2 3 3 2 2" xfId="38011"/>
    <cellStyle name="Normal 2 9 2 3 3 2 2 2" xfId="38012"/>
    <cellStyle name="Normal 2 9 2 3 3 2 2 3" xfId="38013"/>
    <cellStyle name="Normal 2 9 2 3 3 2 3" xfId="38014"/>
    <cellStyle name="Normal 2 9 2 3 3 2 4" xfId="38015"/>
    <cellStyle name="Normal 2 9 2 3 3 2 5" xfId="38016"/>
    <cellStyle name="Normal 2 9 2 3 3 2 6" xfId="38017"/>
    <cellStyle name="Normal 2 9 2 3 3 3" xfId="38018"/>
    <cellStyle name="Normal 2 9 2 3 3 3 2" xfId="38019"/>
    <cellStyle name="Normal 2 9 2 3 3 3 2 2" xfId="38020"/>
    <cellStyle name="Normal 2 9 2 3 3 3 3" xfId="38021"/>
    <cellStyle name="Normal 2 9 2 3 3 3 4" xfId="38022"/>
    <cellStyle name="Normal 2 9 2 3 3 3 5" xfId="38023"/>
    <cellStyle name="Normal 2 9 2 3 3 4" xfId="38024"/>
    <cellStyle name="Normal 2 9 2 3 3 4 2" xfId="38025"/>
    <cellStyle name="Normal 2 9 2 3 3 4 3" xfId="38026"/>
    <cellStyle name="Normal 2 9 2 3 3 4 4" xfId="38027"/>
    <cellStyle name="Normal 2 9 2 3 3 5" xfId="38028"/>
    <cellStyle name="Normal 2 9 2 3 3 5 2" xfId="38029"/>
    <cellStyle name="Normal 2 9 2 3 3 6" xfId="38030"/>
    <cellStyle name="Normal 2 9 2 3 3 7" xfId="38031"/>
    <cellStyle name="Normal 2 9 2 3 3 8" xfId="38032"/>
    <cellStyle name="Normal 2 9 2 3 3 9" xfId="38033"/>
    <cellStyle name="Normal 2 9 2 3 4" xfId="38034"/>
    <cellStyle name="Normal 2 9 2 3 4 2" xfId="38035"/>
    <cellStyle name="Normal 2 9 2 3 4 2 2" xfId="38036"/>
    <cellStyle name="Normal 2 9 2 3 4 2 3" xfId="38037"/>
    <cellStyle name="Normal 2 9 2 3 4 3" xfId="38038"/>
    <cellStyle name="Normal 2 9 2 3 4 4" xfId="38039"/>
    <cellStyle name="Normal 2 9 2 3 4 5" xfId="38040"/>
    <cellStyle name="Normal 2 9 2 3 4 6" xfId="38041"/>
    <cellStyle name="Normal 2 9 2 3 5" xfId="38042"/>
    <cellStyle name="Normal 2 9 2 3 5 2" xfId="38043"/>
    <cellStyle name="Normal 2 9 2 3 5 2 2" xfId="38044"/>
    <cellStyle name="Normal 2 9 2 3 5 3" xfId="38045"/>
    <cellStyle name="Normal 2 9 2 3 5 4" xfId="38046"/>
    <cellStyle name="Normal 2 9 2 3 5 5" xfId="38047"/>
    <cellStyle name="Normal 2 9 2 3 6" xfId="38048"/>
    <cellStyle name="Normal 2 9 2 3 6 2" xfId="38049"/>
    <cellStyle name="Normal 2 9 2 3 6 3" xfId="38050"/>
    <cellStyle name="Normal 2 9 2 3 6 4" xfId="38051"/>
    <cellStyle name="Normal 2 9 2 3 7" xfId="38052"/>
    <cellStyle name="Normal 2 9 2 3 7 2" xfId="38053"/>
    <cellStyle name="Normal 2 9 2 3 8" xfId="38054"/>
    <cellStyle name="Normal 2 9 2 3 9" xfId="38055"/>
    <cellStyle name="Normal 2 9 2 4" xfId="38056"/>
    <cellStyle name="Normal 2 9 2 4 10" xfId="38057"/>
    <cellStyle name="Normal 2 9 2 4 11" xfId="38058"/>
    <cellStyle name="Normal 2 9 2 4 2" xfId="38059"/>
    <cellStyle name="Normal 2 9 2 4 2 2" xfId="38060"/>
    <cellStyle name="Normal 2 9 2 4 2 2 2" xfId="38061"/>
    <cellStyle name="Normal 2 9 2 4 2 2 2 2" xfId="38062"/>
    <cellStyle name="Normal 2 9 2 4 2 2 2 3" xfId="38063"/>
    <cellStyle name="Normal 2 9 2 4 2 2 3" xfId="38064"/>
    <cellStyle name="Normal 2 9 2 4 2 2 4" xfId="38065"/>
    <cellStyle name="Normal 2 9 2 4 2 2 5" xfId="38066"/>
    <cellStyle name="Normal 2 9 2 4 2 2 6" xfId="38067"/>
    <cellStyle name="Normal 2 9 2 4 2 3" xfId="38068"/>
    <cellStyle name="Normal 2 9 2 4 2 3 2" xfId="38069"/>
    <cellStyle name="Normal 2 9 2 4 2 3 2 2" xfId="38070"/>
    <cellStyle name="Normal 2 9 2 4 2 3 3" xfId="38071"/>
    <cellStyle name="Normal 2 9 2 4 2 3 4" xfId="38072"/>
    <cellStyle name="Normal 2 9 2 4 2 3 5" xfId="38073"/>
    <cellStyle name="Normal 2 9 2 4 2 4" xfId="38074"/>
    <cellStyle name="Normal 2 9 2 4 2 4 2" xfId="38075"/>
    <cellStyle name="Normal 2 9 2 4 2 4 3" xfId="38076"/>
    <cellStyle name="Normal 2 9 2 4 2 4 4" xfId="38077"/>
    <cellStyle name="Normal 2 9 2 4 2 5" xfId="38078"/>
    <cellStyle name="Normal 2 9 2 4 2 5 2" xfId="38079"/>
    <cellStyle name="Normal 2 9 2 4 2 6" xfId="38080"/>
    <cellStyle name="Normal 2 9 2 4 2 7" xfId="38081"/>
    <cellStyle name="Normal 2 9 2 4 2 8" xfId="38082"/>
    <cellStyle name="Normal 2 9 2 4 2 9" xfId="38083"/>
    <cellStyle name="Normal 2 9 2 4 3" xfId="38084"/>
    <cellStyle name="Normal 2 9 2 4 3 2" xfId="38085"/>
    <cellStyle name="Normal 2 9 2 4 3 2 2" xfId="38086"/>
    <cellStyle name="Normal 2 9 2 4 3 2 2 2" xfId="38087"/>
    <cellStyle name="Normal 2 9 2 4 3 2 2 3" xfId="38088"/>
    <cellStyle name="Normal 2 9 2 4 3 2 3" xfId="38089"/>
    <cellStyle name="Normal 2 9 2 4 3 2 4" xfId="38090"/>
    <cellStyle name="Normal 2 9 2 4 3 2 5" xfId="38091"/>
    <cellStyle name="Normal 2 9 2 4 3 2 6" xfId="38092"/>
    <cellStyle name="Normal 2 9 2 4 3 3" xfId="38093"/>
    <cellStyle name="Normal 2 9 2 4 3 3 2" xfId="38094"/>
    <cellStyle name="Normal 2 9 2 4 3 3 2 2" xfId="38095"/>
    <cellStyle name="Normal 2 9 2 4 3 3 3" xfId="38096"/>
    <cellStyle name="Normal 2 9 2 4 3 3 4" xfId="38097"/>
    <cellStyle name="Normal 2 9 2 4 3 3 5" xfId="38098"/>
    <cellStyle name="Normal 2 9 2 4 3 4" xfId="38099"/>
    <cellStyle name="Normal 2 9 2 4 3 4 2" xfId="38100"/>
    <cellStyle name="Normal 2 9 2 4 3 4 3" xfId="38101"/>
    <cellStyle name="Normal 2 9 2 4 3 4 4" xfId="38102"/>
    <cellStyle name="Normal 2 9 2 4 3 5" xfId="38103"/>
    <cellStyle name="Normal 2 9 2 4 3 5 2" xfId="38104"/>
    <cellStyle name="Normal 2 9 2 4 3 6" xfId="38105"/>
    <cellStyle name="Normal 2 9 2 4 3 7" xfId="38106"/>
    <cellStyle name="Normal 2 9 2 4 3 8" xfId="38107"/>
    <cellStyle name="Normal 2 9 2 4 3 9" xfId="38108"/>
    <cellStyle name="Normal 2 9 2 4 4" xfId="38109"/>
    <cellStyle name="Normal 2 9 2 4 4 2" xfId="38110"/>
    <cellStyle name="Normal 2 9 2 4 4 2 2" xfId="38111"/>
    <cellStyle name="Normal 2 9 2 4 4 2 3" xfId="38112"/>
    <cellStyle name="Normal 2 9 2 4 4 3" xfId="38113"/>
    <cellStyle name="Normal 2 9 2 4 4 4" xfId="38114"/>
    <cellStyle name="Normal 2 9 2 4 4 5" xfId="38115"/>
    <cellStyle name="Normal 2 9 2 4 4 6" xfId="38116"/>
    <cellStyle name="Normal 2 9 2 4 5" xfId="38117"/>
    <cellStyle name="Normal 2 9 2 4 5 2" xfId="38118"/>
    <cellStyle name="Normal 2 9 2 4 5 2 2" xfId="38119"/>
    <cellStyle name="Normal 2 9 2 4 5 3" xfId="38120"/>
    <cellStyle name="Normal 2 9 2 4 5 4" xfId="38121"/>
    <cellStyle name="Normal 2 9 2 4 5 5" xfId="38122"/>
    <cellStyle name="Normal 2 9 2 4 6" xfId="38123"/>
    <cellStyle name="Normal 2 9 2 4 6 2" xfId="38124"/>
    <cellStyle name="Normal 2 9 2 4 6 3" xfId="38125"/>
    <cellStyle name="Normal 2 9 2 4 6 4" xfId="38126"/>
    <cellStyle name="Normal 2 9 2 4 7" xfId="38127"/>
    <cellStyle name="Normal 2 9 2 4 7 2" xfId="38128"/>
    <cellStyle name="Normal 2 9 2 4 8" xfId="38129"/>
    <cellStyle name="Normal 2 9 2 4 9" xfId="38130"/>
    <cellStyle name="Normal 2 9 2 5" xfId="38131"/>
    <cellStyle name="Normal 2 9 2 5 10" xfId="38132"/>
    <cellStyle name="Normal 2 9 2 5 11" xfId="38133"/>
    <cellStyle name="Normal 2 9 2 5 2" xfId="38134"/>
    <cellStyle name="Normal 2 9 2 5 2 2" xfId="38135"/>
    <cellStyle name="Normal 2 9 2 5 2 2 2" xfId="38136"/>
    <cellStyle name="Normal 2 9 2 5 2 2 2 2" xfId="38137"/>
    <cellStyle name="Normal 2 9 2 5 2 2 2 3" xfId="38138"/>
    <cellStyle name="Normal 2 9 2 5 2 2 3" xfId="38139"/>
    <cellStyle name="Normal 2 9 2 5 2 2 4" xfId="38140"/>
    <cellStyle name="Normal 2 9 2 5 2 2 5" xfId="38141"/>
    <cellStyle name="Normal 2 9 2 5 2 2 6" xfId="38142"/>
    <cellStyle name="Normal 2 9 2 5 2 3" xfId="38143"/>
    <cellStyle name="Normal 2 9 2 5 2 3 2" xfId="38144"/>
    <cellStyle name="Normal 2 9 2 5 2 3 2 2" xfId="38145"/>
    <cellStyle name="Normal 2 9 2 5 2 3 3" xfId="38146"/>
    <cellStyle name="Normal 2 9 2 5 2 3 4" xfId="38147"/>
    <cellStyle name="Normal 2 9 2 5 2 3 5" xfId="38148"/>
    <cellStyle name="Normal 2 9 2 5 2 4" xfId="38149"/>
    <cellStyle name="Normal 2 9 2 5 2 4 2" xfId="38150"/>
    <cellStyle name="Normal 2 9 2 5 2 4 3" xfId="38151"/>
    <cellStyle name="Normal 2 9 2 5 2 4 4" xfId="38152"/>
    <cellStyle name="Normal 2 9 2 5 2 5" xfId="38153"/>
    <cellStyle name="Normal 2 9 2 5 2 5 2" xfId="38154"/>
    <cellStyle name="Normal 2 9 2 5 2 6" xfId="38155"/>
    <cellStyle name="Normal 2 9 2 5 2 7" xfId="38156"/>
    <cellStyle name="Normal 2 9 2 5 2 8" xfId="38157"/>
    <cellStyle name="Normal 2 9 2 5 2 9" xfId="38158"/>
    <cellStyle name="Normal 2 9 2 5 3" xfId="38159"/>
    <cellStyle name="Normal 2 9 2 5 3 2" xfId="38160"/>
    <cellStyle name="Normal 2 9 2 5 3 2 2" xfId="38161"/>
    <cellStyle name="Normal 2 9 2 5 3 2 2 2" xfId="38162"/>
    <cellStyle name="Normal 2 9 2 5 3 2 2 3" xfId="38163"/>
    <cellStyle name="Normal 2 9 2 5 3 2 3" xfId="38164"/>
    <cellStyle name="Normal 2 9 2 5 3 2 4" xfId="38165"/>
    <cellStyle name="Normal 2 9 2 5 3 2 5" xfId="38166"/>
    <cellStyle name="Normal 2 9 2 5 3 2 6" xfId="38167"/>
    <cellStyle name="Normal 2 9 2 5 3 3" xfId="38168"/>
    <cellStyle name="Normal 2 9 2 5 3 3 2" xfId="38169"/>
    <cellStyle name="Normal 2 9 2 5 3 3 2 2" xfId="38170"/>
    <cellStyle name="Normal 2 9 2 5 3 3 3" xfId="38171"/>
    <cellStyle name="Normal 2 9 2 5 3 3 4" xfId="38172"/>
    <cellStyle name="Normal 2 9 2 5 3 3 5" xfId="38173"/>
    <cellStyle name="Normal 2 9 2 5 3 4" xfId="38174"/>
    <cellStyle name="Normal 2 9 2 5 3 4 2" xfId="38175"/>
    <cellStyle name="Normal 2 9 2 5 3 4 3" xfId="38176"/>
    <cellStyle name="Normal 2 9 2 5 3 4 4" xfId="38177"/>
    <cellStyle name="Normal 2 9 2 5 3 5" xfId="38178"/>
    <cellStyle name="Normal 2 9 2 5 3 5 2" xfId="38179"/>
    <cellStyle name="Normal 2 9 2 5 3 6" xfId="38180"/>
    <cellStyle name="Normal 2 9 2 5 3 7" xfId="38181"/>
    <cellStyle name="Normal 2 9 2 5 3 8" xfId="38182"/>
    <cellStyle name="Normal 2 9 2 5 3 9" xfId="38183"/>
    <cellStyle name="Normal 2 9 2 5 4" xfId="38184"/>
    <cellStyle name="Normal 2 9 2 5 4 2" xfId="38185"/>
    <cellStyle name="Normal 2 9 2 5 4 2 2" xfId="38186"/>
    <cellStyle name="Normal 2 9 2 5 4 2 3" xfId="38187"/>
    <cellStyle name="Normal 2 9 2 5 4 3" xfId="38188"/>
    <cellStyle name="Normal 2 9 2 5 4 4" xfId="38189"/>
    <cellStyle name="Normal 2 9 2 5 4 5" xfId="38190"/>
    <cellStyle name="Normal 2 9 2 5 4 6" xfId="38191"/>
    <cellStyle name="Normal 2 9 2 5 5" xfId="38192"/>
    <cellStyle name="Normal 2 9 2 5 5 2" xfId="38193"/>
    <cellStyle name="Normal 2 9 2 5 5 2 2" xfId="38194"/>
    <cellStyle name="Normal 2 9 2 5 5 3" xfId="38195"/>
    <cellStyle name="Normal 2 9 2 5 5 4" xfId="38196"/>
    <cellStyle name="Normal 2 9 2 5 5 5" xfId="38197"/>
    <cellStyle name="Normal 2 9 2 5 6" xfId="38198"/>
    <cellStyle name="Normal 2 9 2 5 6 2" xfId="38199"/>
    <cellStyle name="Normal 2 9 2 5 6 3" xfId="38200"/>
    <cellStyle name="Normal 2 9 2 5 6 4" xfId="38201"/>
    <cellStyle name="Normal 2 9 2 5 7" xfId="38202"/>
    <cellStyle name="Normal 2 9 2 5 7 2" xfId="38203"/>
    <cellStyle name="Normal 2 9 2 5 8" xfId="38204"/>
    <cellStyle name="Normal 2 9 2 5 9" xfId="38205"/>
    <cellStyle name="Normal 2 9 2 6" xfId="38206"/>
    <cellStyle name="Normal 2 9 2 6 10" xfId="38207"/>
    <cellStyle name="Normal 2 9 2 6 11" xfId="38208"/>
    <cellStyle name="Normal 2 9 2 6 2" xfId="38209"/>
    <cellStyle name="Normal 2 9 2 6 2 2" xfId="38210"/>
    <cellStyle name="Normal 2 9 2 6 2 2 2" xfId="38211"/>
    <cellStyle name="Normal 2 9 2 6 2 2 2 2" xfId="38212"/>
    <cellStyle name="Normal 2 9 2 6 2 2 2 3" xfId="38213"/>
    <cellStyle name="Normal 2 9 2 6 2 2 3" xfId="38214"/>
    <cellStyle name="Normal 2 9 2 6 2 2 4" xfId="38215"/>
    <cellStyle name="Normal 2 9 2 6 2 2 5" xfId="38216"/>
    <cellStyle name="Normal 2 9 2 6 2 2 6" xfId="38217"/>
    <cellStyle name="Normal 2 9 2 6 2 3" xfId="38218"/>
    <cellStyle name="Normal 2 9 2 6 2 3 2" xfId="38219"/>
    <cellStyle name="Normal 2 9 2 6 2 3 2 2" xfId="38220"/>
    <cellStyle name="Normal 2 9 2 6 2 3 3" xfId="38221"/>
    <cellStyle name="Normal 2 9 2 6 2 3 4" xfId="38222"/>
    <cellStyle name="Normal 2 9 2 6 2 3 5" xfId="38223"/>
    <cellStyle name="Normal 2 9 2 6 2 4" xfId="38224"/>
    <cellStyle name="Normal 2 9 2 6 2 4 2" xfId="38225"/>
    <cellStyle name="Normal 2 9 2 6 2 4 3" xfId="38226"/>
    <cellStyle name="Normal 2 9 2 6 2 4 4" xfId="38227"/>
    <cellStyle name="Normal 2 9 2 6 2 5" xfId="38228"/>
    <cellStyle name="Normal 2 9 2 6 2 5 2" xfId="38229"/>
    <cellStyle name="Normal 2 9 2 6 2 6" xfId="38230"/>
    <cellStyle name="Normal 2 9 2 6 2 7" xfId="38231"/>
    <cellStyle name="Normal 2 9 2 6 2 8" xfId="38232"/>
    <cellStyle name="Normal 2 9 2 6 2 9" xfId="38233"/>
    <cellStyle name="Normal 2 9 2 6 3" xfId="38234"/>
    <cellStyle name="Normal 2 9 2 6 3 2" xfId="38235"/>
    <cellStyle name="Normal 2 9 2 6 3 2 2" xfId="38236"/>
    <cellStyle name="Normal 2 9 2 6 3 2 2 2" xfId="38237"/>
    <cellStyle name="Normal 2 9 2 6 3 2 2 3" xfId="38238"/>
    <cellStyle name="Normal 2 9 2 6 3 2 3" xfId="38239"/>
    <cellStyle name="Normal 2 9 2 6 3 2 4" xfId="38240"/>
    <cellStyle name="Normal 2 9 2 6 3 2 5" xfId="38241"/>
    <cellStyle name="Normal 2 9 2 6 3 2 6" xfId="38242"/>
    <cellStyle name="Normal 2 9 2 6 3 3" xfId="38243"/>
    <cellStyle name="Normal 2 9 2 6 3 3 2" xfId="38244"/>
    <cellStyle name="Normal 2 9 2 6 3 3 2 2" xfId="38245"/>
    <cellStyle name="Normal 2 9 2 6 3 3 3" xfId="38246"/>
    <cellStyle name="Normal 2 9 2 6 3 3 4" xfId="38247"/>
    <cellStyle name="Normal 2 9 2 6 3 3 5" xfId="38248"/>
    <cellStyle name="Normal 2 9 2 6 3 4" xfId="38249"/>
    <cellStyle name="Normal 2 9 2 6 3 4 2" xfId="38250"/>
    <cellStyle name="Normal 2 9 2 6 3 4 3" xfId="38251"/>
    <cellStyle name="Normal 2 9 2 6 3 4 4" xfId="38252"/>
    <cellStyle name="Normal 2 9 2 6 3 5" xfId="38253"/>
    <cellStyle name="Normal 2 9 2 6 3 5 2" xfId="38254"/>
    <cellStyle name="Normal 2 9 2 6 3 6" xfId="38255"/>
    <cellStyle name="Normal 2 9 2 6 3 7" xfId="38256"/>
    <cellStyle name="Normal 2 9 2 6 3 8" xfId="38257"/>
    <cellStyle name="Normal 2 9 2 6 3 9" xfId="38258"/>
    <cellStyle name="Normal 2 9 2 6 4" xfId="38259"/>
    <cellStyle name="Normal 2 9 2 6 4 2" xfId="38260"/>
    <cellStyle name="Normal 2 9 2 6 4 2 2" xfId="38261"/>
    <cellStyle name="Normal 2 9 2 6 4 2 3" xfId="38262"/>
    <cellStyle name="Normal 2 9 2 6 4 3" xfId="38263"/>
    <cellStyle name="Normal 2 9 2 6 4 4" xfId="38264"/>
    <cellStyle name="Normal 2 9 2 6 4 5" xfId="38265"/>
    <cellStyle name="Normal 2 9 2 6 4 6" xfId="38266"/>
    <cellStyle name="Normal 2 9 2 6 5" xfId="38267"/>
    <cellStyle name="Normal 2 9 2 6 5 2" xfId="38268"/>
    <cellStyle name="Normal 2 9 2 6 5 2 2" xfId="38269"/>
    <cellStyle name="Normal 2 9 2 6 5 3" xfId="38270"/>
    <cellStyle name="Normal 2 9 2 6 5 4" xfId="38271"/>
    <cellStyle name="Normal 2 9 2 6 5 5" xfId="38272"/>
    <cellStyle name="Normal 2 9 2 6 6" xfId="38273"/>
    <cellStyle name="Normal 2 9 2 6 6 2" xfId="38274"/>
    <cellStyle name="Normal 2 9 2 6 6 3" xfId="38275"/>
    <cellStyle name="Normal 2 9 2 6 6 4" xfId="38276"/>
    <cellStyle name="Normal 2 9 2 6 7" xfId="38277"/>
    <cellStyle name="Normal 2 9 2 6 7 2" xfId="38278"/>
    <cellStyle name="Normal 2 9 2 6 8" xfId="38279"/>
    <cellStyle name="Normal 2 9 2 6 9" xfId="38280"/>
    <cellStyle name="Normal 2 9 2 7" xfId="38281"/>
    <cellStyle name="Normal 2 9 2 7 10" xfId="38282"/>
    <cellStyle name="Normal 2 9 2 7 11" xfId="38283"/>
    <cellStyle name="Normal 2 9 2 7 2" xfId="38284"/>
    <cellStyle name="Normal 2 9 2 7 2 2" xfId="38285"/>
    <cellStyle name="Normal 2 9 2 7 2 2 2" xfId="38286"/>
    <cellStyle name="Normal 2 9 2 7 2 2 2 2" xfId="38287"/>
    <cellStyle name="Normal 2 9 2 7 2 2 2 3" xfId="38288"/>
    <cellStyle name="Normal 2 9 2 7 2 2 3" xfId="38289"/>
    <cellStyle name="Normal 2 9 2 7 2 2 4" xfId="38290"/>
    <cellStyle name="Normal 2 9 2 7 2 2 5" xfId="38291"/>
    <cellStyle name="Normal 2 9 2 7 2 2 6" xfId="38292"/>
    <cellStyle name="Normal 2 9 2 7 2 3" xfId="38293"/>
    <cellStyle name="Normal 2 9 2 7 2 3 2" xfId="38294"/>
    <cellStyle name="Normal 2 9 2 7 2 3 2 2" xfId="38295"/>
    <cellStyle name="Normal 2 9 2 7 2 3 3" xfId="38296"/>
    <cellStyle name="Normal 2 9 2 7 2 3 4" xfId="38297"/>
    <cellStyle name="Normal 2 9 2 7 2 3 5" xfId="38298"/>
    <cellStyle name="Normal 2 9 2 7 2 4" xfId="38299"/>
    <cellStyle name="Normal 2 9 2 7 2 4 2" xfId="38300"/>
    <cellStyle name="Normal 2 9 2 7 2 4 3" xfId="38301"/>
    <cellStyle name="Normal 2 9 2 7 2 4 4" xfId="38302"/>
    <cellStyle name="Normal 2 9 2 7 2 5" xfId="38303"/>
    <cellStyle name="Normal 2 9 2 7 2 5 2" xfId="38304"/>
    <cellStyle name="Normal 2 9 2 7 2 6" xfId="38305"/>
    <cellStyle name="Normal 2 9 2 7 2 7" xfId="38306"/>
    <cellStyle name="Normal 2 9 2 7 2 8" xfId="38307"/>
    <cellStyle name="Normal 2 9 2 7 2 9" xfId="38308"/>
    <cellStyle name="Normal 2 9 2 7 3" xfId="38309"/>
    <cellStyle name="Normal 2 9 2 7 3 2" xfId="38310"/>
    <cellStyle name="Normal 2 9 2 7 3 2 2" xfId="38311"/>
    <cellStyle name="Normal 2 9 2 7 3 2 2 2" xfId="38312"/>
    <cellStyle name="Normal 2 9 2 7 3 2 2 3" xfId="38313"/>
    <cellStyle name="Normal 2 9 2 7 3 2 3" xfId="38314"/>
    <cellStyle name="Normal 2 9 2 7 3 2 4" xfId="38315"/>
    <cellStyle name="Normal 2 9 2 7 3 2 5" xfId="38316"/>
    <cellStyle name="Normal 2 9 2 7 3 2 6" xfId="38317"/>
    <cellStyle name="Normal 2 9 2 7 3 3" xfId="38318"/>
    <cellStyle name="Normal 2 9 2 7 3 3 2" xfId="38319"/>
    <cellStyle name="Normal 2 9 2 7 3 3 2 2" xfId="38320"/>
    <cellStyle name="Normal 2 9 2 7 3 3 3" xfId="38321"/>
    <cellStyle name="Normal 2 9 2 7 3 3 4" xfId="38322"/>
    <cellStyle name="Normal 2 9 2 7 3 3 5" xfId="38323"/>
    <cellStyle name="Normal 2 9 2 7 3 4" xfId="38324"/>
    <cellStyle name="Normal 2 9 2 7 3 4 2" xfId="38325"/>
    <cellStyle name="Normal 2 9 2 7 3 4 3" xfId="38326"/>
    <cellStyle name="Normal 2 9 2 7 3 4 4" xfId="38327"/>
    <cellStyle name="Normal 2 9 2 7 3 5" xfId="38328"/>
    <cellStyle name="Normal 2 9 2 7 3 5 2" xfId="38329"/>
    <cellStyle name="Normal 2 9 2 7 3 6" xfId="38330"/>
    <cellStyle name="Normal 2 9 2 7 3 7" xfId="38331"/>
    <cellStyle name="Normal 2 9 2 7 3 8" xfId="38332"/>
    <cellStyle name="Normal 2 9 2 7 3 9" xfId="38333"/>
    <cellStyle name="Normal 2 9 2 7 4" xfId="38334"/>
    <cellStyle name="Normal 2 9 2 7 4 2" xfId="38335"/>
    <cellStyle name="Normal 2 9 2 7 4 2 2" xfId="38336"/>
    <cellStyle name="Normal 2 9 2 7 4 2 3" xfId="38337"/>
    <cellStyle name="Normal 2 9 2 7 4 3" xfId="38338"/>
    <cellStyle name="Normal 2 9 2 7 4 4" xfId="38339"/>
    <cellStyle name="Normal 2 9 2 7 4 5" xfId="38340"/>
    <cellStyle name="Normal 2 9 2 7 4 6" xfId="38341"/>
    <cellStyle name="Normal 2 9 2 7 5" xfId="38342"/>
    <cellStyle name="Normal 2 9 2 7 5 2" xfId="38343"/>
    <cellStyle name="Normal 2 9 2 7 5 2 2" xfId="38344"/>
    <cellStyle name="Normal 2 9 2 7 5 3" xfId="38345"/>
    <cellStyle name="Normal 2 9 2 7 5 4" xfId="38346"/>
    <cellStyle name="Normal 2 9 2 7 5 5" xfId="38347"/>
    <cellStyle name="Normal 2 9 2 7 6" xfId="38348"/>
    <cellStyle name="Normal 2 9 2 7 6 2" xfId="38349"/>
    <cellStyle name="Normal 2 9 2 7 6 3" xfId="38350"/>
    <cellStyle name="Normal 2 9 2 7 6 4" xfId="38351"/>
    <cellStyle name="Normal 2 9 2 7 7" xfId="38352"/>
    <cellStyle name="Normal 2 9 2 7 7 2" xfId="38353"/>
    <cellStyle name="Normal 2 9 2 7 8" xfId="38354"/>
    <cellStyle name="Normal 2 9 2 7 9" xfId="38355"/>
    <cellStyle name="Normal 2 9 2 8" xfId="38356"/>
    <cellStyle name="Normal 2 9 2 8 10" xfId="38357"/>
    <cellStyle name="Normal 2 9 2 8 2" xfId="38358"/>
    <cellStyle name="Normal 2 9 2 8 2 2" xfId="38359"/>
    <cellStyle name="Normal 2 9 2 8 2 2 2" xfId="38360"/>
    <cellStyle name="Normal 2 9 2 8 2 2 3" xfId="38361"/>
    <cellStyle name="Normal 2 9 2 8 2 3" xfId="38362"/>
    <cellStyle name="Normal 2 9 2 8 2 4" xfId="38363"/>
    <cellStyle name="Normal 2 9 2 8 2 5" xfId="38364"/>
    <cellStyle name="Normal 2 9 2 8 2 6" xfId="38365"/>
    <cellStyle name="Normal 2 9 2 8 3" xfId="38366"/>
    <cellStyle name="Normal 2 9 2 8 3 2" xfId="38367"/>
    <cellStyle name="Normal 2 9 2 8 3 2 2" xfId="38368"/>
    <cellStyle name="Normal 2 9 2 8 3 2 3" xfId="38369"/>
    <cellStyle name="Normal 2 9 2 8 3 3" xfId="38370"/>
    <cellStyle name="Normal 2 9 2 8 3 4" xfId="38371"/>
    <cellStyle name="Normal 2 9 2 8 3 5" xfId="38372"/>
    <cellStyle name="Normal 2 9 2 8 3 6" xfId="38373"/>
    <cellStyle name="Normal 2 9 2 8 4" xfId="38374"/>
    <cellStyle name="Normal 2 9 2 8 4 2" xfId="38375"/>
    <cellStyle name="Normal 2 9 2 8 4 2 2" xfId="38376"/>
    <cellStyle name="Normal 2 9 2 8 4 3" xfId="38377"/>
    <cellStyle name="Normal 2 9 2 8 4 4" xfId="38378"/>
    <cellStyle name="Normal 2 9 2 8 4 5" xfId="38379"/>
    <cellStyle name="Normal 2 9 2 8 5" xfId="38380"/>
    <cellStyle name="Normal 2 9 2 8 5 2" xfId="38381"/>
    <cellStyle name="Normal 2 9 2 8 5 3" xfId="38382"/>
    <cellStyle name="Normal 2 9 2 8 5 4" xfId="38383"/>
    <cellStyle name="Normal 2 9 2 8 6" xfId="38384"/>
    <cellStyle name="Normal 2 9 2 8 6 2" xfId="38385"/>
    <cellStyle name="Normal 2 9 2 8 7" xfId="38386"/>
    <cellStyle name="Normal 2 9 2 8 8" xfId="38387"/>
    <cellStyle name="Normal 2 9 2 8 9" xfId="38388"/>
    <cellStyle name="Normal 2 9 2 9" xfId="38389"/>
    <cellStyle name="Normal 2 9 2 9 10" xfId="38390"/>
    <cellStyle name="Normal 2 9 2 9 2" xfId="38391"/>
    <cellStyle name="Normal 2 9 2 9 2 2" xfId="38392"/>
    <cellStyle name="Normal 2 9 2 9 2 2 2" xfId="38393"/>
    <cellStyle name="Normal 2 9 2 9 2 2 3" xfId="38394"/>
    <cellStyle name="Normal 2 9 2 9 2 3" xfId="38395"/>
    <cellStyle name="Normal 2 9 2 9 2 4" xfId="38396"/>
    <cellStyle name="Normal 2 9 2 9 2 5" xfId="38397"/>
    <cellStyle name="Normal 2 9 2 9 2 6" xfId="38398"/>
    <cellStyle name="Normal 2 9 2 9 3" xfId="38399"/>
    <cellStyle name="Normal 2 9 2 9 3 2" xfId="38400"/>
    <cellStyle name="Normal 2 9 2 9 3 2 2" xfId="38401"/>
    <cellStyle name="Normal 2 9 2 9 3 2 3" xfId="38402"/>
    <cellStyle name="Normal 2 9 2 9 3 3" xfId="38403"/>
    <cellStyle name="Normal 2 9 2 9 3 4" xfId="38404"/>
    <cellStyle name="Normal 2 9 2 9 3 5" xfId="38405"/>
    <cellStyle name="Normal 2 9 2 9 3 6" xfId="38406"/>
    <cellStyle name="Normal 2 9 2 9 4" xfId="38407"/>
    <cellStyle name="Normal 2 9 2 9 4 2" xfId="38408"/>
    <cellStyle name="Normal 2 9 2 9 4 2 2" xfId="38409"/>
    <cellStyle name="Normal 2 9 2 9 4 3" xfId="38410"/>
    <cellStyle name="Normal 2 9 2 9 4 4" xfId="38411"/>
    <cellStyle name="Normal 2 9 2 9 4 5" xfId="38412"/>
    <cellStyle name="Normal 2 9 2 9 5" xfId="38413"/>
    <cellStyle name="Normal 2 9 2 9 5 2" xfId="38414"/>
    <cellStyle name="Normal 2 9 2 9 5 3" xfId="38415"/>
    <cellStyle name="Normal 2 9 2 9 5 4" xfId="38416"/>
    <cellStyle name="Normal 2 9 2 9 6" xfId="38417"/>
    <cellStyle name="Normal 2 9 2 9 6 2" xfId="38418"/>
    <cellStyle name="Normal 2 9 2 9 7" xfId="38419"/>
    <cellStyle name="Normal 2 9 2 9 8" xfId="38420"/>
    <cellStyle name="Normal 2 9 2 9 9" xfId="38421"/>
    <cellStyle name="Normal 2 9 3" xfId="38422"/>
    <cellStyle name="Normal 2 9 3 2" xfId="38423"/>
    <cellStyle name="Normal 2 9 4" xfId="38424"/>
    <cellStyle name="Normal 2 9 5" xfId="38425"/>
    <cellStyle name="Normal 2 9 6" xfId="38426"/>
    <cellStyle name="Normal 2 9 7" xfId="38427"/>
    <cellStyle name="Normal 2 9 8" xfId="38428"/>
    <cellStyle name="Normal 20" xfId="38429"/>
    <cellStyle name="Normal 20 2" xfId="38430"/>
    <cellStyle name="Normal 20 2 2" xfId="38431"/>
    <cellStyle name="Normal 20 2 3" xfId="38432"/>
    <cellStyle name="Normal 20 3" xfId="38433"/>
    <cellStyle name="Normal 20 4" xfId="38434"/>
    <cellStyle name="Normal 21" xfId="38435"/>
    <cellStyle name="Normal 21 2" xfId="38436"/>
    <cellStyle name="Normal 21 3" xfId="38437"/>
    <cellStyle name="Normal 22" xfId="38438"/>
    <cellStyle name="Normal 22 2" xfId="38439"/>
    <cellStyle name="Normal 23" xfId="38440"/>
    <cellStyle name="Normal 24" xfId="38441"/>
    <cellStyle name="Normal 25" xfId="38442"/>
    <cellStyle name="Normal 26" xfId="38443"/>
    <cellStyle name="Normal 27" xfId="38444"/>
    <cellStyle name="Normal 28" xfId="38445"/>
    <cellStyle name="Normal 29" xfId="38446"/>
    <cellStyle name="Normal 3" xfId="38447"/>
    <cellStyle name="Normal 3 10" xfId="38448"/>
    <cellStyle name="Normal 3 10 2" xfId="38449"/>
    <cellStyle name="Normal 3 11" xfId="38450"/>
    <cellStyle name="Normal 3 11 2" xfId="38451"/>
    <cellStyle name="Normal 3 12" xfId="38452"/>
    <cellStyle name="Normal 3 13" xfId="38453"/>
    <cellStyle name="Normal 3 14" xfId="38454"/>
    <cellStyle name="Normal 3 15" xfId="38455"/>
    <cellStyle name="Normal 3 16" xfId="38456"/>
    <cellStyle name="Normal 3 17" xfId="38457"/>
    <cellStyle name="Normal 3 18" xfId="38458"/>
    <cellStyle name="Normal 3 19" xfId="38459"/>
    <cellStyle name="Normal 3 2" xfId="38460"/>
    <cellStyle name="Normal 3 2 2" xfId="38461"/>
    <cellStyle name="Normal 3 2 2 2" xfId="38462"/>
    <cellStyle name="Normal 3 2 2 2 2" xfId="38463"/>
    <cellStyle name="Normal 3 2 2 2 3" xfId="38464"/>
    <cellStyle name="Normal 3 2 2 3" xfId="38465"/>
    <cellStyle name="Normal 3 2 2 3 2" xfId="38466"/>
    <cellStyle name="Normal 3 2 2 4" xfId="38467"/>
    <cellStyle name="Normal 3 2 2 5" xfId="38468"/>
    <cellStyle name="Normal 3 2 2 6" xfId="38469"/>
    <cellStyle name="Normal 3 2 2 7" xfId="38470"/>
    <cellStyle name="Normal 3 2 3" xfId="38471"/>
    <cellStyle name="Normal 3 2 3 2" xfId="38472"/>
    <cellStyle name="Normal 3 2 3 3" xfId="38473"/>
    <cellStyle name="Normal 3 2 3 4" xfId="38474"/>
    <cellStyle name="Normal 3 2 3 5" xfId="38475"/>
    <cellStyle name="Normal 3 2 4" xfId="38476"/>
    <cellStyle name="Normal 3 2 4 2" xfId="38477"/>
    <cellStyle name="Normal 3 2 4 3" xfId="38478"/>
    <cellStyle name="Normal 3 2 4 4" xfId="38479"/>
    <cellStyle name="Normal 3 2 5" xfId="38480"/>
    <cellStyle name="Normal 3 2 5 2" xfId="38481"/>
    <cellStyle name="Normal 3 2 5 3" xfId="38482"/>
    <cellStyle name="Normal 3 2 5 4" xfId="38483"/>
    <cellStyle name="Normal 3 2 6" xfId="38484"/>
    <cellStyle name="Normal 3 2 7" xfId="38485"/>
    <cellStyle name="Normal 3 2 8" xfId="38486"/>
    <cellStyle name="Normal 3 20" xfId="38487"/>
    <cellStyle name="Normal 3 21" xfId="38488"/>
    <cellStyle name="Normal 3 22" xfId="38489"/>
    <cellStyle name="Normal 3 23" xfId="38490"/>
    <cellStyle name="Normal 3 24" xfId="38491"/>
    <cellStyle name="Normal 3 25" xfId="38492"/>
    <cellStyle name="Normal 3 26" xfId="38493"/>
    <cellStyle name="Normal 3 27" xfId="38494"/>
    <cellStyle name="Normal 3 28" xfId="38495"/>
    <cellStyle name="Normal 3 29" xfId="38496"/>
    <cellStyle name="Normal 3 3" xfId="38497"/>
    <cellStyle name="Normal 3 3 2" xfId="38498"/>
    <cellStyle name="Normal 3 3 3" xfId="38499"/>
    <cellStyle name="Normal 3 30" xfId="38500"/>
    <cellStyle name="Normal 3 31" xfId="38501"/>
    <cellStyle name="Normal 3 32" xfId="38502"/>
    <cellStyle name="Normal 3 33" xfId="38503"/>
    <cellStyle name="Normal 3 34" xfId="38504"/>
    <cellStyle name="Normal 3 35" xfId="38505"/>
    <cellStyle name="Normal 3 36" xfId="38506"/>
    <cellStyle name="Normal 3 37" xfId="38507"/>
    <cellStyle name="Normal 3 38" xfId="38508"/>
    <cellStyle name="Normal 3 39" xfId="38509"/>
    <cellStyle name="Normal 3 4" xfId="38510"/>
    <cellStyle name="Normal 3 4 10" xfId="38511"/>
    <cellStyle name="Normal 3 4 11" xfId="38512"/>
    <cellStyle name="Normal 3 4 12" xfId="38513"/>
    <cellStyle name="Normal 3 4 13" xfId="38514"/>
    <cellStyle name="Normal 3 4 14" xfId="38515"/>
    <cellStyle name="Normal 3 4 15" xfId="38516"/>
    <cellStyle name="Normal 3 4 16" xfId="38517"/>
    <cellStyle name="Normal 3 4 17" xfId="38518"/>
    <cellStyle name="Normal 3 4 18" xfId="38519"/>
    <cellStyle name="Normal 3 4 19" xfId="38520"/>
    <cellStyle name="Normal 3 4 2" xfId="38521"/>
    <cellStyle name="Normal 3 4 20" xfId="38522"/>
    <cellStyle name="Normal 3 4 21" xfId="38523"/>
    <cellStyle name="Normal 3 4 22" xfId="38524"/>
    <cellStyle name="Normal 3 4 23" xfId="38525"/>
    <cellStyle name="Normal 3 4 24" xfId="38526"/>
    <cellStyle name="Normal 3 4 25" xfId="38527"/>
    <cellStyle name="Normal 3 4 26" xfId="38528"/>
    <cellStyle name="Normal 3 4 27" xfId="38529"/>
    <cellStyle name="Normal 3 4 28" xfId="38530"/>
    <cellStyle name="Normal 3 4 29" xfId="38531"/>
    <cellStyle name="Normal 3 4 3" xfId="38532"/>
    <cellStyle name="Normal 3 4 30" xfId="38533"/>
    <cellStyle name="Normal 3 4 31" xfId="38534"/>
    <cellStyle name="Normal 3 4 32" xfId="38535"/>
    <cellStyle name="Normal 3 4 33" xfId="38536"/>
    <cellStyle name="Normal 3 4 34" xfId="38537"/>
    <cellStyle name="Normal 3 4 35" xfId="38538"/>
    <cellStyle name="Normal 3 4 4" xfId="38539"/>
    <cellStyle name="Normal 3 4 5" xfId="38540"/>
    <cellStyle name="Normal 3 4 6" xfId="38541"/>
    <cellStyle name="Normal 3 4 7" xfId="38542"/>
    <cellStyle name="Normal 3 4 8" xfId="38543"/>
    <cellStyle name="Normal 3 4 9" xfId="38544"/>
    <cellStyle name="Normal 3 40" xfId="38545"/>
    <cellStyle name="Normal 3 41" xfId="38546"/>
    <cellStyle name="Normal 3 42" xfId="38547"/>
    <cellStyle name="Normal 3 43" xfId="38548"/>
    <cellStyle name="Normal 3 44" xfId="38549"/>
    <cellStyle name="Normal 3 45" xfId="38550"/>
    <cellStyle name="Normal 3 46" xfId="38551"/>
    <cellStyle name="Normal 3 47" xfId="38552"/>
    <cellStyle name="Normal 3 5" xfId="38553"/>
    <cellStyle name="Normal 3 5 2" xfId="38554"/>
    <cellStyle name="Normal 3 5 3" xfId="38555"/>
    <cellStyle name="Normal 3 6" xfId="38556"/>
    <cellStyle name="Normal 3 6 2" xfId="38557"/>
    <cellStyle name="Normal 3 6 3" xfId="38558"/>
    <cellStyle name="Normal 3 7" xfId="38559"/>
    <cellStyle name="Normal 3 7 2" xfId="38560"/>
    <cellStyle name="Normal 3 8" xfId="38561"/>
    <cellStyle name="Normal 3 8 2" xfId="38562"/>
    <cellStyle name="Normal 3 9" xfId="38563"/>
    <cellStyle name="Normal 3 9 2" xfId="38564"/>
    <cellStyle name="Normal 30" xfId="38565"/>
    <cellStyle name="Normal 31" xfId="38566"/>
    <cellStyle name="Normal 32" xfId="38567"/>
    <cellStyle name="Normal 33" xfId="38568"/>
    <cellStyle name="Normal 34" xfId="38569"/>
    <cellStyle name="Normal 35" xfId="38570"/>
    <cellStyle name="Normal 36" xfId="38571"/>
    <cellStyle name="Normal 37" xfId="38572"/>
    <cellStyle name="Normal 38" xfId="38573"/>
    <cellStyle name="Normal 39" xfId="38574"/>
    <cellStyle name="Normal 4" xfId="38575"/>
    <cellStyle name="Normal 4 10" xfId="38576"/>
    <cellStyle name="Normal 4 10 2" xfId="38577"/>
    <cellStyle name="Normal 4 10 2 2" xfId="38578"/>
    <cellStyle name="Normal 4 10 3" xfId="38579"/>
    <cellStyle name="Normal 4 10 4" xfId="38580"/>
    <cellStyle name="Normal 4 11" xfId="38581"/>
    <cellStyle name="Normal 4 11 2" xfId="38582"/>
    <cellStyle name="Normal 4 11 3" xfId="38583"/>
    <cellStyle name="Normal 4 12" xfId="38584"/>
    <cellStyle name="Normal 4 13" xfId="38585"/>
    <cellStyle name="Normal 4 13 2" xfId="38586"/>
    <cellStyle name="Normal 4 14" xfId="38587"/>
    <cellStyle name="Normal 4 15" xfId="38588"/>
    <cellStyle name="Normal 4 16" xfId="38589"/>
    <cellStyle name="Normal 4 17" xfId="38590"/>
    <cellStyle name="Normal 4 18" xfId="38591"/>
    <cellStyle name="Normal 4 18 2" xfId="38592"/>
    <cellStyle name="Normal 4 19" xfId="38593"/>
    <cellStyle name="Normal 4 2" xfId="38594"/>
    <cellStyle name="Normal 4 2 10" xfId="38595"/>
    <cellStyle name="Normal 4 2 10 2" xfId="38596"/>
    <cellStyle name="Normal 4 2 11" xfId="38597"/>
    <cellStyle name="Normal 4 2 11 2" xfId="38598"/>
    <cellStyle name="Normal 4 2 12" xfId="38599"/>
    <cellStyle name="Normal 4 2 12 2" xfId="38600"/>
    <cellStyle name="Normal 4 2 13" xfId="38601"/>
    <cellStyle name="Normal 4 2 13 2" xfId="38602"/>
    <cellStyle name="Normal 4 2 14" xfId="38603"/>
    <cellStyle name="Normal 4 2 14 2" xfId="38604"/>
    <cellStyle name="Normal 4 2 15" xfId="38605"/>
    <cellStyle name="Normal 4 2 15 2" xfId="38606"/>
    <cellStyle name="Normal 4 2 16" xfId="38607"/>
    <cellStyle name="Normal 4 2 16 2" xfId="38608"/>
    <cellStyle name="Normal 4 2 17" xfId="38609"/>
    <cellStyle name="Normal 4 2 18" xfId="38610"/>
    <cellStyle name="Normal 4 2 19" xfId="38611"/>
    <cellStyle name="Normal 4 2 2" xfId="38612"/>
    <cellStyle name="Normal 4 2 2 2" xfId="38613"/>
    <cellStyle name="Normal 4 2 2 3" xfId="38614"/>
    <cellStyle name="Normal 4 2 2 4" xfId="38615"/>
    <cellStyle name="Normal 4 2 20" xfId="38616"/>
    <cellStyle name="Normal 4 2 21" xfId="38617"/>
    <cellStyle name="Normal 4 2 22" xfId="38618"/>
    <cellStyle name="Normal 4 2 23" xfId="38619"/>
    <cellStyle name="Normal 4 2 24" xfId="38620"/>
    <cellStyle name="Normal 4 2 25" xfId="38621"/>
    <cellStyle name="Normal 4 2 26" xfId="38622"/>
    <cellStyle name="Normal 4 2 27" xfId="38623"/>
    <cellStyle name="Normal 4 2 28" xfId="38624"/>
    <cellStyle name="Normal 4 2 29" xfId="38625"/>
    <cellStyle name="Normal 4 2 3" xfId="38626"/>
    <cellStyle name="Normal 4 2 3 2" xfId="38627"/>
    <cellStyle name="Normal 4 2 3 3" xfId="38628"/>
    <cellStyle name="Normal 4 2 30" xfId="38629"/>
    <cellStyle name="Normal 4 2 31" xfId="38630"/>
    <cellStyle name="Normal 4 2 32" xfId="38631"/>
    <cellStyle name="Normal 4 2 33" xfId="38632"/>
    <cellStyle name="Normal 4 2 34" xfId="38633"/>
    <cellStyle name="Normal 4 2 35" xfId="38634"/>
    <cellStyle name="Normal 4 2 36" xfId="38635"/>
    <cellStyle name="Normal 4 2 37" xfId="38636"/>
    <cellStyle name="Normal 4 2 38" xfId="38637"/>
    <cellStyle name="Normal 4 2 39" xfId="38638"/>
    <cellStyle name="Normal 4 2 4" xfId="38639"/>
    <cellStyle name="Normal 4 2 4 2" xfId="38640"/>
    <cellStyle name="Normal 4 2 40" xfId="38641"/>
    <cellStyle name="Normal 4 2 41" xfId="38642"/>
    <cellStyle name="Normal 4 2 42" xfId="38643"/>
    <cellStyle name="Normal 4 2 43" xfId="38644"/>
    <cellStyle name="Normal 4 2 44" xfId="38645"/>
    <cellStyle name="Normal 4 2 45" xfId="38646"/>
    <cellStyle name="Normal 4 2 46" xfId="38647"/>
    <cellStyle name="Normal 4 2 47" xfId="38648"/>
    <cellStyle name="Normal 4 2 48" xfId="38649"/>
    <cellStyle name="Normal 4 2 49" xfId="38650"/>
    <cellStyle name="Normal 4 2 5" xfId="38651"/>
    <cellStyle name="Normal 4 2 5 2" xfId="38652"/>
    <cellStyle name="Normal 4 2 50" xfId="38653"/>
    <cellStyle name="Normal 4 2 6" xfId="38654"/>
    <cellStyle name="Normal 4 2 6 2" xfId="38655"/>
    <cellStyle name="Normal 4 2 7" xfId="38656"/>
    <cellStyle name="Normal 4 2 7 2" xfId="38657"/>
    <cellStyle name="Normal 4 2 8" xfId="38658"/>
    <cellStyle name="Normal 4 2 8 2" xfId="38659"/>
    <cellStyle name="Normal 4 2 9" xfId="38660"/>
    <cellStyle name="Normal 4 2 9 2" xfId="38661"/>
    <cellStyle name="Normal 4 20" xfId="38662"/>
    <cellStyle name="Normal 4 21" xfId="38663"/>
    <cellStyle name="Normal 4 22" xfId="38664"/>
    <cellStyle name="Normal 4 22 2" xfId="38665"/>
    <cellStyle name="Normal 4 23" xfId="38666"/>
    <cellStyle name="Normal 4 24" xfId="38667"/>
    <cellStyle name="Normal 4 25" xfId="38668"/>
    <cellStyle name="Normal 4 3" xfId="38669"/>
    <cellStyle name="Normal 4 3 2" xfId="38670"/>
    <cellStyle name="Normal 4 3 3" xfId="38671"/>
    <cellStyle name="Normal 4 3 4" xfId="38672"/>
    <cellStyle name="Normal 4 3 5" xfId="38673"/>
    <cellStyle name="Normal 4 3 6" xfId="38674"/>
    <cellStyle name="Normal 4 3 7" xfId="38675"/>
    <cellStyle name="Normal 4 3 7 2" xfId="38676"/>
    <cellStyle name="Normal 4 3 8" xfId="38677"/>
    <cellStyle name="Normal 4 4" xfId="38678"/>
    <cellStyle name="Normal 4 4 10" xfId="38679"/>
    <cellStyle name="Normal 4 4 2" xfId="38680"/>
    <cellStyle name="Normal 4 4 2 2" xfId="38681"/>
    <cellStyle name="Normal 4 4 2 2 2" xfId="38682"/>
    <cellStyle name="Normal 4 4 2 2 2 2" xfId="38683"/>
    <cellStyle name="Normal 4 4 2 2 2 3" xfId="38684"/>
    <cellStyle name="Normal 4 4 2 2 3" xfId="38685"/>
    <cellStyle name="Normal 4 4 2 2 4" xfId="38686"/>
    <cellStyle name="Normal 4 4 2 2 5" xfId="38687"/>
    <cellStyle name="Normal 4 4 2 2 6" xfId="38688"/>
    <cellStyle name="Normal 4 4 2 3" xfId="38689"/>
    <cellStyle name="Normal 4 4 2 3 2" xfId="38690"/>
    <cellStyle name="Normal 4 4 2 3 2 2" xfId="38691"/>
    <cellStyle name="Normal 4 4 2 3 3" xfId="38692"/>
    <cellStyle name="Normal 4 4 2 3 4" xfId="38693"/>
    <cellStyle name="Normal 4 4 2 3 5" xfId="38694"/>
    <cellStyle name="Normal 4 4 2 4" xfId="38695"/>
    <cellStyle name="Normal 4 4 2 4 2" xfId="38696"/>
    <cellStyle name="Normal 4 4 2 4 3" xfId="38697"/>
    <cellStyle name="Normal 4 4 2 4 4" xfId="38698"/>
    <cellStyle name="Normal 4 4 2 5" xfId="38699"/>
    <cellStyle name="Normal 4 4 2 5 2" xfId="38700"/>
    <cellStyle name="Normal 4 4 2 6" xfId="38701"/>
    <cellStyle name="Normal 4 4 2 7" xfId="38702"/>
    <cellStyle name="Normal 4 4 2 8" xfId="38703"/>
    <cellStyle name="Normal 4 4 2 9" xfId="38704"/>
    <cellStyle name="Normal 4 4 3" xfId="38705"/>
    <cellStyle name="Normal 4 4 3 2" xfId="38706"/>
    <cellStyle name="Normal 4 4 3 2 2" xfId="38707"/>
    <cellStyle name="Normal 4 4 3 2 3" xfId="38708"/>
    <cellStyle name="Normal 4 4 3 3" xfId="38709"/>
    <cellStyle name="Normal 4 4 3 4" xfId="38710"/>
    <cellStyle name="Normal 4 4 3 5" xfId="38711"/>
    <cellStyle name="Normal 4 4 3 6" xfId="38712"/>
    <cellStyle name="Normal 4 4 4" xfId="38713"/>
    <cellStyle name="Normal 4 4 4 2" xfId="38714"/>
    <cellStyle name="Normal 4 4 4 2 2" xfId="38715"/>
    <cellStyle name="Normal 4 4 4 3" xfId="38716"/>
    <cellStyle name="Normal 4 4 4 4" xfId="38717"/>
    <cellStyle name="Normal 4 4 4 5" xfId="38718"/>
    <cellStyle name="Normal 4 4 5" xfId="38719"/>
    <cellStyle name="Normal 4 4 5 2" xfId="38720"/>
    <cellStyle name="Normal 4 4 5 3" xfId="38721"/>
    <cellStyle name="Normal 4 4 5 4" xfId="38722"/>
    <cellStyle name="Normal 4 4 6" xfId="38723"/>
    <cellStyle name="Normal 4 4 6 2" xfId="38724"/>
    <cellStyle name="Normal 4 4 6 3" xfId="38725"/>
    <cellStyle name="Normal 4 4 7" xfId="38726"/>
    <cellStyle name="Normal 4 4 8" xfId="38727"/>
    <cellStyle name="Normal 4 4 9" xfId="38728"/>
    <cellStyle name="Normal 4 5" xfId="38729"/>
    <cellStyle name="Normal 4 5 2" xfId="38730"/>
    <cellStyle name="Normal 4 5 2 2" xfId="38731"/>
    <cellStyle name="Normal 4 5 2 2 2" xfId="38732"/>
    <cellStyle name="Normal 4 5 2 2 3" xfId="38733"/>
    <cellStyle name="Normal 4 5 2 3" xfId="38734"/>
    <cellStyle name="Normal 4 5 2 4" xfId="38735"/>
    <cellStyle name="Normal 4 5 2 5" xfId="38736"/>
    <cellStyle name="Normal 4 5 2 6" xfId="38737"/>
    <cellStyle name="Normal 4 5 3" xfId="38738"/>
    <cellStyle name="Normal 4 5 3 2" xfId="38739"/>
    <cellStyle name="Normal 4 5 3 2 2" xfId="38740"/>
    <cellStyle name="Normal 4 5 3 3" xfId="38741"/>
    <cellStyle name="Normal 4 5 3 4" xfId="38742"/>
    <cellStyle name="Normal 4 5 3 5" xfId="38743"/>
    <cellStyle name="Normal 4 5 4" xfId="38744"/>
    <cellStyle name="Normal 4 5 4 2" xfId="38745"/>
    <cellStyle name="Normal 4 5 4 3" xfId="38746"/>
    <cellStyle name="Normal 4 5 4 4" xfId="38747"/>
    <cellStyle name="Normal 4 5 5" xfId="38748"/>
    <cellStyle name="Normal 4 5 5 2" xfId="38749"/>
    <cellStyle name="Normal 4 5 6" xfId="38750"/>
    <cellStyle name="Normal 4 5 7" xfId="38751"/>
    <cellStyle name="Normal 4 5 8" xfId="38752"/>
    <cellStyle name="Normal 4 5 9" xfId="38753"/>
    <cellStyle name="Normal 4 6" xfId="38754"/>
    <cellStyle name="Normal 4 6 2" xfId="38755"/>
    <cellStyle name="Normal 4 6 2 2" xfId="38756"/>
    <cellStyle name="Normal 4 6 2 3" xfId="38757"/>
    <cellStyle name="Normal 4 6 2 4" xfId="38758"/>
    <cellStyle name="Normal 4 6 3" xfId="38759"/>
    <cellStyle name="Normal 4 6 3 2" xfId="38760"/>
    <cellStyle name="Normal 4 6 4" xfId="38761"/>
    <cellStyle name="Normal 4 6 5" xfId="38762"/>
    <cellStyle name="Normal 4 6 6" xfId="38763"/>
    <cellStyle name="Normal 4 6 7" xfId="38764"/>
    <cellStyle name="Normal 4 7" xfId="38765"/>
    <cellStyle name="Normal 4 7 2" xfId="38766"/>
    <cellStyle name="Normal 4 7 2 2" xfId="38767"/>
    <cellStyle name="Normal 4 7 3" xfId="38768"/>
    <cellStyle name="Normal 4 7 4" xfId="38769"/>
    <cellStyle name="Normal 4 7 5" xfId="38770"/>
    <cellStyle name="Normal 4 7 6" xfId="38771"/>
    <cellStyle name="Normal 4 8" xfId="38772"/>
    <cellStyle name="Normal 4 8 2" xfId="38773"/>
    <cellStyle name="Normal 4 8 2 2" xfId="38774"/>
    <cellStyle name="Normal 4 8 2 3" xfId="38775"/>
    <cellStyle name="Normal 4 8 3" xfId="38776"/>
    <cellStyle name="Normal 4 8 4" xfId="38777"/>
    <cellStyle name="Normal 4 8 5" xfId="38778"/>
    <cellStyle name="Normal 4 9" xfId="38779"/>
    <cellStyle name="Normal 4 9 2" xfId="38780"/>
    <cellStyle name="Normal 4 9 2 2" xfId="38781"/>
    <cellStyle name="Normal 4 9 3" xfId="38782"/>
    <cellStyle name="Normal 4 9 4" xfId="38783"/>
    <cellStyle name="Normal 4 9 5" xfId="38784"/>
    <cellStyle name="Normal 40" xfId="38785"/>
    <cellStyle name="Normal 41" xfId="38786"/>
    <cellStyle name="Normal 42" xfId="38787"/>
    <cellStyle name="Normal 43" xfId="38788"/>
    <cellStyle name="Normal 44" xfId="38789"/>
    <cellStyle name="Normal 45" xfId="38790"/>
    <cellStyle name="Normal 46" xfId="38791"/>
    <cellStyle name="Normal 47" xfId="38792"/>
    <cellStyle name="Normal 48" xfId="38793"/>
    <cellStyle name="Normal 49" xfId="38794"/>
    <cellStyle name="Normal 5" xfId="38795"/>
    <cellStyle name="Normal 5 2" xfId="38796"/>
    <cellStyle name="Normal 5 2 2" xfId="38797"/>
    <cellStyle name="Normal 5 2 3" xfId="38798"/>
    <cellStyle name="Normal 5 2 4" xfId="38799"/>
    <cellStyle name="Normal 5 3" xfId="38800"/>
    <cellStyle name="Normal 5 3 2" xfId="38801"/>
    <cellStyle name="Normal 5 3 3" xfId="38802"/>
    <cellStyle name="Normal 5 4" xfId="38803"/>
    <cellStyle name="Normal 5 5" xfId="38804"/>
    <cellStyle name="Normal 5 6" xfId="38805"/>
    <cellStyle name="Normal 5 7" xfId="38806"/>
    <cellStyle name="Normal 5 8" xfId="38807"/>
    <cellStyle name="Normal 5 9" xfId="38808"/>
    <cellStyle name="Normal 50" xfId="38809"/>
    <cellStyle name="Normal 51" xfId="38810"/>
    <cellStyle name="Normal 52" xfId="38811"/>
    <cellStyle name="Normal 53" xfId="38812"/>
    <cellStyle name="Normal 54" xfId="38813"/>
    <cellStyle name="Normal 55" xfId="38814"/>
    <cellStyle name="Normal 56" xfId="38815"/>
    <cellStyle name="Normal 57" xfId="38816"/>
    <cellStyle name="Normal 58" xfId="38817"/>
    <cellStyle name="Normal 59" xfId="38818"/>
    <cellStyle name="Normal 6" xfId="38819"/>
    <cellStyle name="Normal 6 10" xfId="38820"/>
    <cellStyle name="Normal 6 10 10" xfId="38821"/>
    <cellStyle name="Normal 6 10 2" xfId="38822"/>
    <cellStyle name="Normal 6 10 2 2" xfId="38823"/>
    <cellStyle name="Normal 6 10 2 2 2" xfId="38824"/>
    <cellStyle name="Normal 6 10 2 2 3" xfId="38825"/>
    <cellStyle name="Normal 6 10 2 3" xfId="38826"/>
    <cellStyle name="Normal 6 10 2 4" xfId="38827"/>
    <cellStyle name="Normal 6 10 2 5" xfId="38828"/>
    <cellStyle name="Normal 6 10 2 6" xfId="38829"/>
    <cellStyle name="Normal 6 10 3" xfId="38830"/>
    <cellStyle name="Normal 6 10 3 2" xfId="38831"/>
    <cellStyle name="Normal 6 10 3 2 2" xfId="38832"/>
    <cellStyle name="Normal 6 10 3 2 3" xfId="38833"/>
    <cellStyle name="Normal 6 10 3 3" xfId="38834"/>
    <cellStyle name="Normal 6 10 3 4" xfId="38835"/>
    <cellStyle name="Normal 6 10 3 5" xfId="38836"/>
    <cellStyle name="Normal 6 10 3 6" xfId="38837"/>
    <cellStyle name="Normal 6 10 4" xfId="38838"/>
    <cellStyle name="Normal 6 10 4 2" xfId="38839"/>
    <cellStyle name="Normal 6 10 4 2 2" xfId="38840"/>
    <cellStyle name="Normal 6 10 4 3" xfId="38841"/>
    <cellStyle name="Normal 6 10 4 4" xfId="38842"/>
    <cellStyle name="Normal 6 10 4 5" xfId="38843"/>
    <cellStyle name="Normal 6 10 5" xfId="38844"/>
    <cellStyle name="Normal 6 10 5 2" xfId="38845"/>
    <cellStyle name="Normal 6 10 5 3" xfId="38846"/>
    <cellStyle name="Normal 6 10 5 4" xfId="38847"/>
    <cellStyle name="Normal 6 10 6" xfId="38848"/>
    <cellStyle name="Normal 6 10 6 2" xfId="38849"/>
    <cellStyle name="Normal 6 10 7" xfId="38850"/>
    <cellStyle name="Normal 6 10 8" xfId="38851"/>
    <cellStyle name="Normal 6 10 9" xfId="38852"/>
    <cellStyle name="Normal 6 11" xfId="38853"/>
    <cellStyle name="Normal 6 11 10" xfId="38854"/>
    <cellStyle name="Normal 6 11 2" xfId="38855"/>
    <cellStyle name="Normal 6 11 2 2" xfId="38856"/>
    <cellStyle name="Normal 6 11 2 2 2" xfId="38857"/>
    <cellStyle name="Normal 6 11 2 2 3" xfId="38858"/>
    <cellStyle name="Normal 6 11 2 3" xfId="38859"/>
    <cellStyle name="Normal 6 11 2 4" xfId="38860"/>
    <cellStyle name="Normal 6 11 2 5" xfId="38861"/>
    <cellStyle name="Normal 6 11 2 6" xfId="38862"/>
    <cellStyle name="Normal 6 11 3" xfId="38863"/>
    <cellStyle name="Normal 6 11 3 2" xfId="38864"/>
    <cellStyle name="Normal 6 11 3 2 2" xfId="38865"/>
    <cellStyle name="Normal 6 11 3 2 3" xfId="38866"/>
    <cellStyle name="Normal 6 11 3 3" xfId="38867"/>
    <cellStyle name="Normal 6 11 3 4" xfId="38868"/>
    <cellStyle name="Normal 6 11 3 5" xfId="38869"/>
    <cellStyle name="Normal 6 11 3 6" xfId="38870"/>
    <cellStyle name="Normal 6 11 4" xfId="38871"/>
    <cellStyle name="Normal 6 11 4 2" xfId="38872"/>
    <cellStyle name="Normal 6 11 4 2 2" xfId="38873"/>
    <cellStyle name="Normal 6 11 4 3" xfId="38874"/>
    <cellStyle name="Normal 6 11 4 4" xfId="38875"/>
    <cellStyle name="Normal 6 11 4 5" xfId="38876"/>
    <cellStyle name="Normal 6 11 5" xfId="38877"/>
    <cellStyle name="Normal 6 11 5 2" xfId="38878"/>
    <cellStyle name="Normal 6 11 5 3" xfId="38879"/>
    <cellStyle name="Normal 6 11 5 4" xfId="38880"/>
    <cellStyle name="Normal 6 11 6" xfId="38881"/>
    <cellStyle name="Normal 6 11 6 2" xfId="38882"/>
    <cellStyle name="Normal 6 11 7" xfId="38883"/>
    <cellStyle name="Normal 6 11 8" xfId="38884"/>
    <cellStyle name="Normal 6 11 9" xfId="38885"/>
    <cellStyle name="Normal 6 12" xfId="38886"/>
    <cellStyle name="Normal 6 12 10" xfId="38887"/>
    <cellStyle name="Normal 6 12 2" xfId="38888"/>
    <cellStyle name="Normal 6 12 2 2" xfId="38889"/>
    <cellStyle name="Normal 6 12 2 2 2" xfId="38890"/>
    <cellStyle name="Normal 6 12 2 2 3" xfId="38891"/>
    <cellStyle name="Normal 6 12 2 3" xfId="38892"/>
    <cellStyle name="Normal 6 12 2 4" xfId="38893"/>
    <cellStyle name="Normal 6 12 2 5" xfId="38894"/>
    <cellStyle name="Normal 6 12 2 6" xfId="38895"/>
    <cellStyle name="Normal 6 12 3" xfId="38896"/>
    <cellStyle name="Normal 6 12 3 2" xfId="38897"/>
    <cellStyle name="Normal 6 12 3 2 2" xfId="38898"/>
    <cellStyle name="Normal 6 12 3 2 3" xfId="38899"/>
    <cellStyle name="Normal 6 12 3 3" xfId="38900"/>
    <cellStyle name="Normal 6 12 3 4" xfId="38901"/>
    <cellStyle name="Normal 6 12 3 5" xfId="38902"/>
    <cellStyle name="Normal 6 12 3 6" xfId="38903"/>
    <cellStyle name="Normal 6 12 4" xfId="38904"/>
    <cellStyle name="Normal 6 12 4 2" xfId="38905"/>
    <cellStyle name="Normal 6 12 4 2 2" xfId="38906"/>
    <cellStyle name="Normal 6 12 4 3" xfId="38907"/>
    <cellStyle name="Normal 6 12 4 4" xfId="38908"/>
    <cellStyle name="Normal 6 12 4 5" xfId="38909"/>
    <cellStyle name="Normal 6 12 5" xfId="38910"/>
    <cellStyle name="Normal 6 12 5 2" xfId="38911"/>
    <cellStyle name="Normal 6 12 5 3" xfId="38912"/>
    <cellStyle name="Normal 6 12 5 4" xfId="38913"/>
    <cellStyle name="Normal 6 12 6" xfId="38914"/>
    <cellStyle name="Normal 6 12 6 2" xfId="38915"/>
    <cellStyle name="Normal 6 12 7" xfId="38916"/>
    <cellStyle name="Normal 6 12 8" xfId="38917"/>
    <cellStyle name="Normal 6 12 9" xfId="38918"/>
    <cellStyle name="Normal 6 13" xfId="38919"/>
    <cellStyle name="Normal 6 13 10" xfId="38920"/>
    <cellStyle name="Normal 6 13 2" xfId="38921"/>
    <cellStyle name="Normal 6 13 2 2" xfId="38922"/>
    <cellStyle name="Normal 6 13 2 2 2" xfId="38923"/>
    <cellStyle name="Normal 6 13 2 2 3" xfId="38924"/>
    <cellStyle name="Normal 6 13 2 3" xfId="38925"/>
    <cellStyle name="Normal 6 13 2 4" xfId="38926"/>
    <cellStyle name="Normal 6 13 2 5" xfId="38927"/>
    <cellStyle name="Normal 6 13 2 6" xfId="38928"/>
    <cellStyle name="Normal 6 13 3" xfId="38929"/>
    <cellStyle name="Normal 6 13 3 2" xfId="38930"/>
    <cellStyle name="Normal 6 13 3 2 2" xfId="38931"/>
    <cellStyle name="Normal 6 13 3 2 3" xfId="38932"/>
    <cellStyle name="Normal 6 13 3 3" xfId="38933"/>
    <cellStyle name="Normal 6 13 3 4" xfId="38934"/>
    <cellStyle name="Normal 6 13 3 5" xfId="38935"/>
    <cellStyle name="Normal 6 13 3 6" xfId="38936"/>
    <cellStyle name="Normal 6 13 4" xfId="38937"/>
    <cellStyle name="Normal 6 13 4 2" xfId="38938"/>
    <cellStyle name="Normal 6 13 4 2 2" xfId="38939"/>
    <cellStyle name="Normal 6 13 4 3" xfId="38940"/>
    <cellStyle name="Normal 6 13 4 4" xfId="38941"/>
    <cellStyle name="Normal 6 13 4 5" xfId="38942"/>
    <cellStyle name="Normal 6 13 5" xfId="38943"/>
    <cellStyle name="Normal 6 13 5 2" xfId="38944"/>
    <cellStyle name="Normal 6 13 5 3" xfId="38945"/>
    <cellStyle name="Normal 6 13 5 4" xfId="38946"/>
    <cellStyle name="Normal 6 13 6" xfId="38947"/>
    <cellStyle name="Normal 6 13 6 2" xfId="38948"/>
    <cellStyle name="Normal 6 13 7" xfId="38949"/>
    <cellStyle name="Normal 6 13 8" xfId="38950"/>
    <cellStyle name="Normal 6 13 9" xfId="38951"/>
    <cellStyle name="Normal 6 14" xfId="38952"/>
    <cellStyle name="Normal 6 14 2" xfId="38953"/>
    <cellStyle name="Normal 6 14 2 2" xfId="38954"/>
    <cellStyle name="Normal 6 14 2 2 2" xfId="38955"/>
    <cellStyle name="Normal 6 14 2 2 3" xfId="38956"/>
    <cellStyle name="Normal 6 14 2 3" xfId="38957"/>
    <cellStyle name="Normal 6 14 2 4" xfId="38958"/>
    <cellStyle name="Normal 6 14 2 5" xfId="38959"/>
    <cellStyle name="Normal 6 14 2 6" xfId="38960"/>
    <cellStyle name="Normal 6 14 3" xfId="38961"/>
    <cellStyle name="Normal 6 14 3 2" xfId="38962"/>
    <cellStyle name="Normal 6 14 3 2 2" xfId="38963"/>
    <cellStyle name="Normal 6 14 3 3" xfId="38964"/>
    <cellStyle name="Normal 6 14 3 4" xfId="38965"/>
    <cellStyle name="Normal 6 14 3 5" xfId="38966"/>
    <cellStyle name="Normal 6 14 4" xfId="38967"/>
    <cellStyle name="Normal 6 14 4 2" xfId="38968"/>
    <cellStyle name="Normal 6 14 4 3" xfId="38969"/>
    <cellStyle name="Normal 6 14 4 4" xfId="38970"/>
    <cellStyle name="Normal 6 14 5" xfId="38971"/>
    <cellStyle name="Normal 6 14 5 2" xfId="38972"/>
    <cellStyle name="Normal 6 14 6" xfId="38973"/>
    <cellStyle name="Normal 6 14 7" xfId="38974"/>
    <cellStyle name="Normal 6 14 8" xfId="38975"/>
    <cellStyle name="Normal 6 14 9" xfId="38976"/>
    <cellStyle name="Normal 6 15" xfId="38977"/>
    <cellStyle name="Normal 6 15 2" xfId="38978"/>
    <cellStyle name="Normal 6 15 2 2" xfId="38979"/>
    <cellStyle name="Normal 6 15 2 2 2" xfId="38980"/>
    <cellStyle name="Normal 6 15 2 2 3" xfId="38981"/>
    <cellStyle name="Normal 6 15 2 3" xfId="38982"/>
    <cellStyle name="Normal 6 15 2 4" xfId="38983"/>
    <cellStyle name="Normal 6 15 2 5" xfId="38984"/>
    <cellStyle name="Normal 6 15 2 6" xfId="38985"/>
    <cellStyle name="Normal 6 15 3" xfId="38986"/>
    <cellStyle name="Normal 6 15 3 2" xfId="38987"/>
    <cellStyle name="Normal 6 15 3 2 2" xfId="38988"/>
    <cellStyle name="Normal 6 15 3 3" xfId="38989"/>
    <cellStyle name="Normal 6 15 3 4" xfId="38990"/>
    <cellStyle name="Normal 6 15 3 5" xfId="38991"/>
    <cellStyle name="Normal 6 15 4" xfId="38992"/>
    <cellStyle name="Normal 6 15 4 2" xfId="38993"/>
    <cellStyle name="Normal 6 15 4 3" xfId="38994"/>
    <cellStyle name="Normal 6 15 4 4" xfId="38995"/>
    <cellStyle name="Normal 6 15 5" xfId="38996"/>
    <cellStyle name="Normal 6 15 5 2" xfId="38997"/>
    <cellStyle name="Normal 6 15 6" xfId="38998"/>
    <cellStyle name="Normal 6 15 7" xfId="38999"/>
    <cellStyle name="Normal 6 15 8" xfId="39000"/>
    <cellStyle name="Normal 6 15 9" xfId="39001"/>
    <cellStyle name="Normal 6 16" xfId="39002"/>
    <cellStyle name="Normal 6 16 2" xfId="39003"/>
    <cellStyle name="Normal 6 16 2 2" xfId="39004"/>
    <cellStyle name="Normal 6 16 2 3" xfId="39005"/>
    <cellStyle name="Normal 6 16 3" xfId="39006"/>
    <cellStyle name="Normal 6 16 4" xfId="39007"/>
    <cellStyle name="Normal 6 16 5" xfId="39008"/>
    <cellStyle name="Normal 6 16 6" xfId="39009"/>
    <cellStyle name="Normal 6 17" xfId="39010"/>
    <cellStyle name="Normal 6 17 2" xfId="39011"/>
    <cellStyle name="Normal 6 17 2 2" xfId="39012"/>
    <cellStyle name="Normal 6 17 3" xfId="39013"/>
    <cellStyle name="Normal 6 17 4" xfId="39014"/>
    <cellStyle name="Normal 6 17 5" xfId="39015"/>
    <cellStyle name="Normal 6 17 6" xfId="39016"/>
    <cellStyle name="Normal 6 18" xfId="39017"/>
    <cellStyle name="Normal 6 18 2" xfId="39018"/>
    <cellStyle name="Normal 6 18 2 2" xfId="39019"/>
    <cellStyle name="Normal 6 18 3" xfId="39020"/>
    <cellStyle name="Normal 6 18 4" xfId="39021"/>
    <cellStyle name="Normal 6 18 5" xfId="39022"/>
    <cellStyle name="Normal 6 18 6" xfId="39023"/>
    <cellStyle name="Normal 6 19" xfId="39024"/>
    <cellStyle name="Normal 6 19 2" xfId="39025"/>
    <cellStyle name="Normal 6 19 3" xfId="39026"/>
    <cellStyle name="Normal 6 19 4" xfId="39027"/>
    <cellStyle name="Normal 6 2" xfId="39028"/>
    <cellStyle name="Normal 6 2 2" xfId="39029"/>
    <cellStyle name="Normal 6 2 2 2" xfId="39030"/>
    <cellStyle name="Normal 6 2 2 3" xfId="39031"/>
    <cellStyle name="Normal 6 2 3" xfId="39032"/>
    <cellStyle name="Normal 6 2 3 2" xfId="39033"/>
    <cellStyle name="Normal 6 2 4" xfId="39034"/>
    <cellStyle name="Normal 6 2 5" xfId="39035"/>
    <cellStyle name="Normal 6 20" xfId="39036"/>
    <cellStyle name="Normal 6 20 2" xfId="39037"/>
    <cellStyle name="Normal 6 20 3" xfId="39038"/>
    <cellStyle name="Normal 6 21" xfId="39039"/>
    <cellStyle name="Normal 6 21 2" xfId="39040"/>
    <cellStyle name="Normal 6 22" xfId="39041"/>
    <cellStyle name="Normal 6 22 2" xfId="39042"/>
    <cellStyle name="Normal 6 23" xfId="39043"/>
    <cellStyle name="Normal 6 23 2" xfId="39044"/>
    <cellStyle name="Normal 6 24" xfId="39045"/>
    <cellStyle name="Normal 6 25" xfId="39046"/>
    <cellStyle name="Normal 6 26" xfId="39047"/>
    <cellStyle name="Normal 6 27" xfId="39048"/>
    <cellStyle name="Normal 6 28" xfId="39049"/>
    <cellStyle name="Normal 6 29" xfId="39050"/>
    <cellStyle name="Normal 6 3" xfId="39051"/>
    <cellStyle name="Normal 6 3 10" xfId="39052"/>
    <cellStyle name="Normal 6 3 11" xfId="39053"/>
    <cellStyle name="Normal 6 3 2" xfId="39054"/>
    <cellStyle name="Normal 6 3 2 2" xfId="39055"/>
    <cellStyle name="Normal 6 3 2 2 2" xfId="39056"/>
    <cellStyle name="Normal 6 3 2 2 2 2" xfId="39057"/>
    <cellStyle name="Normal 6 3 2 2 2 3" xfId="39058"/>
    <cellStyle name="Normal 6 3 2 2 3" xfId="39059"/>
    <cellStyle name="Normal 6 3 2 2 4" xfId="39060"/>
    <cellStyle name="Normal 6 3 2 2 5" xfId="39061"/>
    <cellStyle name="Normal 6 3 2 2 6" xfId="39062"/>
    <cellStyle name="Normal 6 3 2 3" xfId="39063"/>
    <cellStyle name="Normal 6 3 2 3 2" xfId="39064"/>
    <cellStyle name="Normal 6 3 2 3 2 2" xfId="39065"/>
    <cellStyle name="Normal 6 3 2 3 3" xfId="39066"/>
    <cellStyle name="Normal 6 3 2 3 4" xfId="39067"/>
    <cellStyle name="Normal 6 3 2 3 5" xfId="39068"/>
    <cellStyle name="Normal 6 3 2 4" xfId="39069"/>
    <cellStyle name="Normal 6 3 2 4 2" xfId="39070"/>
    <cellStyle name="Normal 6 3 2 4 3" xfId="39071"/>
    <cellStyle name="Normal 6 3 2 4 4" xfId="39072"/>
    <cellStyle name="Normal 6 3 2 5" xfId="39073"/>
    <cellStyle name="Normal 6 3 2 5 2" xfId="39074"/>
    <cellStyle name="Normal 6 3 2 6" xfId="39075"/>
    <cellStyle name="Normal 6 3 2 7" xfId="39076"/>
    <cellStyle name="Normal 6 3 2 8" xfId="39077"/>
    <cellStyle name="Normal 6 3 2 9" xfId="39078"/>
    <cellStyle name="Normal 6 3 3" xfId="39079"/>
    <cellStyle name="Normal 6 3 3 2" xfId="39080"/>
    <cellStyle name="Normal 6 3 3 2 2" xfId="39081"/>
    <cellStyle name="Normal 6 3 3 2 2 2" xfId="39082"/>
    <cellStyle name="Normal 6 3 3 2 2 3" xfId="39083"/>
    <cellStyle name="Normal 6 3 3 2 3" xfId="39084"/>
    <cellStyle name="Normal 6 3 3 2 4" xfId="39085"/>
    <cellStyle name="Normal 6 3 3 2 5" xfId="39086"/>
    <cellStyle name="Normal 6 3 3 2 6" xfId="39087"/>
    <cellStyle name="Normal 6 3 3 3" xfId="39088"/>
    <cellStyle name="Normal 6 3 3 3 2" xfId="39089"/>
    <cellStyle name="Normal 6 3 3 3 2 2" xfId="39090"/>
    <cellStyle name="Normal 6 3 3 3 3" xfId="39091"/>
    <cellStyle name="Normal 6 3 3 3 4" xfId="39092"/>
    <cellStyle name="Normal 6 3 3 3 5" xfId="39093"/>
    <cellStyle name="Normal 6 3 3 4" xfId="39094"/>
    <cellStyle name="Normal 6 3 3 4 2" xfId="39095"/>
    <cellStyle name="Normal 6 3 3 4 3" xfId="39096"/>
    <cellStyle name="Normal 6 3 3 4 4" xfId="39097"/>
    <cellStyle name="Normal 6 3 3 5" xfId="39098"/>
    <cellStyle name="Normal 6 3 3 5 2" xfId="39099"/>
    <cellStyle name="Normal 6 3 3 6" xfId="39100"/>
    <cellStyle name="Normal 6 3 3 7" xfId="39101"/>
    <cellStyle name="Normal 6 3 3 8" xfId="39102"/>
    <cellStyle name="Normal 6 3 3 9" xfId="39103"/>
    <cellStyle name="Normal 6 3 4" xfId="39104"/>
    <cellStyle name="Normal 6 3 4 2" xfId="39105"/>
    <cellStyle name="Normal 6 3 4 2 2" xfId="39106"/>
    <cellStyle name="Normal 6 3 4 2 3" xfId="39107"/>
    <cellStyle name="Normal 6 3 4 3" xfId="39108"/>
    <cellStyle name="Normal 6 3 4 4" xfId="39109"/>
    <cellStyle name="Normal 6 3 4 5" xfId="39110"/>
    <cellStyle name="Normal 6 3 4 6" xfId="39111"/>
    <cellStyle name="Normal 6 3 5" xfId="39112"/>
    <cellStyle name="Normal 6 3 5 2" xfId="39113"/>
    <cellStyle name="Normal 6 3 5 2 2" xfId="39114"/>
    <cellStyle name="Normal 6 3 5 3" xfId="39115"/>
    <cellStyle name="Normal 6 3 5 4" xfId="39116"/>
    <cellStyle name="Normal 6 3 5 5" xfId="39117"/>
    <cellStyle name="Normal 6 3 6" xfId="39118"/>
    <cellStyle name="Normal 6 3 6 2" xfId="39119"/>
    <cellStyle name="Normal 6 3 6 3" xfId="39120"/>
    <cellStyle name="Normal 6 3 6 4" xfId="39121"/>
    <cellStyle name="Normal 6 3 7" xfId="39122"/>
    <cellStyle name="Normal 6 3 7 2" xfId="39123"/>
    <cellStyle name="Normal 6 3 8" xfId="39124"/>
    <cellStyle name="Normal 6 3 9" xfId="39125"/>
    <cellStyle name="Normal 6 30" xfId="39126"/>
    <cellStyle name="Normal 6 31" xfId="39127"/>
    <cellStyle name="Normal 6 32" xfId="39128"/>
    <cellStyle name="Normal 6 33" xfId="39129"/>
    <cellStyle name="Normal 6 34" xfId="39130"/>
    <cellStyle name="Normal 6 35" xfId="39131"/>
    <cellStyle name="Normal 6 36" xfId="39132"/>
    <cellStyle name="Normal 6 37" xfId="39133"/>
    <cellStyle name="Normal 6 38" xfId="39134"/>
    <cellStyle name="Normal 6 39" xfId="39135"/>
    <cellStyle name="Normal 6 4" xfId="39136"/>
    <cellStyle name="Normal 6 4 10" xfId="39137"/>
    <cellStyle name="Normal 6 4 11" xfId="39138"/>
    <cellStyle name="Normal 6 4 2" xfId="39139"/>
    <cellStyle name="Normal 6 4 2 2" xfId="39140"/>
    <cellStyle name="Normal 6 4 2 2 2" xfId="39141"/>
    <cellStyle name="Normal 6 4 2 2 2 2" xfId="39142"/>
    <cellStyle name="Normal 6 4 2 2 2 3" xfId="39143"/>
    <cellStyle name="Normal 6 4 2 2 3" xfId="39144"/>
    <cellStyle name="Normal 6 4 2 2 4" xfId="39145"/>
    <cellStyle name="Normal 6 4 2 2 5" xfId="39146"/>
    <cellStyle name="Normal 6 4 2 2 6" xfId="39147"/>
    <cellStyle name="Normal 6 4 2 3" xfId="39148"/>
    <cellStyle name="Normal 6 4 2 3 2" xfId="39149"/>
    <cellStyle name="Normal 6 4 2 3 2 2" xfId="39150"/>
    <cellStyle name="Normal 6 4 2 3 3" xfId="39151"/>
    <cellStyle name="Normal 6 4 2 3 4" xfId="39152"/>
    <cellStyle name="Normal 6 4 2 3 5" xfId="39153"/>
    <cellStyle name="Normal 6 4 2 4" xfId="39154"/>
    <cellStyle name="Normal 6 4 2 4 2" xfId="39155"/>
    <cellStyle name="Normal 6 4 2 4 3" xfId="39156"/>
    <cellStyle name="Normal 6 4 2 4 4" xfId="39157"/>
    <cellStyle name="Normal 6 4 2 5" xfId="39158"/>
    <cellStyle name="Normal 6 4 2 5 2" xfId="39159"/>
    <cellStyle name="Normal 6 4 2 6" xfId="39160"/>
    <cellStyle name="Normal 6 4 2 7" xfId="39161"/>
    <cellStyle name="Normal 6 4 2 8" xfId="39162"/>
    <cellStyle name="Normal 6 4 2 9" xfId="39163"/>
    <cellStyle name="Normal 6 4 3" xfId="39164"/>
    <cellStyle name="Normal 6 4 3 2" xfId="39165"/>
    <cellStyle name="Normal 6 4 3 2 2" xfId="39166"/>
    <cellStyle name="Normal 6 4 3 2 2 2" xfId="39167"/>
    <cellStyle name="Normal 6 4 3 2 2 3" xfId="39168"/>
    <cellStyle name="Normal 6 4 3 2 3" xfId="39169"/>
    <cellStyle name="Normal 6 4 3 2 4" xfId="39170"/>
    <cellStyle name="Normal 6 4 3 2 5" xfId="39171"/>
    <cellStyle name="Normal 6 4 3 2 6" xfId="39172"/>
    <cellStyle name="Normal 6 4 3 3" xfId="39173"/>
    <cellStyle name="Normal 6 4 3 3 2" xfId="39174"/>
    <cellStyle name="Normal 6 4 3 3 2 2" xfId="39175"/>
    <cellStyle name="Normal 6 4 3 3 3" xfId="39176"/>
    <cellStyle name="Normal 6 4 3 3 4" xfId="39177"/>
    <cellStyle name="Normal 6 4 3 3 5" xfId="39178"/>
    <cellStyle name="Normal 6 4 3 4" xfId="39179"/>
    <cellStyle name="Normal 6 4 3 4 2" xfId="39180"/>
    <cellStyle name="Normal 6 4 3 4 3" xfId="39181"/>
    <cellStyle name="Normal 6 4 3 4 4" xfId="39182"/>
    <cellStyle name="Normal 6 4 3 5" xfId="39183"/>
    <cellStyle name="Normal 6 4 3 5 2" xfId="39184"/>
    <cellStyle name="Normal 6 4 3 6" xfId="39185"/>
    <cellStyle name="Normal 6 4 3 7" xfId="39186"/>
    <cellStyle name="Normal 6 4 3 8" xfId="39187"/>
    <cellStyle name="Normal 6 4 3 9" xfId="39188"/>
    <cellStyle name="Normal 6 4 4" xfId="39189"/>
    <cellStyle name="Normal 6 4 4 2" xfId="39190"/>
    <cellStyle name="Normal 6 4 4 2 2" xfId="39191"/>
    <cellStyle name="Normal 6 4 4 2 3" xfId="39192"/>
    <cellStyle name="Normal 6 4 4 3" xfId="39193"/>
    <cellStyle name="Normal 6 4 4 4" xfId="39194"/>
    <cellStyle name="Normal 6 4 4 5" xfId="39195"/>
    <cellStyle name="Normal 6 4 4 6" xfId="39196"/>
    <cellStyle name="Normal 6 4 5" xfId="39197"/>
    <cellStyle name="Normal 6 4 5 2" xfId="39198"/>
    <cellStyle name="Normal 6 4 5 2 2" xfId="39199"/>
    <cellStyle name="Normal 6 4 5 3" xfId="39200"/>
    <cellStyle name="Normal 6 4 5 4" xfId="39201"/>
    <cellStyle name="Normal 6 4 5 5" xfId="39202"/>
    <cellStyle name="Normal 6 4 6" xfId="39203"/>
    <cellStyle name="Normal 6 4 6 2" xfId="39204"/>
    <cellStyle name="Normal 6 4 6 3" xfId="39205"/>
    <cellStyle name="Normal 6 4 6 4" xfId="39206"/>
    <cellStyle name="Normal 6 4 7" xfId="39207"/>
    <cellStyle name="Normal 6 4 7 2" xfId="39208"/>
    <cellStyle name="Normal 6 4 8" xfId="39209"/>
    <cellStyle name="Normal 6 4 9" xfId="39210"/>
    <cellStyle name="Normal 6 40" xfId="39211"/>
    <cellStyle name="Normal 6 41" xfId="39212"/>
    <cellStyle name="Normal 6 5" xfId="39213"/>
    <cellStyle name="Normal 6 5 10" xfId="39214"/>
    <cellStyle name="Normal 6 5 11" xfId="39215"/>
    <cellStyle name="Normal 6 5 2" xfId="39216"/>
    <cellStyle name="Normal 6 5 2 2" xfId="39217"/>
    <cellStyle name="Normal 6 5 2 2 2" xfId="39218"/>
    <cellStyle name="Normal 6 5 2 2 2 2" xfId="39219"/>
    <cellStyle name="Normal 6 5 2 2 2 3" xfId="39220"/>
    <cellStyle name="Normal 6 5 2 2 3" xfId="39221"/>
    <cellStyle name="Normal 6 5 2 2 4" xfId="39222"/>
    <cellStyle name="Normal 6 5 2 2 5" xfId="39223"/>
    <cellStyle name="Normal 6 5 2 2 6" xfId="39224"/>
    <cellStyle name="Normal 6 5 2 3" xfId="39225"/>
    <cellStyle name="Normal 6 5 2 3 2" xfId="39226"/>
    <cellStyle name="Normal 6 5 2 3 2 2" xfId="39227"/>
    <cellStyle name="Normal 6 5 2 3 3" xfId="39228"/>
    <cellStyle name="Normal 6 5 2 3 4" xfId="39229"/>
    <cellStyle name="Normal 6 5 2 3 5" xfId="39230"/>
    <cellStyle name="Normal 6 5 2 4" xfId="39231"/>
    <cellStyle name="Normal 6 5 2 4 2" xfId="39232"/>
    <cellStyle name="Normal 6 5 2 4 3" xfId="39233"/>
    <cellStyle name="Normal 6 5 2 4 4" xfId="39234"/>
    <cellStyle name="Normal 6 5 2 5" xfId="39235"/>
    <cellStyle name="Normal 6 5 2 5 2" xfId="39236"/>
    <cellStyle name="Normal 6 5 2 6" xfId="39237"/>
    <cellStyle name="Normal 6 5 2 7" xfId="39238"/>
    <cellStyle name="Normal 6 5 2 8" xfId="39239"/>
    <cellStyle name="Normal 6 5 2 9" xfId="39240"/>
    <cellStyle name="Normal 6 5 3" xfId="39241"/>
    <cellStyle name="Normal 6 5 3 2" xfId="39242"/>
    <cellStyle name="Normal 6 5 3 2 2" xfId="39243"/>
    <cellStyle name="Normal 6 5 3 2 2 2" xfId="39244"/>
    <cellStyle name="Normal 6 5 3 2 2 3" xfId="39245"/>
    <cellStyle name="Normal 6 5 3 2 3" xfId="39246"/>
    <cellStyle name="Normal 6 5 3 2 4" xfId="39247"/>
    <cellStyle name="Normal 6 5 3 2 5" xfId="39248"/>
    <cellStyle name="Normal 6 5 3 2 6" xfId="39249"/>
    <cellStyle name="Normal 6 5 3 3" xfId="39250"/>
    <cellStyle name="Normal 6 5 3 3 2" xfId="39251"/>
    <cellStyle name="Normal 6 5 3 3 2 2" xfId="39252"/>
    <cellStyle name="Normal 6 5 3 3 3" xfId="39253"/>
    <cellStyle name="Normal 6 5 3 3 4" xfId="39254"/>
    <cellStyle name="Normal 6 5 3 3 5" xfId="39255"/>
    <cellStyle name="Normal 6 5 3 4" xfId="39256"/>
    <cellStyle name="Normal 6 5 3 4 2" xfId="39257"/>
    <cellStyle name="Normal 6 5 3 4 3" xfId="39258"/>
    <cellStyle name="Normal 6 5 3 4 4" xfId="39259"/>
    <cellStyle name="Normal 6 5 3 5" xfId="39260"/>
    <cellStyle name="Normal 6 5 3 5 2" xfId="39261"/>
    <cellStyle name="Normal 6 5 3 6" xfId="39262"/>
    <cellStyle name="Normal 6 5 3 7" xfId="39263"/>
    <cellStyle name="Normal 6 5 3 8" xfId="39264"/>
    <cellStyle name="Normal 6 5 3 9" xfId="39265"/>
    <cellStyle name="Normal 6 5 4" xfId="39266"/>
    <cellStyle name="Normal 6 5 4 2" xfId="39267"/>
    <cellStyle name="Normal 6 5 4 2 2" xfId="39268"/>
    <cellStyle name="Normal 6 5 4 2 3" xfId="39269"/>
    <cellStyle name="Normal 6 5 4 3" xfId="39270"/>
    <cellStyle name="Normal 6 5 4 4" xfId="39271"/>
    <cellStyle name="Normal 6 5 4 5" xfId="39272"/>
    <cellStyle name="Normal 6 5 4 6" xfId="39273"/>
    <cellStyle name="Normal 6 5 5" xfId="39274"/>
    <cellStyle name="Normal 6 5 5 2" xfId="39275"/>
    <cellStyle name="Normal 6 5 5 2 2" xfId="39276"/>
    <cellStyle name="Normal 6 5 5 3" xfId="39277"/>
    <cellStyle name="Normal 6 5 5 4" xfId="39278"/>
    <cellStyle name="Normal 6 5 5 5" xfId="39279"/>
    <cellStyle name="Normal 6 5 6" xfId="39280"/>
    <cellStyle name="Normal 6 5 6 2" xfId="39281"/>
    <cellStyle name="Normal 6 5 6 3" xfId="39282"/>
    <cellStyle name="Normal 6 5 6 4" xfId="39283"/>
    <cellStyle name="Normal 6 5 7" xfId="39284"/>
    <cellStyle name="Normal 6 5 7 2" xfId="39285"/>
    <cellStyle name="Normal 6 5 8" xfId="39286"/>
    <cellStyle name="Normal 6 5 9" xfId="39287"/>
    <cellStyle name="Normal 6 6" xfId="39288"/>
    <cellStyle name="Normal 6 6 10" xfId="39289"/>
    <cellStyle name="Normal 6 6 11" xfId="39290"/>
    <cellStyle name="Normal 6 6 2" xfId="39291"/>
    <cellStyle name="Normal 6 6 2 2" xfId="39292"/>
    <cellStyle name="Normal 6 6 2 2 2" xfId="39293"/>
    <cellStyle name="Normal 6 6 2 2 2 2" xfId="39294"/>
    <cellStyle name="Normal 6 6 2 2 2 3" xfId="39295"/>
    <cellStyle name="Normal 6 6 2 2 3" xfId="39296"/>
    <cellStyle name="Normal 6 6 2 2 4" xfId="39297"/>
    <cellStyle name="Normal 6 6 2 2 5" xfId="39298"/>
    <cellStyle name="Normal 6 6 2 2 6" xfId="39299"/>
    <cellStyle name="Normal 6 6 2 3" xfId="39300"/>
    <cellStyle name="Normal 6 6 2 3 2" xfId="39301"/>
    <cellStyle name="Normal 6 6 2 3 2 2" xfId="39302"/>
    <cellStyle name="Normal 6 6 2 3 3" xfId="39303"/>
    <cellStyle name="Normal 6 6 2 3 4" xfId="39304"/>
    <cellStyle name="Normal 6 6 2 3 5" xfId="39305"/>
    <cellStyle name="Normal 6 6 2 4" xfId="39306"/>
    <cellStyle name="Normal 6 6 2 4 2" xfId="39307"/>
    <cellStyle name="Normal 6 6 2 4 3" xfId="39308"/>
    <cellStyle name="Normal 6 6 2 4 4" xfId="39309"/>
    <cellStyle name="Normal 6 6 2 5" xfId="39310"/>
    <cellStyle name="Normal 6 6 2 5 2" xfId="39311"/>
    <cellStyle name="Normal 6 6 2 6" xfId="39312"/>
    <cellStyle name="Normal 6 6 2 7" xfId="39313"/>
    <cellStyle name="Normal 6 6 2 8" xfId="39314"/>
    <cellStyle name="Normal 6 6 2 9" xfId="39315"/>
    <cellStyle name="Normal 6 6 3" xfId="39316"/>
    <cellStyle name="Normal 6 6 3 2" xfId="39317"/>
    <cellStyle name="Normal 6 6 3 2 2" xfId="39318"/>
    <cellStyle name="Normal 6 6 3 2 2 2" xfId="39319"/>
    <cellStyle name="Normal 6 6 3 2 2 3" xfId="39320"/>
    <cellStyle name="Normal 6 6 3 2 3" xfId="39321"/>
    <cellStyle name="Normal 6 6 3 2 4" xfId="39322"/>
    <cellStyle name="Normal 6 6 3 2 5" xfId="39323"/>
    <cellStyle name="Normal 6 6 3 2 6" xfId="39324"/>
    <cellStyle name="Normal 6 6 3 3" xfId="39325"/>
    <cellStyle name="Normal 6 6 3 3 2" xfId="39326"/>
    <cellStyle name="Normal 6 6 3 3 2 2" xfId="39327"/>
    <cellStyle name="Normal 6 6 3 3 3" xfId="39328"/>
    <cellStyle name="Normal 6 6 3 3 4" xfId="39329"/>
    <cellStyle name="Normal 6 6 3 3 5" xfId="39330"/>
    <cellStyle name="Normal 6 6 3 4" xfId="39331"/>
    <cellStyle name="Normal 6 6 3 4 2" xfId="39332"/>
    <cellStyle name="Normal 6 6 3 4 3" xfId="39333"/>
    <cellStyle name="Normal 6 6 3 4 4" xfId="39334"/>
    <cellStyle name="Normal 6 6 3 5" xfId="39335"/>
    <cellStyle name="Normal 6 6 3 5 2" xfId="39336"/>
    <cellStyle name="Normal 6 6 3 6" xfId="39337"/>
    <cellStyle name="Normal 6 6 3 7" xfId="39338"/>
    <cellStyle name="Normal 6 6 3 8" xfId="39339"/>
    <cellStyle name="Normal 6 6 3 9" xfId="39340"/>
    <cellStyle name="Normal 6 6 4" xfId="39341"/>
    <cellStyle name="Normal 6 6 4 2" xfId="39342"/>
    <cellStyle name="Normal 6 6 4 2 2" xfId="39343"/>
    <cellStyle name="Normal 6 6 4 2 3" xfId="39344"/>
    <cellStyle name="Normal 6 6 4 3" xfId="39345"/>
    <cellStyle name="Normal 6 6 4 4" xfId="39346"/>
    <cellStyle name="Normal 6 6 4 5" xfId="39347"/>
    <cellStyle name="Normal 6 6 4 6" xfId="39348"/>
    <cellStyle name="Normal 6 6 5" xfId="39349"/>
    <cellStyle name="Normal 6 6 5 2" xfId="39350"/>
    <cellStyle name="Normal 6 6 5 2 2" xfId="39351"/>
    <cellStyle name="Normal 6 6 5 3" xfId="39352"/>
    <cellStyle name="Normal 6 6 5 4" xfId="39353"/>
    <cellStyle name="Normal 6 6 5 5" xfId="39354"/>
    <cellStyle name="Normal 6 6 6" xfId="39355"/>
    <cellStyle name="Normal 6 6 6 2" xfId="39356"/>
    <cellStyle name="Normal 6 6 6 3" xfId="39357"/>
    <cellStyle name="Normal 6 6 6 4" xfId="39358"/>
    <cellStyle name="Normal 6 6 7" xfId="39359"/>
    <cellStyle name="Normal 6 6 7 2" xfId="39360"/>
    <cellStyle name="Normal 6 6 8" xfId="39361"/>
    <cellStyle name="Normal 6 6 9" xfId="39362"/>
    <cellStyle name="Normal 6 7" xfId="39363"/>
    <cellStyle name="Normal 6 7 10" xfId="39364"/>
    <cellStyle name="Normal 6 7 11" xfId="39365"/>
    <cellStyle name="Normal 6 7 2" xfId="39366"/>
    <cellStyle name="Normal 6 7 2 2" xfId="39367"/>
    <cellStyle name="Normal 6 7 2 2 2" xfId="39368"/>
    <cellStyle name="Normal 6 7 2 2 2 2" xfId="39369"/>
    <cellStyle name="Normal 6 7 2 2 2 3" xfId="39370"/>
    <cellStyle name="Normal 6 7 2 2 3" xfId="39371"/>
    <cellStyle name="Normal 6 7 2 2 4" xfId="39372"/>
    <cellStyle name="Normal 6 7 2 2 5" xfId="39373"/>
    <cellStyle name="Normal 6 7 2 2 6" xfId="39374"/>
    <cellStyle name="Normal 6 7 2 3" xfId="39375"/>
    <cellStyle name="Normal 6 7 2 3 2" xfId="39376"/>
    <cellStyle name="Normal 6 7 2 3 2 2" xfId="39377"/>
    <cellStyle name="Normal 6 7 2 3 3" xfId="39378"/>
    <cellStyle name="Normal 6 7 2 3 4" xfId="39379"/>
    <cellStyle name="Normal 6 7 2 3 5" xfId="39380"/>
    <cellStyle name="Normal 6 7 2 4" xfId="39381"/>
    <cellStyle name="Normal 6 7 2 4 2" xfId="39382"/>
    <cellStyle name="Normal 6 7 2 4 3" xfId="39383"/>
    <cellStyle name="Normal 6 7 2 4 4" xfId="39384"/>
    <cellStyle name="Normal 6 7 2 5" xfId="39385"/>
    <cellStyle name="Normal 6 7 2 5 2" xfId="39386"/>
    <cellStyle name="Normal 6 7 2 6" xfId="39387"/>
    <cellStyle name="Normal 6 7 2 7" xfId="39388"/>
    <cellStyle name="Normal 6 7 2 8" xfId="39389"/>
    <cellStyle name="Normal 6 7 2 9" xfId="39390"/>
    <cellStyle name="Normal 6 7 3" xfId="39391"/>
    <cellStyle name="Normal 6 7 3 2" xfId="39392"/>
    <cellStyle name="Normal 6 7 3 2 2" xfId="39393"/>
    <cellStyle name="Normal 6 7 3 2 2 2" xfId="39394"/>
    <cellStyle name="Normal 6 7 3 2 2 3" xfId="39395"/>
    <cellStyle name="Normal 6 7 3 2 3" xfId="39396"/>
    <cellStyle name="Normal 6 7 3 2 4" xfId="39397"/>
    <cellStyle name="Normal 6 7 3 2 5" xfId="39398"/>
    <cellStyle name="Normal 6 7 3 2 6" xfId="39399"/>
    <cellStyle name="Normal 6 7 3 3" xfId="39400"/>
    <cellStyle name="Normal 6 7 3 3 2" xfId="39401"/>
    <cellStyle name="Normal 6 7 3 3 2 2" xfId="39402"/>
    <cellStyle name="Normal 6 7 3 3 3" xfId="39403"/>
    <cellStyle name="Normal 6 7 3 3 4" xfId="39404"/>
    <cellStyle name="Normal 6 7 3 3 5" xfId="39405"/>
    <cellStyle name="Normal 6 7 3 4" xfId="39406"/>
    <cellStyle name="Normal 6 7 3 4 2" xfId="39407"/>
    <cellStyle name="Normal 6 7 3 4 3" xfId="39408"/>
    <cellStyle name="Normal 6 7 3 4 4" xfId="39409"/>
    <cellStyle name="Normal 6 7 3 5" xfId="39410"/>
    <cellStyle name="Normal 6 7 3 5 2" xfId="39411"/>
    <cellStyle name="Normal 6 7 3 6" xfId="39412"/>
    <cellStyle name="Normal 6 7 3 7" xfId="39413"/>
    <cellStyle name="Normal 6 7 3 8" xfId="39414"/>
    <cellStyle name="Normal 6 7 3 9" xfId="39415"/>
    <cellStyle name="Normal 6 7 4" xfId="39416"/>
    <cellStyle name="Normal 6 7 4 2" xfId="39417"/>
    <cellStyle name="Normal 6 7 4 2 2" xfId="39418"/>
    <cellStyle name="Normal 6 7 4 2 3" xfId="39419"/>
    <cellStyle name="Normal 6 7 4 3" xfId="39420"/>
    <cellStyle name="Normal 6 7 4 4" xfId="39421"/>
    <cellStyle name="Normal 6 7 4 5" xfId="39422"/>
    <cellStyle name="Normal 6 7 4 6" xfId="39423"/>
    <cellStyle name="Normal 6 7 5" xfId="39424"/>
    <cellStyle name="Normal 6 7 5 2" xfId="39425"/>
    <cellStyle name="Normal 6 7 5 2 2" xfId="39426"/>
    <cellStyle name="Normal 6 7 5 3" xfId="39427"/>
    <cellStyle name="Normal 6 7 5 4" xfId="39428"/>
    <cellStyle name="Normal 6 7 5 5" xfId="39429"/>
    <cellStyle name="Normal 6 7 6" xfId="39430"/>
    <cellStyle name="Normal 6 7 6 2" xfId="39431"/>
    <cellStyle name="Normal 6 7 6 3" xfId="39432"/>
    <cellStyle name="Normal 6 7 6 4" xfId="39433"/>
    <cellStyle name="Normal 6 7 7" xfId="39434"/>
    <cellStyle name="Normal 6 7 7 2" xfId="39435"/>
    <cellStyle name="Normal 6 7 8" xfId="39436"/>
    <cellStyle name="Normal 6 7 9" xfId="39437"/>
    <cellStyle name="Normal 6 8" xfId="39438"/>
    <cellStyle name="Normal 6 8 10" xfId="39439"/>
    <cellStyle name="Normal 6 8 11" xfId="39440"/>
    <cellStyle name="Normal 6 8 2" xfId="39441"/>
    <cellStyle name="Normal 6 8 2 2" xfId="39442"/>
    <cellStyle name="Normal 6 8 2 2 2" xfId="39443"/>
    <cellStyle name="Normal 6 8 2 2 2 2" xfId="39444"/>
    <cellStyle name="Normal 6 8 2 2 2 3" xfId="39445"/>
    <cellStyle name="Normal 6 8 2 2 3" xfId="39446"/>
    <cellStyle name="Normal 6 8 2 2 4" xfId="39447"/>
    <cellStyle name="Normal 6 8 2 2 5" xfId="39448"/>
    <cellStyle name="Normal 6 8 2 2 6" xfId="39449"/>
    <cellStyle name="Normal 6 8 2 3" xfId="39450"/>
    <cellStyle name="Normal 6 8 2 3 2" xfId="39451"/>
    <cellStyle name="Normal 6 8 2 3 2 2" xfId="39452"/>
    <cellStyle name="Normal 6 8 2 3 3" xfId="39453"/>
    <cellStyle name="Normal 6 8 2 3 4" xfId="39454"/>
    <cellStyle name="Normal 6 8 2 3 5" xfId="39455"/>
    <cellStyle name="Normal 6 8 2 4" xfId="39456"/>
    <cellStyle name="Normal 6 8 2 4 2" xfId="39457"/>
    <cellStyle name="Normal 6 8 2 4 3" xfId="39458"/>
    <cellStyle name="Normal 6 8 2 4 4" xfId="39459"/>
    <cellStyle name="Normal 6 8 2 5" xfId="39460"/>
    <cellStyle name="Normal 6 8 2 5 2" xfId="39461"/>
    <cellStyle name="Normal 6 8 2 6" xfId="39462"/>
    <cellStyle name="Normal 6 8 2 7" xfId="39463"/>
    <cellStyle name="Normal 6 8 2 8" xfId="39464"/>
    <cellStyle name="Normal 6 8 2 9" xfId="39465"/>
    <cellStyle name="Normal 6 8 3" xfId="39466"/>
    <cellStyle name="Normal 6 8 3 2" xfId="39467"/>
    <cellStyle name="Normal 6 8 3 2 2" xfId="39468"/>
    <cellStyle name="Normal 6 8 3 2 2 2" xfId="39469"/>
    <cellStyle name="Normal 6 8 3 2 2 3" xfId="39470"/>
    <cellStyle name="Normal 6 8 3 2 3" xfId="39471"/>
    <cellStyle name="Normal 6 8 3 2 4" xfId="39472"/>
    <cellStyle name="Normal 6 8 3 2 5" xfId="39473"/>
    <cellStyle name="Normal 6 8 3 2 6" xfId="39474"/>
    <cellStyle name="Normal 6 8 3 3" xfId="39475"/>
    <cellStyle name="Normal 6 8 3 3 2" xfId="39476"/>
    <cellStyle name="Normal 6 8 3 3 2 2" xfId="39477"/>
    <cellStyle name="Normal 6 8 3 3 3" xfId="39478"/>
    <cellStyle name="Normal 6 8 3 3 4" xfId="39479"/>
    <cellStyle name="Normal 6 8 3 3 5" xfId="39480"/>
    <cellStyle name="Normal 6 8 3 4" xfId="39481"/>
    <cellStyle name="Normal 6 8 3 4 2" xfId="39482"/>
    <cellStyle name="Normal 6 8 3 4 3" xfId="39483"/>
    <cellStyle name="Normal 6 8 3 4 4" xfId="39484"/>
    <cellStyle name="Normal 6 8 3 5" xfId="39485"/>
    <cellStyle name="Normal 6 8 3 5 2" xfId="39486"/>
    <cellStyle name="Normal 6 8 3 6" xfId="39487"/>
    <cellStyle name="Normal 6 8 3 7" xfId="39488"/>
    <cellStyle name="Normal 6 8 3 8" xfId="39489"/>
    <cellStyle name="Normal 6 8 3 9" xfId="39490"/>
    <cellStyle name="Normal 6 8 4" xfId="39491"/>
    <cellStyle name="Normal 6 8 4 2" xfId="39492"/>
    <cellStyle name="Normal 6 8 4 2 2" xfId="39493"/>
    <cellStyle name="Normal 6 8 4 2 3" xfId="39494"/>
    <cellStyle name="Normal 6 8 4 3" xfId="39495"/>
    <cellStyle name="Normal 6 8 4 4" xfId="39496"/>
    <cellStyle name="Normal 6 8 4 5" xfId="39497"/>
    <cellStyle name="Normal 6 8 4 6" xfId="39498"/>
    <cellStyle name="Normal 6 8 5" xfId="39499"/>
    <cellStyle name="Normal 6 8 5 2" xfId="39500"/>
    <cellStyle name="Normal 6 8 5 2 2" xfId="39501"/>
    <cellStyle name="Normal 6 8 5 3" xfId="39502"/>
    <cellStyle name="Normal 6 8 5 4" xfId="39503"/>
    <cellStyle name="Normal 6 8 5 5" xfId="39504"/>
    <cellStyle name="Normal 6 8 6" xfId="39505"/>
    <cellStyle name="Normal 6 8 6 2" xfId="39506"/>
    <cellStyle name="Normal 6 8 6 3" xfId="39507"/>
    <cellStyle name="Normal 6 8 6 4" xfId="39508"/>
    <cellStyle name="Normal 6 8 7" xfId="39509"/>
    <cellStyle name="Normal 6 8 7 2" xfId="39510"/>
    <cellStyle name="Normal 6 8 8" xfId="39511"/>
    <cellStyle name="Normal 6 8 9" xfId="39512"/>
    <cellStyle name="Normal 6 9" xfId="39513"/>
    <cellStyle name="Normal 6 9 10" xfId="39514"/>
    <cellStyle name="Normal 6 9 2" xfId="39515"/>
    <cellStyle name="Normal 6 9 2 2" xfId="39516"/>
    <cellStyle name="Normal 6 9 2 2 2" xfId="39517"/>
    <cellStyle name="Normal 6 9 2 2 3" xfId="39518"/>
    <cellStyle name="Normal 6 9 2 3" xfId="39519"/>
    <cellStyle name="Normal 6 9 2 4" xfId="39520"/>
    <cellStyle name="Normal 6 9 2 5" xfId="39521"/>
    <cellStyle name="Normal 6 9 2 6" xfId="39522"/>
    <cellStyle name="Normal 6 9 3" xfId="39523"/>
    <cellStyle name="Normal 6 9 3 2" xfId="39524"/>
    <cellStyle name="Normal 6 9 3 2 2" xfId="39525"/>
    <cellStyle name="Normal 6 9 3 2 3" xfId="39526"/>
    <cellStyle name="Normal 6 9 3 3" xfId="39527"/>
    <cellStyle name="Normal 6 9 3 4" xfId="39528"/>
    <cellStyle name="Normal 6 9 3 5" xfId="39529"/>
    <cellStyle name="Normal 6 9 3 6" xfId="39530"/>
    <cellStyle name="Normal 6 9 4" xfId="39531"/>
    <cellStyle name="Normal 6 9 4 2" xfId="39532"/>
    <cellStyle name="Normal 6 9 4 2 2" xfId="39533"/>
    <cellStyle name="Normal 6 9 4 3" xfId="39534"/>
    <cellStyle name="Normal 6 9 4 4" xfId="39535"/>
    <cellStyle name="Normal 6 9 4 5" xfId="39536"/>
    <cellStyle name="Normal 6 9 5" xfId="39537"/>
    <cellStyle name="Normal 6 9 5 2" xfId="39538"/>
    <cellStyle name="Normal 6 9 5 3" xfId="39539"/>
    <cellStyle name="Normal 6 9 5 4" xfId="39540"/>
    <cellStyle name="Normal 6 9 6" xfId="39541"/>
    <cellStyle name="Normal 6 9 6 2" xfId="39542"/>
    <cellStyle name="Normal 6 9 7" xfId="39543"/>
    <cellStyle name="Normal 6 9 8" xfId="39544"/>
    <cellStyle name="Normal 6 9 9" xfId="39545"/>
    <cellStyle name="Normal 60" xfId="39546"/>
    <cellStyle name="Normal 61" xfId="39547"/>
    <cellStyle name="Normal 62" xfId="39548"/>
    <cellStyle name="Normal 63" xfId="39549"/>
    <cellStyle name="Normal 64" xfId="39550"/>
    <cellStyle name="Normal 65" xfId="39551"/>
    <cellStyle name="Normal 66" xfId="39552"/>
    <cellStyle name="Normal 67" xfId="39553"/>
    <cellStyle name="Normal 68" xfId="39554"/>
    <cellStyle name="Normal 69" xfId="39555"/>
    <cellStyle name="Normal 7" xfId="39556"/>
    <cellStyle name="Normal 7 2" xfId="39557"/>
    <cellStyle name="Normal 7 2 2" xfId="39558"/>
    <cellStyle name="Normal 7 3" xfId="39559"/>
    <cellStyle name="Normal 7 3 2" xfId="39560"/>
    <cellStyle name="Normal 7 4" xfId="39561"/>
    <cellStyle name="Normal 70" xfId="39562"/>
    <cellStyle name="Normal 71" xfId="39563"/>
    <cellStyle name="Normal 72" xfId="42325"/>
    <cellStyle name="Normal 73" xfId="42326"/>
    <cellStyle name="Normal 8" xfId="39564"/>
    <cellStyle name="Normal 8 2" xfId="39565"/>
    <cellStyle name="Normal 8 2 2" xfId="39566"/>
    <cellStyle name="Normal 8 2 3" xfId="39567"/>
    <cellStyle name="Normal 8 3" xfId="39568"/>
    <cellStyle name="Normal 8 3 2" xfId="39569"/>
    <cellStyle name="Normal 8 4" xfId="39570"/>
    <cellStyle name="Normal 8 5" xfId="39571"/>
    <cellStyle name="Normal 8 6" xfId="39572"/>
    <cellStyle name="Normal 9" xfId="39573"/>
    <cellStyle name="Normal 9 10" xfId="39574"/>
    <cellStyle name="Normal 9 11" xfId="39575"/>
    <cellStyle name="Normal 9 12" xfId="39576"/>
    <cellStyle name="Normal 9 13" xfId="39577"/>
    <cellStyle name="Normal 9 14" xfId="39578"/>
    <cellStyle name="Normal 9 15" xfId="39579"/>
    <cellStyle name="Normal 9 16" xfId="39580"/>
    <cellStyle name="Normal 9 17" xfId="39581"/>
    <cellStyle name="Normal 9 18" xfId="39582"/>
    <cellStyle name="Normal 9 19" xfId="39583"/>
    <cellStyle name="Normal 9 2" xfId="39584"/>
    <cellStyle name="Normal 9 20" xfId="39585"/>
    <cellStyle name="Normal 9 21" xfId="39586"/>
    <cellStyle name="Normal 9 22" xfId="39587"/>
    <cellStyle name="Normal 9 23" xfId="39588"/>
    <cellStyle name="Normal 9 24" xfId="39589"/>
    <cellStyle name="Normal 9 25" xfId="39590"/>
    <cellStyle name="Normal 9 26" xfId="39591"/>
    <cellStyle name="Normal 9 27" xfId="39592"/>
    <cellStyle name="Normal 9 28" xfId="39593"/>
    <cellStyle name="Normal 9 29" xfId="39594"/>
    <cellStyle name="Normal 9 3" xfId="39595"/>
    <cellStyle name="Normal 9 3 2" xfId="39596"/>
    <cellStyle name="Normal 9 30" xfId="39597"/>
    <cellStyle name="Normal 9 31" xfId="39598"/>
    <cellStyle name="Normal 9 32" xfId="39599"/>
    <cellStyle name="Normal 9 33" xfId="39600"/>
    <cellStyle name="Normal 9 34" xfId="39601"/>
    <cellStyle name="Normal 9 35" xfId="39602"/>
    <cellStyle name="Normal 9 36" xfId="39603"/>
    <cellStyle name="Normal 9 37" xfId="39604"/>
    <cellStyle name="Normal 9 38" xfId="39605"/>
    <cellStyle name="Normal 9 39" xfId="39606"/>
    <cellStyle name="Normal 9 4" xfId="39607"/>
    <cellStyle name="Normal 9 40" xfId="39608"/>
    <cellStyle name="Normal 9 5" xfId="39609"/>
    <cellStyle name="Normal 9 6" xfId="39610"/>
    <cellStyle name="Normal 9 7" xfId="39611"/>
    <cellStyle name="Normal 9 8" xfId="39612"/>
    <cellStyle name="Normal 9 9" xfId="39613"/>
    <cellStyle name="Normal 99" xfId="39614"/>
    <cellStyle name="Normal_FY94COST.XLS" xfId="42321"/>
    <cellStyle name="Normal_PRS21RX" xfId="42320"/>
    <cellStyle name="Normal_PRS21X" xfId="42319"/>
    <cellStyle name="Note 10" xfId="39615"/>
    <cellStyle name="Note 11" xfId="39616"/>
    <cellStyle name="Note 11 10" xfId="39617"/>
    <cellStyle name="Note 11 2" xfId="39618"/>
    <cellStyle name="Note 11 2 2" xfId="39619"/>
    <cellStyle name="Note 11 2 2 2" xfId="39620"/>
    <cellStyle name="Note 11 2 2 2 2" xfId="39621"/>
    <cellStyle name="Note 11 2 2 2 3" xfId="39622"/>
    <cellStyle name="Note 11 2 2 3" xfId="39623"/>
    <cellStyle name="Note 11 2 2 4" xfId="39624"/>
    <cellStyle name="Note 11 2 2 5" xfId="39625"/>
    <cellStyle name="Note 11 2 2 6" xfId="39626"/>
    <cellStyle name="Note 11 2 3" xfId="39627"/>
    <cellStyle name="Note 11 2 3 2" xfId="39628"/>
    <cellStyle name="Note 11 2 3 2 2" xfId="39629"/>
    <cellStyle name="Note 11 2 3 3" xfId="39630"/>
    <cellStyle name="Note 11 2 3 4" xfId="39631"/>
    <cellStyle name="Note 11 2 3 5" xfId="39632"/>
    <cellStyle name="Note 11 2 4" xfId="39633"/>
    <cellStyle name="Note 11 2 4 2" xfId="39634"/>
    <cellStyle name="Note 11 2 4 3" xfId="39635"/>
    <cellStyle name="Note 11 2 4 4" xfId="39636"/>
    <cellStyle name="Note 11 2 5" xfId="39637"/>
    <cellStyle name="Note 11 2 5 2" xfId="39638"/>
    <cellStyle name="Note 11 2 6" xfId="39639"/>
    <cellStyle name="Note 11 2 7" xfId="39640"/>
    <cellStyle name="Note 11 2 8" xfId="39641"/>
    <cellStyle name="Note 11 2 9" xfId="39642"/>
    <cellStyle name="Note 11 3" xfId="39643"/>
    <cellStyle name="Note 11 3 2" xfId="39644"/>
    <cellStyle name="Note 11 3 2 2" xfId="39645"/>
    <cellStyle name="Note 11 3 2 3" xfId="39646"/>
    <cellStyle name="Note 11 3 3" xfId="39647"/>
    <cellStyle name="Note 11 3 4" xfId="39648"/>
    <cellStyle name="Note 11 3 5" xfId="39649"/>
    <cellStyle name="Note 11 3 6" xfId="39650"/>
    <cellStyle name="Note 11 4" xfId="39651"/>
    <cellStyle name="Note 11 4 2" xfId="39652"/>
    <cellStyle name="Note 11 4 2 2" xfId="39653"/>
    <cellStyle name="Note 11 4 3" xfId="39654"/>
    <cellStyle name="Note 11 4 4" xfId="39655"/>
    <cellStyle name="Note 11 4 5" xfId="39656"/>
    <cellStyle name="Note 11 5" xfId="39657"/>
    <cellStyle name="Note 11 5 2" xfId="39658"/>
    <cellStyle name="Note 11 5 2 2" xfId="39659"/>
    <cellStyle name="Note 11 5 3" xfId="39660"/>
    <cellStyle name="Note 11 5 4" xfId="39661"/>
    <cellStyle name="Note 11 5 5" xfId="39662"/>
    <cellStyle name="Note 11 6" xfId="39663"/>
    <cellStyle name="Note 11 6 2" xfId="39664"/>
    <cellStyle name="Note 11 7" xfId="39665"/>
    <cellStyle name="Note 11 8" xfId="39666"/>
    <cellStyle name="Note 11 9" xfId="39667"/>
    <cellStyle name="Note 12" xfId="39668"/>
    <cellStyle name="Note 12 10" xfId="39669"/>
    <cellStyle name="Note 12 2" xfId="39670"/>
    <cellStyle name="Note 12 2 2" xfId="39671"/>
    <cellStyle name="Note 12 2 2 2" xfId="39672"/>
    <cellStyle name="Note 12 2 2 2 2" xfId="39673"/>
    <cellStyle name="Note 12 2 2 2 3" xfId="39674"/>
    <cellStyle name="Note 12 2 2 3" xfId="39675"/>
    <cellStyle name="Note 12 2 2 4" xfId="39676"/>
    <cellStyle name="Note 12 2 2 5" xfId="39677"/>
    <cellStyle name="Note 12 2 2 6" xfId="39678"/>
    <cellStyle name="Note 12 2 3" xfId="39679"/>
    <cellStyle name="Note 12 2 3 2" xfId="39680"/>
    <cellStyle name="Note 12 2 3 2 2" xfId="39681"/>
    <cellStyle name="Note 12 2 3 3" xfId="39682"/>
    <cellStyle name="Note 12 2 3 4" xfId="39683"/>
    <cellStyle name="Note 12 2 3 5" xfId="39684"/>
    <cellStyle name="Note 12 2 4" xfId="39685"/>
    <cellStyle name="Note 12 2 4 2" xfId="39686"/>
    <cellStyle name="Note 12 2 4 3" xfId="39687"/>
    <cellStyle name="Note 12 2 4 4" xfId="39688"/>
    <cellStyle name="Note 12 2 5" xfId="39689"/>
    <cellStyle name="Note 12 2 5 2" xfId="39690"/>
    <cellStyle name="Note 12 2 6" xfId="39691"/>
    <cellStyle name="Note 12 2 7" xfId="39692"/>
    <cellStyle name="Note 12 2 8" xfId="39693"/>
    <cellStyle name="Note 12 2 9" xfId="39694"/>
    <cellStyle name="Note 12 3" xfId="39695"/>
    <cellStyle name="Note 12 3 2" xfId="39696"/>
    <cellStyle name="Note 12 3 2 2" xfId="39697"/>
    <cellStyle name="Note 12 3 2 3" xfId="39698"/>
    <cellStyle name="Note 12 3 3" xfId="39699"/>
    <cellStyle name="Note 12 3 4" xfId="39700"/>
    <cellStyle name="Note 12 3 5" xfId="39701"/>
    <cellStyle name="Note 12 3 6" xfId="39702"/>
    <cellStyle name="Note 12 4" xfId="39703"/>
    <cellStyle name="Note 12 4 2" xfId="39704"/>
    <cellStyle name="Note 12 4 2 2" xfId="39705"/>
    <cellStyle name="Note 12 4 3" xfId="39706"/>
    <cellStyle name="Note 12 4 4" xfId="39707"/>
    <cellStyle name="Note 12 4 5" xfId="39708"/>
    <cellStyle name="Note 12 5" xfId="39709"/>
    <cellStyle name="Note 12 5 2" xfId="39710"/>
    <cellStyle name="Note 12 5 2 2" xfId="39711"/>
    <cellStyle name="Note 12 5 3" xfId="39712"/>
    <cellStyle name="Note 12 5 4" xfId="39713"/>
    <cellStyle name="Note 12 5 5" xfId="39714"/>
    <cellStyle name="Note 12 6" xfId="39715"/>
    <cellStyle name="Note 12 6 2" xfId="39716"/>
    <cellStyle name="Note 12 7" xfId="39717"/>
    <cellStyle name="Note 12 8" xfId="39718"/>
    <cellStyle name="Note 12 9" xfId="39719"/>
    <cellStyle name="Note 13" xfId="39720"/>
    <cellStyle name="Note 13 10" xfId="39721"/>
    <cellStyle name="Note 13 2" xfId="39722"/>
    <cellStyle name="Note 13 2 2" xfId="39723"/>
    <cellStyle name="Note 13 2 2 2" xfId="39724"/>
    <cellStyle name="Note 13 2 2 2 2" xfId="39725"/>
    <cellStyle name="Note 13 2 2 2 3" xfId="39726"/>
    <cellStyle name="Note 13 2 2 3" xfId="39727"/>
    <cellStyle name="Note 13 2 2 4" xfId="39728"/>
    <cellStyle name="Note 13 2 2 5" xfId="39729"/>
    <cellStyle name="Note 13 2 2 6" xfId="39730"/>
    <cellStyle name="Note 13 2 3" xfId="39731"/>
    <cellStyle name="Note 13 2 3 2" xfId="39732"/>
    <cellStyle name="Note 13 2 3 2 2" xfId="39733"/>
    <cellStyle name="Note 13 2 3 3" xfId="39734"/>
    <cellStyle name="Note 13 2 3 4" xfId="39735"/>
    <cellStyle name="Note 13 2 3 5" xfId="39736"/>
    <cellStyle name="Note 13 2 4" xfId="39737"/>
    <cellStyle name="Note 13 2 4 2" xfId="39738"/>
    <cellStyle name="Note 13 2 4 3" xfId="39739"/>
    <cellStyle name="Note 13 2 4 4" xfId="39740"/>
    <cellStyle name="Note 13 2 5" xfId="39741"/>
    <cellStyle name="Note 13 2 5 2" xfId="39742"/>
    <cellStyle name="Note 13 2 6" xfId="39743"/>
    <cellStyle name="Note 13 2 7" xfId="39744"/>
    <cellStyle name="Note 13 2 8" xfId="39745"/>
    <cellStyle name="Note 13 2 9" xfId="39746"/>
    <cellStyle name="Note 13 3" xfId="39747"/>
    <cellStyle name="Note 13 3 2" xfId="39748"/>
    <cellStyle name="Note 13 3 2 2" xfId="39749"/>
    <cellStyle name="Note 13 3 2 3" xfId="39750"/>
    <cellStyle name="Note 13 3 3" xfId="39751"/>
    <cellStyle name="Note 13 3 4" xfId="39752"/>
    <cellStyle name="Note 13 3 5" xfId="39753"/>
    <cellStyle name="Note 13 3 6" xfId="39754"/>
    <cellStyle name="Note 13 4" xfId="39755"/>
    <cellStyle name="Note 13 4 2" xfId="39756"/>
    <cellStyle name="Note 13 4 2 2" xfId="39757"/>
    <cellStyle name="Note 13 4 3" xfId="39758"/>
    <cellStyle name="Note 13 4 4" xfId="39759"/>
    <cellStyle name="Note 13 4 5" xfId="39760"/>
    <cellStyle name="Note 13 5" xfId="39761"/>
    <cellStyle name="Note 13 5 2" xfId="39762"/>
    <cellStyle name="Note 13 5 2 2" xfId="39763"/>
    <cellStyle name="Note 13 5 3" xfId="39764"/>
    <cellStyle name="Note 13 5 4" xfId="39765"/>
    <cellStyle name="Note 13 5 5" xfId="39766"/>
    <cellStyle name="Note 13 6" xfId="39767"/>
    <cellStyle name="Note 13 6 2" xfId="39768"/>
    <cellStyle name="Note 13 7" xfId="39769"/>
    <cellStyle name="Note 13 8" xfId="39770"/>
    <cellStyle name="Note 13 9" xfId="39771"/>
    <cellStyle name="Note 14" xfId="39772"/>
    <cellStyle name="Note 14 10" xfId="39773"/>
    <cellStyle name="Note 14 2" xfId="39774"/>
    <cellStyle name="Note 14 2 2" xfId="39775"/>
    <cellStyle name="Note 14 2 2 2" xfId="39776"/>
    <cellStyle name="Note 14 2 2 2 2" xfId="39777"/>
    <cellStyle name="Note 14 2 2 2 3" xfId="39778"/>
    <cellStyle name="Note 14 2 2 3" xfId="39779"/>
    <cellStyle name="Note 14 2 2 4" xfId="39780"/>
    <cellStyle name="Note 14 2 2 5" xfId="39781"/>
    <cellStyle name="Note 14 2 2 6" xfId="39782"/>
    <cellStyle name="Note 14 2 3" xfId="39783"/>
    <cellStyle name="Note 14 2 3 2" xfId="39784"/>
    <cellStyle name="Note 14 2 3 2 2" xfId="39785"/>
    <cellStyle name="Note 14 2 3 3" xfId="39786"/>
    <cellStyle name="Note 14 2 3 4" xfId="39787"/>
    <cellStyle name="Note 14 2 3 5" xfId="39788"/>
    <cellStyle name="Note 14 2 4" xfId="39789"/>
    <cellStyle name="Note 14 2 4 2" xfId="39790"/>
    <cellStyle name="Note 14 2 4 3" xfId="39791"/>
    <cellStyle name="Note 14 2 4 4" xfId="39792"/>
    <cellStyle name="Note 14 2 5" xfId="39793"/>
    <cellStyle name="Note 14 2 5 2" xfId="39794"/>
    <cellStyle name="Note 14 2 6" xfId="39795"/>
    <cellStyle name="Note 14 2 7" xfId="39796"/>
    <cellStyle name="Note 14 2 8" xfId="39797"/>
    <cellStyle name="Note 14 2 9" xfId="39798"/>
    <cellStyle name="Note 14 3" xfId="39799"/>
    <cellStyle name="Note 14 3 2" xfId="39800"/>
    <cellStyle name="Note 14 3 2 2" xfId="39801"/>
    <cellStyle name="Note 14 3 2 3" xfId="39802"/>
    <cellStyle name="Note 14 3 3" xfId="39803"/>
    <cellStyle name="Note 14 3 4" xfId="39804"/>
    <cellStyle name="Note 14 3 5" xfId="39805"/>
    <cellStyle name="Note 14 3 6" xfId="39806"/>
    <cellStyle name="Note 14 4" xfId="39807"/>
    <cellStyle name="Note 14 4 2" xfId="39808"/>
    <cellStyle name="Note 14 4 2 2" xfId="39809"/>
    <cellStyle name="Note 14 4 3" xfId="39810"/>
    <cellStyle name="Note 14 4 4" xfId="39811"/>
    <cellStyle name="Note 14 4 5" xfId="39812"/>
    <cellStyle name="Note 14 5" xfId="39813"/>
    <cellStyle name="Note 14 5 2" xfId="39814"/>
    <cellStyle name="Note 14 5 2 2" xfId="39815"/>
    <cellStyle name="Note 14 5 3" xfId="39816"/>
    <cellStyle name="Note 14 5 4" xfId="39817"/>
    <cellStyle name="Note 14 5 5" xfId="39818"/>
    <cellStyle name="Note 14 6" xfId="39819"/>
    <cellStyle name="Note 14 6 2" xfId="39820"/>
    <cellStyle name="Note 14 7" xfId="39821"/>
    <cellStyle name="Note 14 8" xfId="39822"/>
    <cellStyle name="Note 14 9" xfId="39823"/>
    <cellStyle name="Note 15" xfId="39824"/>
    <cellStyle name="Note 15 10" xfId="39825"/>
    <cellStyle name="Note 15 2" xfId="39826"/>
    <cellStyle name="Note 15 2 2" xfId="39827"/>
    <cellStyle name="Note 15 2 2 2" xfId="39828"/>
    <cellStyle name="Note 15 2 2 2 2" xfId="39829"/>
    <cellStyle name="Note 15 2 2 2 3" xfId="39830"/>
    <cellStyle name="Note 15 2 2 3" xfId="39831"/>
    <cellStyle name="Note 15 2 2 4" xfId="39832"/>
    <cellStyle name="Note 15 2 2 5" xfId="39833"/>
    <cellStyle name="Note 15 2 2 6" xfId="39834"/>
    <cellStyle name="Note 15 2 3" xfId="39835"/>
    <cellStyle name="Note 15 2 3 2" xfId="39836"/>
    <cellStyle name="Note 15 2 3 2 2" xfId="39837"/>
    <cellStyle name="Note 15 2 3 3" xfId="39838"/>
    <cellStyle name="Note 15 2 3 4" xfId="39839"/>
    <cellStyle name="Note 15 2 3 5" xfId="39840"/>
    <cellStyle name="Note 15 2 4" xfId="39841"/>
    <cellStyle name="Note 15 2 4 2" xfId="39842"/>
    <cellStyle name="Note 15 2 4 3" xfId="39843"/>
    <cellStyle name="Note 15 2 4 4" xfId="39844"/>
    <cellStyle name="Note 15 2 5" xfId="39845"/>
    <cellStyle name="Note 15 2 5 2" xfId="39846"/>
    <cellStyle name="Note 15 2 6" xfId="39847"/>
    <cellStyle name="Note 15 2 7" xfId="39848"/>
    <cellStyle name="Note 15 2 8" xfId="39849"/>
    <cellStyle name="Note 15 2 9" xfId="39850"/>
    <cellStyle name="Note 15 3" xfId="39851"/>
    <cellStyle name="Note 15 3 2" xfId="39852"/>
    <cellStyle name="Note 15 3 2 2" xfId="39853"/>
    <cellStyle name="Note 15 3 2 3" xfId="39854"/>
    <cellStyle name="Note 15 3 3" xfId="39855"/>
    <cellStyle name="Note 15 3 4" xfId="39856"/>
    <cellStyle name="Note 15 3 5" xfId="39857"/>
    <cellStyle name="Note 15 3 6" xfId="39858"/>
    <cellStyle name="Note 15 4" xfId="39859"/>
    <cellStyle name="Note 15 4 2" xfId="39860"/>
    <cellStyle name="Note 15 4 2 2" xfId="39861"/>
    <cellStyle name="Note 15 4 3" xfId="39862"/>
    <cellStyle name="Note 15 4 4" xfId="39863"/>
    <cellStyle name="Note 15 4 5" xfId="39864"/>
    <cellStyle name="Note 15 5" xfId="39865"/>
    <cellStyle name="Note 15 5 2" xfId="39866"/>
    <cellStyle name="Note 15 5 2 2" xfId="39867"/>
    <cellStyle name="Note 15 5 3" xfId="39868"/>
    <cellStyle name="Note 15 5 4" xfId="39869"/>
    <cellStyle name="Note 15 5 5" xfId="39870"/>
    <cellStyle name="Note 15 6" xfId="39871"/>
    <cellStyle name="Note 15 6 2" xfId="39872"/>
    <cellStyle name="Note 15 7" xfId="39873"/>
    <cellStyle name="Note 15 8" xfId="39874"/>
    <cellStyle name="Note 15 9" xfId="39875"/>
    <cellStyle name="Note 16" xfId="39876"/>
    <cellStyle name="Note 16 10" xfId="39877"/>
    <cellStyle name="Note 16 2" xfId="39878"/>
    <cellStyle name="Note 16 2 2" xfId="39879"/>
    <cellStyle name="Note 16 2 2 2" xfId="39880"/>
    <cellStyle name="Note 16 2 2 2 2" xfId="39881"/>
    <cellStyle name="Note 16 2 2 2 3" xfId="39882"/>
    <cellStyle name="Note 16 2 2 3" xfId="39883"/>
    <cellStyle name="Note 16 2 2 4" xfId="39884"/>
    <cellStyle name="Note 16 2 2 5" xfId="39885"/>
    <cellStyle name="Note 16 2 2 6" xfId="39886"/>
    <cellStyle name="Note 16 2 3" xfId="39887"/>
    <cellStyle name="Note 16 2 3 2" xfId="39888"/>
    <cellStyle name="Note 16 2 3 2 2" xfId="39889"/>
    <cellStyle name="Note 16 2 3 3" xfId="39890"/>
    <cellStyle name="Note 16 2 3 4" xfId="39891"/>
    <cellStyle name="Note 16 2 3 5" xfId="39892"/>
    <cellStyle name="Note 16 2 4" xfId="39893"/>
    <cellStyle name="Note 16 2 4 2" xfId="39894"/>
    <cellStyle name="Note 16 2 4 3" xfId="39895"/>
    <cellStyle name="Note 16 2 4 4" xfId="39896"/>
    <cellStyle name="Note 16 2 5" xfId="39897"/>
    <cellStyle name="Note 16 2 5 2" xfId="39898"/>
    <cellStyle name="Note 16 2 6" xfId="39899"/>
    <cellStyle name="Note 16 2 7" xfId="39900"/>
    <cellStyle name="Note 16 2 8" xfId="39901"/>
    <cellStyle name="Note 16 2 9" xfId="39902"/>
    <cellStyle name="Note 16 3" xfId="39903"/>
    <cellStyle name="Note 16 3 2" xfId="39904"/>
    <cellStyle name="Note 16 3 2 2" xfId="39905"/>
    <cellStyle name="Note 16 3 2 3" xfId="39906"/>
    <cellStyle name="Note 16 3 3" xfId="39907"/>
    <cellStyle name="Note 16 3 4" xfId="39908"/>
    <cellStyle name="Note 16 3 5" xfId="39909"/>
    <cellStyle name="Note 16 3 6" xfId="39910"/>
    <cellStyle name="Note 16 4" xfId="39911"/>
    <cellStyle name="Note 16 4 2" xfId="39912"/>
    <cellStyle name="Note 16 4 2 2" xfId="39913"/>
    <cellStyle name="Note 16 4 3" xfId="39914"/>
    <cellStyle name="Note 16 4 4" xfId="39915"/>
    <cellStyle name="Note 16 4 5" xfId="39916"/>
    <cellStyle name="Note 16 5" xfId="39917"/>
    <cellStyle name="Note 16 5 2" xfId="39918"/>
    <cellStyle name="Note 16 5 2 2" xfId="39919"/>
    <cellStyle name="Note 16 5 3" xfId="39920"/>
    <cellStyle name="Note 16 5 4" xfId="39921"/>
    <cellStyle name="Note 16 5 5" xfId="39922"/>
    <cellStyle name="Note 16 6" xfId="39923"/>
    <cellStyle name="Note 16 6 2" xfId="39924"/>
    <cellStyle name="Note 16 7" xfId="39925"/>
    <cellStyle name="Note 16 8" xfId="39926"/>
    <cellStyle name="Note 16 9" xfId="39927"/>
    <cellStyle name="Note 17" xfId="39928"/>
    <cellStyle name="Note 17 10" xfId="39929"/>
    <cellStyle name="Note 17 2" xfId="39930"/>
    <cellStyle name="Note 17 2 2" xfId="39931"/>
    <cellStyle name="Note 17 2 2 2" xfId="39932"/>
    <cellStyle name="Note 17 2 2 2 2" xfId="39933"/>
    <cellStyle name="Note 17 2 2 2 3" xfId="39934"/>
    <cellStyle name="Note 17 2 2 3" xfId="39935"/>
    <cellStyle name="Note 17 2 2 4" xfId="39936"/>
    <cellStyle name="Note 17 2 2 5" xfId="39937"/>
    <cellStyle name="Note 17 2 2 6" xfId="39938"/>
    <cellStyle name="Note 17 2 3" xfId="39939"/>
    <cellStyle name="Note 17 2 3 2" xfId="39940"/>
    <cellStyle name="Note 17 2 3 2 2" xfId="39941"/>
    <cellStyle name="Note 17 2 3 3" xfId="39942"/>
    <cellStyle name="Note 17 2 3 4" xfId="39943"/>
    <cellStyle name="Note 17 2 3 5" xfId="39944"/>
    <cellStyle name="Note 17 2 4" xfId="39945"/>
    <cellStyle name="Note 17 2 4 2" xfId="39946"/>
    <cellStyle name="Note 17 2 4 3" xfId="39947"/>
    <cellStyle name="Note 17 2 4 4" xfId="39948"/>
    <cellStyle name="Note 17 2 5" xfId="39949"/>
    <cellStyle name="Note 17 2 5 2" xfId="39950"/>
    <cellStyle name="Note 17 2 6" xfId="39951"/>
    <cellStyle name="Note 17 2 7" xfId="39952"/>
    <cellStyle name="Note 17 2 8" xfId="39953"/>
    <cellStyle name="Note 17 2 9" xfId="39954"/>
    <cellStyle name="Note 17 3" xfId="39955"/>
    <cellStyle name="Note 17 3 2" xfId="39956"/>
    <cellStyle name="Note 17 3 2 2" xfId="39957"/>
    <cellStyle name="Note 17 3 2 3" xfId="39958"/>
    <cellStyle name="Note 17 3 3" xfId="39959"/>
    <cellStyle name="Note 17 3 4" xfId="39960"/>
    <cellStyle name="Note 17 3 5" xfId="39961"/>
    <cellStyle name="Note 17 3 6" xfId="39962"/>
    <cellStyle name="Note 17 4" xfId="39963"/>
    <cellStyle name="Note 17 4 2" xfId="39964"/>
    <cellStyle name="Note 17 4 2 2" xfId="39965"/>
    <cellStyle name="Note 17 4 3" xfId="39966"/>
    <cellStyle name="Note 17 4 4" xfId="39967"/>
    <cellStyle name="Note 17 4 5" xfId="39968"/>
    <cellStyle name="Note 17 5" xfId="39969"/>
    <cellStyle name="Note 17 5 2" xfId="39970"/>
    <cellStyle name="Note 17 5 2 2" xfId="39971"/>
    <cellStyle name="Note 17 5 3" xfId="39972"/>
    <cellStyle name="Note 17 5 4" xfId="39973"/>
    <cellStyle name="Note 17 5 5" xfId="39974"/>
    <cellStyle name="Note 17 6" xfId="39975"/>
    <cellStyle name="Note 17 6 2" xfId="39976"/>
    <cellStyle name="Note 17 7" xfId="39977"/>
    <cellStyle name="Note 17 8" xfId="39978"/>
    <cellStyle name="Note 17 9" xfId="39979"/>
    <cellStyle name="Note 18" xfId="39980"/>
    <cellStyle name="Note 18 10" xfId="39981"/>
    <cellStyle name="Note 18 2" xfId="39982"/>
    <cellStyle name="Note 18 2 2" xfId="39983"/>
    <cellStyle name="Note 18 2 2 2" xfId="39984"/>
    <cellStyle name="Note 18 2 2 2 2" xfId="39985"/>
    <cellStyle name="Note 18 2 2 2 3" xfId="39986"/>
    <cellStyle name="Note 18 2 2 3" xfId="39987"/>
    <cellStyle name="Note 18 2 2 4" xfId="39988"/>
    <cellStyle name="Note 18 2 2 5" xfId="39989"/>
    <cellStyle name="Note 18 2 2 6" xfId="39990"/>
    <cellStyle name="Note 18 2 3" xfId="39991"/>
    <cellStyle name="Note 18 2 3 2" xfId="39992"/>
    <cellStyle name="Note 18 2 3 2 2" xfId="39993"/>
    <cellStyle name="Note 18 2 3 3" xfId="39994"/>
    <cellStyle name="Note 18 2 3 4" xfId="39995"/>
    <cellStyle name="Note 18 2 3 5" xfId="39996"/>
    <cellStyle name="Note 18 2 4" xfId="39997"/>
    <cellStyle name="Note 18 2 4 2" xfId="39998"/>
    <cellStyle name="Note 18 2 4 3" xfId="39999"/>
    <cellStyle name="Note 18 2 4 4" xfId="40000"/>
    <cellStyle name="Note 18 2 5" xfId="40001"/>
    <cellStyle name="Note 18 2 5 2" xfId="40002"/>
    <cellStyle name="Note 18 2 6" xfId="40003"/>
    <cellStyle name="Note 18 2 7" xfId="40004"/>
    <cellStyle name="Note 18 2 8" xfId="40005"/>
    <cellStyle name="Note 18 2 9" xfId="40006"/>
    <cellStyle name="Note 18 3" xfId="40007"/>
    <cellStyle name="Note 18 3 2" xfId="40008"/>
    <cellStyle name="Note 18 3 2 2" xfId="40009"/>
    <cellStyle name="Note 18 3 2 3" xfId="40010"/>
    <cellStyle name="Note 18 3 3" xfId="40011"/>
    <cellStyle name="Note 18 3 4" xfId="40012"/>
    <cellStyle name="Note 18 3 5" xfId="40013"/>
    <cellStyle name="Note 18 3 6" xfId="40014"/>
    <cellStyle name="Note 18 4" xfId="40015"/>
    <cellStyle name="Note 18 4 2" xfId="40016"/>
    <cellStyle name="Note 18 4 2 2" xfId="40017"/>
    <cellStyle name="Note 18 4 3" xfId="40018"/>
    <cellStyle name="Note 18 4 4" xfId="40019"/>
    <cellStyle name="Note 18 4 5" xfId="40020"/>
    <cellStyle name="Note 18 5" xfId="40021"/>
    <cellStyle name="Note 18 5 2" xfId="40022"/>
    <cellStyle name="Note 18 5 2 2" xfId="40023"/>
    <cellStyle name="Note 18 5 3" xfId="40024"/>
    <cellStyle name="Note 18 5 4" xfId="40025"/>
    <cellStyle name="Note 18 5 5" xfId="40026"/>
    <cellStyle name="Note 18 6" xfId="40027"/>
    <cellStyle name="Note 18 6 2" xfId="40028"/>
    <cellStyle name="Note 18 7" xfId="40029"/>
    <cellStyle name="Note 18 8" xfId="40030"/>
    <cellStyle name="Note 18 9" xfId="40031"/>
    <cellStyle name="Note 19" xfId="40032"/>
    <cellStyle name="Note 19 10" xfId="40033"/>
    <cellStyle name="Note 19 2" xfId="40034"/>
    <cellStyle name="Note 19 2 2" xfId="40035"/>
    <cellStyle name="Note 19 2 2 2" xfId="40036"/>
    <cellStyle name="Note 19 2 2 2 2" xfId="40037"/>
    <cellStyle name="Note 19 2 2 2 3" xfId="40038"/>
    <cellStyle name="Note 19 2 2 3" xfId="40039"/>
    <cellStyle name="Note 19 2 2 4" xfId="40040"/>
    <cellStyle name="Note 19 2 2 5" xfId="40041"/>
    <cellStyle name="Note 19 2 2 6" xfId="40042"/>
    <cellStyle name="Note 19 2 3" xfId="40043"/>
    <cellStyle name="Note 19 2 3 2" xfId="40044"/>
    <cellStyle name="Note 19 2 3 2 2" xfId="40045"/>
    <cellStyle name="Note 19 2 3 3" xfId="40046"/>
    <cellStyle name="Note 19 2 3 4" xfId="40047"/>
    <cellStyle name="Note 19 2 3 5" xfId="40048"/>
    <cellStyle name="Note 19 2 4" xfId="40049"/>
    <cellStyle name="Note 19 2 4 2" xfId="40050"/>
    <cellStyle name="Note 19 2 4 3" xfId="40051"/>
    <cellStyle name="Note 19 2 4 4" xfId="40052"/>
    <cellStyle name="Note 19 2 5" xfId="40053"/>
    <cellStyle name="Note 19 2 5 2" xfId="40054"/>
    <cellStyle name="Note 19 2 6" xfId="40055"/>
    <cellStyle name="Note 19 2 7" xfId="40056"/>
    <cellStyle name="Note 19 2 8" xfId="40057"/>
    <cellStyle name="Note 19 2 9" xfId="40058"/>
    <cellStyle name="Note 19 3" xfId="40059"/>
    <cellStyle name="Note 19 3 2" xfId="40060"/>
    <cellStyle name="Note 19 3 2 2" xfId="40061"/>
    <cellStyle name="Note 19 3 2 3" xfId="40062"/>
    <cellStyle name="Note 19 3 3" xfId="40063"/>
    <cellStyle name="Note 19 3 4" xfId="40064"/>
    <cellStyle name="Note 19 3 5" xfId="40065"/>
    <cellStyle name="Note 19 3 6" xfId="40066"/>
    <cellStyle name="Note 19 4" xfId="40067"/>
    <cellStyle name="Note 19 4 2" xfId="40068"/>
    <cellStyle name="Note 19 4 2 2" xfId="40069"/>
    <cellStyle name="Note 19 4 3" xfId="40070"/>
    <cellStyle name="Note 19 4 4" xfId="40071"/>
    <cellStyle name="Note 19 4 5" xfId="40072"/>
    <cellStyle name="Note 19 5" xfId="40073"/>
    <cellStyle name="Note 19 5 2" xfId="40074"/>
    <cellStyle name="Note 19 5 2 2" xfId="40075"/>
    <cellStyle name="Note 19 5 3" xfId="40076"/>
    <cellStyle name="Note 19 5 4" xfId="40077"/>
    <cellStyle name="Note 19 5 5" xfId="40078"/>
    <cellStyle name="Note 19 6" xfId="40079"/>
    <cellStyle name="Note 19 6 2" xfId="40080"/>
    <cellStyle name="Note 19 7" xfId="40081"/>
    <cellStyle name="Note 19 8" xfId="40082"/>
    <cellStyle name="Note 19 9" xfId="40083"/>
    <cellStyle name="Note 2" xfId="40084"/>
    <cellStyle name="Note 2 10" xfId="40085"/>
    <cellStyle name="Note 2 10 2" xfId="40086"/>
    <cellStyle name="Note 2 10 2 2" xfId="40087"/>
    <cellStyle name="Note 2 10 2 2 2" xfId="40088"/>
    <cellStyle name="Note 2 10 2 2 3" xfId="40089"/>
    <cellStyle name="Note 2 10 2 3" xfId="40090"/>
    <cellStyle name="Note 2 10 2 4" xfId="40091"/>
    <cellStyle name="Note 2 10 2 5" xfId="40092"/>
    <cellStyle name="Note 2 10 2 6" xfId="40093"/>
    <cellStyle name="Note 2 10 3" xfId="40094"/>
    <cellStyle name="Note 2 10 3 2" xfId="40095"/>
    <cellStyle name="Note 2 10 3 2 2" xfId="40096"/>
    <cellStyle name="Note 2 10 3 3" xfId="40097"/>
    <cellStyle name="Note 2 10 3 4" xfId="40098"/>
    <cellStyle name="Note 2 10 3 5" xfId="40099"/>
    <cellStyle name="Note 2 10 4" xfId="40100"/>
    <cellStyle name="Note 2 10 4 2" xfId="40101"/>
    <cellStyle name="Note 2 10 4 3" xfId="40102"/>
    <cellStyle name="Note 2 10 4 4" xfId="40103"/>
    <cellStyle name="Note 2 10 5" xfId="40104"/>
    <cellStyle name="Note 2 10 5 2" xfId="40105"/>
    <cellStyle name="Note 2 10 6" xfId="40106"/>
    <cellStyle name="Note 2 10 7" xfId="40107"/>
    <cellStyle name="Note 2 10 8" xfId="40108"/>
    <cellStyle name="Note 2 10 9" xfId="40109"/>
    <cellStyle name="Note 2 11" xfId="40110"/>
    <cellStyle name="Note 2 11 2" xfId="40111"/>
    <cellStyle name="Note 2 11 2 2" xfId="40112"/>
    <cellStyle name="Note 2 11 2 2 2" xfId="40113"/>
    <cellStyle name="Note 2 11 2 3" xfId="40114"/>
    <cellStyle name="Note 2 11 2 4" xfId="40115"/>
    <cellStyle name="Note 2 11 2 5" xfId="40116"/>
    <cellStyle name="Note 2 11 3" xfId="40117"/>
    <cellStyle name="Note 2 11 3 2" xfId="40118"/>
    <cellStyle name="Note 2 11 3 3" xfId="40119"/>
    <cellStyle name="Note 2 11 3 4" xfId="40120"/>
    <cellStyle name="Note 2 11 4" xfId="40121"/>
    <cellStyle name="Note 2 11 4 2" xfId="40122"/>
    <cellStyle name="Note 2 11 5" xfId="40123"/>
    <cellStyle name="Note 2 11 6" xfId="40124"/>
    <cellStyle name="Note 2 11 7" xfId="40125"/>
    <cellStyle name="Note 2 11 8" xfId="40126"/>
    <cellStyle name="Note 2 12" xfId="40127"/>
    <cellStyle name="Note 2 12 2" xfId="40128"/>
    <cellStyle name="Note 2 12 2 2" xfId="40129"/>
    <cellStyle name="Note 2 12 2 3" xfId="40130"/>
    <cellStyle name="Note 2 12 3" xfId="40131"/>
    <cellStyle name="Note 2 12 4" xfId="40132"/>
    <cellStyle name="Note 2 12 5" xfId="40133"/>
    <cellStyle name="Note 2 12 6" xfId="40134"/>
    <cellStyle name="Note 2 13" xfId="40135"/>
    <cellStyle name="Note 2 13 2" xfId="40136"/>
    <cellStyle name="Note 2 13 2 2" xfId="40137"/>
    <cellStyle name="Note 2 13 3" xfId="40138"/>
    <cellStyle name="Note 2 13 4" xfId="40139"/>
    <cellStyle name="Note 2 13 5" xfId="40140"/>
    <cellStyle name="Note 2 14" xfId="40141"/>
    <cellStyle name="Note 2 14 2" xfId="40142"/>
    <cellStyle name="Note 2 14 2 2" xfId="40143"/>
    <cellStyle name="Note 2 14 3" xfId="40144"/>
    <cellStyle name="Note 2 14 4" xfId="40145"/>
    <cellStyle name="Note 2 14 5" xfId="40146"/>
    <cellStyle name="Note 2 15" xfId="40147"/>
    <cellStyle name="Note 2 15 2" xfId="40148"/>
    <cellStyle name="Note 2 16" xfId="40149"/>
    <cellStyle name="Note 2 17" xfId="40150"/>
    <cellStyle name="Note 2 18" xfId="40151"/>
    <cellStyle name="Note 2 19" xfId="40152"/>
    <cellStyle name="Note 2 2" xfId="40153"/>
    <cellStyle name="Note 2 2 10" xfId="40154"/>
    <cellStyle name="Note 2 2 2" xfId="40155"/>
    <cellStyle name="Note 2 2 2 2" xfId="40156"/>
    <cellStyle name="Note 2 2 2 2 2" xfId="40157"/>
    <cellStyle name="Note 2 2 2 2 2 2" xfId="40158"/>
    <cellStyle name="Note 2 2 2 2 2 3" xfId="40159"/>
    <cellStyle name="Note 2 2 2 2 3" xfId="40160"/>
    <cellStyle name="Note 2 2 2 2 4" xfId="40161"/>
    <cellStyle name="Note 2 2 2 2 5" xfId="40162"/>
    <cellStyle name="Note 2 2 2 2 6" xfId="40163"/>
    <cellStyle name="Note 2 2 2 3" xfId="40164"/>
    <cellStyle name="Note 2 2 2 3 2" xfId="40165"/>
    <cellStyle name="Note 2 2 2 3 2 2" xfId="40166"/>
    <cellStyle name="Note 2 2 2 3 3" xfId="40167"/>
    <cellStyle name="Note 2 2 2 3 4" xfId="40168"/>
    <cellStyle name="Note 2 2 2 3 5" xfId="40169"/>
    <cellStyle name="Note 2 2 2 4" xfId="40170"/>
    <cellStyle name="Note 2 2 2 4 2" xfId="40171"/>
    <cellStyle name="Note 2 2 2 4 3" xfId="40172"/>
    <cellStyle name="Note 2 2 2 4 4" xfId="40173"/>
    <cellStyle name="Note 2 2 2 5" xfId="40174"/>
    <cellStyle name="Note 2 2 2 5 2" xfId="40175"/>
    <cellStyle name="Note 2 2 2 6" xfId="40176"/>
    <cellStyle name="Note 2 2 2 7" xfId="40177"/>
    <cellStyle name="Note 2 2 2 8" xfId="40178"/>
    <cellStyle name="Note 2 2 2 9" xfId="40179"/>
    <cellStyle name="Note 2 2 3" xfId="40180"/>
    <cellStyle name="Note 2 2 3 2" xfId="40181"/>
    <cellStyle name="Note 2 2 3 2 2" xfId="40182"/>
    <cellStyle name="Note 2 2 3 2 3" xfId="40183"/>
    <cellStyle name="Note 2 2 3 3" xfId="40184"/>
    <cellStyle name="Note 2 2 3 4" xfId="40185"/>
    <cellStyle name="Note 2 2 3 5" xfId="40186"/>
    <cellStyle name="Note 2 2 3 6" xfId="40187"/>
    <cellStyle name="Note 2 2 4" xfId="40188"/>
    <cellStyle name="Note 2 2 4 2" xfId="40189"/>
    <cellStyle name="Note 2 2 4 2 2" xfId="40190"/>
    <cellStyle name="Note 2 2 4 3" xfId="40191"/>
    <cellStyle name="Note 2 2 4 4" xfId="40192"/>
    <cellStyle name="Note 2 2 4 5" xfId="40193"/>
    <cellStyle name="Note 2 2 5" xfId="40194"/>
    <cellStyle name="Note 2 2 5 2" xfId="40195"/>
    <cellStyle name="Note 2 2 5 2 2" xfId="40196"/>
    <cellStyle name="Note 2 2 5 3" xfId="40197"/>
    <cellStyle name="Note 2 2 5 4" xfId="40198"/>
    <cellStyle name="Note 2 2 5 5" xfId="40199"/>
    <cellStyle name="Note 2 2 6" xfId="40200"/>
    <cellStyle name="Note 2 2 6 2" xfId="40201"/>
    <cellStyle name="Note 2 2 7" xfId="40202"/>
    <cellStyle name="Note 2 2 8" xfId="40203"/>
    <cellStyle name="Note 2 2 9" xfId="40204"/>
    <cellStyle name="Note 2 3" xfId="40205"/>
    <cellStyle name="Note 2 3 10" xfId="40206"/>
    <cellStyle name="Note 2 3 2" xfId="40207"/>
    <cellStyle name="Note 2 3 2 2" xfId="40208"/>
    <cellStyle name="Note 2 3 2 2 2" xfId="40209"/>
    <cellStyle name="Note 2 3 2 2 2 2" xfId="40210"/>
    <cellStyle name="Note 2 3 2 2 2 3" xfId="40211"/>
    <cellStyle name="Note 2 3 2 2 3" xfId="40212"/>
    <cellStyle name="Note 2 3 2 2 4" xfId="40213"/>
    <cellStyle name="Note 2 3 2 2 5" xfId="40214"/>
    <cellStyle name="Note 2 3 2 2 6" xfId="40215"/>
    <cellStyle name="Note 2 3 2 3" xfId="40216"/>
    <cellStyle name="Note 2 3 2 3 2" xfId="40217"/>
    <cellStyle name="Note 2 3 2 3 2 2" xfId="40218"/>
    <cellStyle name="Note 2 3 2 3 3" xfId="40219"/>
    <cellStyle name="Note 2 3 2 3 4" xfId="40220"/>
    <cellStyle name="Note 2 3 2 3 5" xfId="40221"/>
    <cellStyle name="Note 2 3 2 4" xfId="40222"/>
    <cellStyle name="Note 2 3 2 4 2" xfId="40223"/>
    <cellStyle name="Note 2 3 2 4 3" xfId="40224"/>
    <cellStyle name="Note 2 3 2 4 4" xfId="40225"/>
    <cellStyle name="Note 2 3 2 5" xfId="40226"/>
    <cellStyle name="Note 2 3 2 5 2" xfId="40227"/>
    <cellStyle name="Note 2 3 2 6" xfId="40228"/>
    <cellStyle name="Note 2 3 2 7" xfId="40229"/>
    <cellStyle name="Note 2 3 2 8" xfId="40230"/>
    <cellStyle name="Note 2 3 2 9" xfId="40231"/>
    <cellStyle name="Note 2 3 3" xfId="40232"/>
    <cellStyle name="Note 2 3 3 2" xfId="40233"/>
    <cellStyle name="Note 2 3 3 2 2" xfId="40234"/>
    <cellStyle name="Note 2 3 3 2 3" xfId="40235"/>
    <cellStyle name="Note 2 3 3 3" xfId="40236"/>
    <cellStyle name="Note 2 3 3 4" xfId="40237"/>
    <cellStyle name="Note 2 3 3 5" xfId="40238"/>
    <cellStyle name="Note 2 3 3 6" xfId="40239"/>
    <cellStyle name="Note 2 3 4" xfId="40240"/>
    <cellStyle name="Note 2 3 4 2" xfId="40241"/>
    <cellStyle name="Note 2 3 4 2 2" xfId="40242"/>
    <cellStyle name="Note 2 3 4 3" xfId="40243"/>
    <cellStyle name="Note 2 3 4 4" xfId="40244"/>
    <cellStyle name="Note 2 3 4 5" xfId="40245"/>
    <cellStyle name="Note 2 3 5" xfId="40246"/>
    <cellStyle name="Note 2 3 5 2" xfId="40247"/>
    <cellStyle name="Note 2 3 5 2 2" xfId="40248"/>
    <cellStyle name="Note 2 3 5 3" xfId="40249"/>
    <cellStyle name="Note 2 3 5 4" xfId="40250"/>
    <cellStyle name="Note 2 3 5 5" xfId="40251"/>
    <cellStyle name="Note 2 3 6" xfId="40252"/>
    <cellStyle name="Note 2 3 6 2" xfId="40253"/>
    <cellStyle name="Note 2 3 7" xfId="40254"/>
    <cellStyle name="Note 2 3 8" xfId="40255"/>
    <cellStyle name="Note 2 3 9" xfId="40256"/>
    <cellStyle name="Note 2 4" xfId="40257"/>
    <cellStyle name="Note 2 4 10" xfId="40258"/>
    <cellStyle name="Note 2 4 2" xfId="40259"/>
    <cellStyle name="Note 2 4 2 2" xfId="40260"/>
    <cellStyle name="Note 2 4 2 2 2" xfId="40261"/>
    <cellStyle name="Note 2 4 2 2 2 2" xfId="40262"/>
    <cellStyle name="Note 2 4 2 2 2 3" xfId="40263"/>
    <cellStyle name="Note 2 4 2 2 3" xfId="40264"/>
    <cellStyle name="Note 2 4 2 2 4" xfId="40265"/>
    <cellStyle name="Note 2 4 2 2 5" xfId="40266"/>
    <cellStyle name="Note 2 4 2 2 6" xfId="40267"/>
    <cellStyle name="Note 2 4 2 3" xfId="40268"/>
    <cellStyle name="Note 2 4 2 3 2" xfId="40269"/>
    <cellStyle name="Note 2 4 2 3 2 2" xfId="40270"/>
    <cellStyle name="Note 2 4 2 3 3" xfId="40271"/>
    <cellStyle name="Note 2 4 2 3 4" xfId="40272"/>
    <cellStyle name="Note 2 4 2 3 5" xfId="40273"/>
    <cellStyle name="Note 2 4 2 4" xfId="40274"/>
    <cellStyle name="Note 2 4 2 4 2" xfId="40275"/>
    <cellStyle name="Note 2 4 2 4 3" xfId="40276"/>
    <cellStyle name="Note 2 4 2 4 4" xfId="40277"/>
    <cellStyle name="Note 2 4 2 5" xfId="40278"/>
    <cellStyle name="Note 2 4 2 5 2" xfId="40279"/>
    <cellStyle name="Note 2 4 2 6" xfId="40280"/>
    <cellStyle name="Note 2 4 2 7" xfId="40281"/>
    <cellStyle name="Note 2 4 2 8" xfId="40282"/>
    <cellStyle name="Note 2 4 2 9" xfId="40283"/>
    <cellStyle name="Note 2 4 3" xfId="40284"/>
    <cellStyle name="Note 2 4 3 2" xfId="40285"/>
    <cellStyle name="Note 2 4 3 2 2" xfId="40286"/>
    <cellStyle name="Note 2 4 3 2 3" xfId="40287"/>
    <cellStyle name="Note 2 4 3 3" xfId="40288"/>
    <cellStyle name="Note 2 4 3 4" xfId="40289"/>
    <cellStyle name="Note 2 4 3 5" xfId="40290"/>
    <cellStyle name="Note 2 4 3 6" xfId="40291"/>
    <cellStyle name="Note 2 4 4" xfId="40292"/>
    <cellStyle name="Note 2 4 4 2" xfId="40293"/>
    <cellStyle name="Note 2 4 4 2 2" xfId="40294"/>
    <cellStyle name="Note 2 4 4 3" xfId="40295"/>
    <cellStyle name="Note 2 4 4 4" xfId="40296"/>
    <cellStyle name="Note 2 4 4 5" xfId="40297"/>
    <cellStyle name="Note 2 4 5" xfId="40298"/>
    <cellStyle name="Note 2 4 5 2" xfId="40299"/>
    <cellStyle name="Note 2 4 5 2 2" xfId="40300"/>
    <cellStyle name="Note 2 4 5 3" xfId="40301"/>
    <cellStyle name="Note 2 4 5 4" xfId="40302"/>
    <cellStyle name="Note 2 4 5 5" xfId="40303"/>
    <cellStyle name="Note 2 4 6" xfId="40304"/>
    <cellStyle name="Note 2 4 6 2" xfId="40305"/>
    <cellStyle name="Note 2 4 7" xfId="40306"/>
    <cellStyle name="Note 2 4 8" xfId="40307"/>
    <cellStyle name="Note 2 4 9" xfId="40308"/>
    <cellStyle name="Note 2 5" xfId="40309"/>
    <cellStyle name="Note 2 5 10" xfId="40310"/>
    <cellStyle name="Note 2 5 2" xfId="40311"/>
    <cellStyle name="Note 2 5 2 2" xfId="40312"/>
    <cellStyle name="Note 2 5 2 2 2" xfId="40313"/>
    <cellStyle name="Note 2 5 2 2 2 2" xfId="40314"/>
    <cellStyle name="Note 2 5 2 2 2 3" xfId="40315"/>
    <cellStyle name="Note 2 5 2 2 3" xfId="40316"/>
    <cellStyle name="Note 2 5 2 2 4" xfId="40317"/>
    <cellStyle name="Note 2 5 2 2 5" xfId="40318"/>
    <cellStyle name="Note 2 5 2 2 6" xfId="40319"/>
    <cellStyle name="Note 2 5 2 3" xfId="40320"/>
    <cellStyle name="Note 2 5 2 3 2" xfId="40321"/>
    <cellStyle name="Note 2 5 2 3 2 2" xfId="40322"/>
    <cellStyle name="Note 2 5 2 3 3" xfId="40323"/>
    <cellStyle name="Note 2 5 2 3 4" xfId="40324"/>
    <cellStyle name="Note 2 5 2 3 5" xfId="40325"/>
    <cellStyle name="Note 2 5 2 4" xfId="40326"/>
    <cellStyle name="Note 2 5 2 4 2" xfId="40327"/>
    <cellStyle name="Note 2 5 2 4 3" xfId="40328"/>
    <cellStyle name="Note 2 5 2 4 4" xfId="40329"/>
    <cellStyle name="Note 2 5 2 5" xfId="40330"/>
    <cellStyle name="Note 2 5 2 5 2" xfId="40331"/>
    <cellStyle name="Note 2 5 2 6" xfId="40332"/>
    <cellStyle name="Note 2 5 2 7" xfId="40333"/>
    <cellStyle name="Note 2 5 2 8" xfId="40334"/>
    <cellStyle name="Note 2 5 2 9" xfId="40335"/>
    <cellStyle name="Note 2 5 3" xfId="40336"/>
    <cellStyle name="Note 2 5 3 2" xfId="40337"/>
    <cellStyle name="Note 2 5 3 2 2" xfId="40338"/>
    <cellStyle name="Note 2 5 3 2 3" xfId="40339"/>
    <cellStyle name="Note 2 5 3 3" xfId="40340"/>
    <cellStyle name="Note 2 5 3 4" xfId="40341"/>
    <cellStyle name="Note 2 5 3 5" xfId="40342"/>
    <cellStyle name="Note 2 5 3 6" xfId="40343"/>
    <cellStyle name="Note 2 5 4" xfId="40344"/>
    <cellStyle name="Note 2 5 4 2" xfId="40345"/>
    <cellStyle name="Note 2 5 4 2 2" xfId="40346"/>
    <cellStyle name="Note 2 5 4 3" xfId="40347"/>
    <cellStyle name="Note 2 5 4 4" xfId="40348"/>
    <cellStyle name="Note 2 5 4 5" xfId="40349"/>
    <cellStyle name="Note 2 5 5" xfId="40350"/>
    <cellStyle name="Note 2 5 5 2" xfId="40351"/>
    <cellStyle name="Note 2 5 5 2 2" xfId="40352"/>
    <cellStyle name="Note 2 5 5 3" xfId="40353"/>
    <cellStyle name="Note 2 5 5 4" xfId="40354"/>
    <cellStyle name="Note 2 5 5 5" xfId="40355"/>
    <cellStyle name="Note 2 5 6" xfId="40356"/>
    <cellStyle name="Note 2 5 6 2" xfId="40357"/>
    <cellStyle name="Note 2 5 7" xfId="40358"/>
    <cellStyle name="Note 2 5 8" xfId="40359"/>
    <cellStyle name="Note 2 5 9" xfId="40360"/>
    <cellStyle name="Note 2 6" xfId="40361"/>
    <cellStyle name="Note 2 6 10" xfId="40362"/>
    <cellStyle name="Note 2 6 2" xfId="40363"/>
    <cellStyle name="Note 2 6 2 2" xfId="40364"/>
    <cellStyle name="Note 2 6 2 2 2" xfId="40365"/>
    <cellStyle name="Note 2 6 2 2 2 2" xfId="40366"/>
    <cellStyle name="Note 2 6 2 2 2 3" xfId="40367"/>
    <cellStyle name="Note 2 6 2 2 3" xfId="40368"/>
    <cellStyle name="Note 2 6 2 2 4" xfId="40369"/>
    <cellStyle name="Note 2 6 2 2 5" xfId="40370"/>
    <cellStyle name="Note 2 6 2 2 6" xfId="40371"/>
    <cellStyle name="Note 2 6 2 3" xfId="40372"/>
    <cellStyle name="Note 2 6 2 3 2" xfId="40373"/>
    <cellStyle name="Note 2 6 2 3 2 2" xfId="40374"/>
    <cellStyle name="Note 2 6 2 3 3" xfId="40375"/>
    <cellStyle name="Note 2 6 2 3 4" xfId="40376"/>
    <cellStyle name="Note 2 6 2 3 5" xfId="40377"/>
    <cellStyle name="Note 2 6 2 4" xfId="40378"/>
    <cellStyle name="Note 2 6 2 4 2" xfId="40379"/>
    <cellStyle name="Note 2 6 2 4 3" xfId="40380"/>
    <cellStyle name="Note 2 6 2 4 4" xfId="40381"/>
    <cellStyle name="Note 2 6 2 5" xfId="40382"/>
    <cellStyle name="Note 2 6 2 5 2" xfId="40383"/>
    <cellStyle name="Note 2 6 2 6" xfId="40384"/>
    <cellStyle name="Note 2 6 2 7" xfId="40385"/>
    <cellStyle name="Note 2 6 2 8" xfId="40386"/>
    <cellStyle name="Note 2 6 2 9" xfId="40387"/>
    <cellStyle name="Note 2 6 3" xfId="40388"/>
    <cellStyle name="Note 2 6 3 2" xfId="40389"/>
    <cellStyle name="Note 2 6 3 2 2" xfId="40390"/>
    <cellStyle name="Note 2 6 3 2 3" xfId="40391"/>
    <cellStyle name="Note 2 6 3 3" xfId="40392"/>
    <cellStyle name="Note 2 6 3 4" xfId="40393"/>
    <cellStyle name="Note 2 6 3 5" xfId="40394"/>
    <cellStyle name="Note 2 6 3 6" xfId="40395"/>
    <cellStyle name="Note 2 6 4" xfId="40396"/>
    <cellStyle name="Note 2 6 4 2" xfId="40397"/>
    <cellStyle name="Note 2 6 4 2 2" xfId="40398"/>
    <cellStyle name="Note 2 6 4 3" xfId="40399"/>
    <cellStyle name="Note 2 6 4 4" xfId="40400"/>
    <cellStyle name="Note 2 6 4 5" xfId="40401"/>
    <cellStyle name="Note 2 6 5" xfId="40402"/>
    <cellStyle name="Note 2 6 5 2" xfId="40403"/>
    <cellStyle name="Note 2 6 5 2 2" xfId="40404"/>
    <cellStyle name="Note 2 6 5 3" xfId="40405"/>
    <cellStyle name="Note 2 6 5 4" xfId="40406"/>
    <cellStyle name="Note 2 6 5 5" xfId="40407"/>
    <cellStyle name="Note 2 6 6" xfId="40408"/>
    <cellStyle name="Note 2 6 6 2" xfId="40409"/>
    <cellStyle name="Note 2 6 7" xfId="40410"/>
    <cellStyle name="Note 2 6 8" xfId="40411"/>
    <cellStyle name="Note 2 6 9" xfId="40412"/>
    <cellStyle name="Note 2 7" xfId="40413"/>
    <cellStyle name="Note 2 7 10" xfId="40414"/>
    <cellStyle name="Note 2 7 2" xfId="40415"/>
    <cellStyle name="Note 2 7 2 2" xfId="40416"/>
    <cellStyle name="Note 2 7 2 2 2" xfId="40417"/>
    <cellStyle name="Note 2 7 2 2 2 2" xfId="40418"/>
    <cellStyle name="Note 2 7 2 2 2 3" xfId="40419"/>
    <cellStyle name="Note 2 7 2 2 3" xfId="40420"/>
    <cellStyle name="Note 2 7 2 2 4" xfId="40421"/>
    <cellStyle name="Note 2 7 2 2 5" xfId="40422"/>
    <cellStyle name="Note 2 7 2 2 6" xfId="40423"/>
    <cellStyle name="Note 2 7 2 3" xfId="40424"/>
    <cellStyle name="Note 2 7 2 3 2" xfId="40425"/>
    <cellStyle name="Note 2 7 2 3 2 2" xfId="40426"/>
    <cellStyle name="Note 2 7 2 3 3" xfId="40427"/>
    <cellStyle name="Note 2 7 2 3 4" xfId="40428"/>
    <cellStyle name="Note 2 7 2 3 5" xfId="40429"/>
    <cellStyle name="Note 2 7 2 4" xfId="40430"/>
    <cellStyle name="Note 2 7 2 4 2" xfId="40431"/>
    <cellStyle name="Note 2 7 2 4 3" xfId="40432"/>
    <cellStyle name="Note 2 7 2 4 4" xfId="40433"/>
    <cellStyle name="Note 2 7 2 5" xfId="40434"/>
    <cellStyle name="Note 2 7 2 5 2" xfId="40435"/>
    <cellStyle name="Note 2 7 2 6" xfId="40436"/>
    <cellStyle name="Note 2 7 2 7" xfId="40437"/>
    <cellStyle name="Note 2 7 2 8" xfId="40438"/>
    <cellStyle name="Note 2 7 2 9" xfId="40439"/>
    <cellStyle name="Note 2 7 3" xfId="40440"/>
    <cellStyle name="Note 2 7 3 2" xfId="40441"/>
    <cellStyle name="Note 2 7 3 2 2" xfId="40442"/>
    <cellStyle name="Note 2 7 3 2 3" xfId="40443"/>
    <cellStyle name="Note 2 7 3 3" xfId="40444"/>
    <cellStyle name="Note 2 7 3 4" xfId="40445"/>
    <cellStyle name="Note 2 7 3 5" xfId="40446"/>
    <cellStyle name="Note 2 7 3 6" xfId="40447"/>
    <cellStyle name="Note 2 7 4" xfId="40448"/>
    <cellStyle name="Note 2 7 4 2" xfId="40449"/>
    <cellStyle name="Note 2 7 4 2 2" xfId="40450"/>
    <cellStyle name="Note 2 7 4 3" xfId="40451"/>
    <cellStyle name="Note 2 7 4 4" xfId="40452"/>
    <cellStyle name="Note 2 7 4 5" xfId="40453"/>
    <cellStyle name="Note 2 7 5" xfId="40454"/>
    <cellStyle name="Note 2 7 5 2" xfId="40455"/>
    <cellStyle name="Note 2 7 5 2 2" xfId="40456"/>
    <cellStyle name="Note 2 7 5 3" xfId="40457"/>
    <cellStyle name="Note 2 7 5 4" xfId="40458"/>
    <cellStyle name="Note 2 7 5 5" xfId="40459"/>
    <cellStyle name="Note 2 7 6" xfId="40460"/>
    <cellStyle name="Note 2 7 6 2" xfId="40461"/>
    <cellStyle name="Note 2 7 7" xfId="40462"/>
    <cellStyle name="Note 2 7 8" xfId="40463"/>
    <cellStyle name="Note 2 7 9" xfId="40464"/>
    <cellStyle name="Note 2 8" xfId="40465"/>
    <cellStyle name="Note 2 8 10" xfId="40466"/>
    <cellStyle name="Note 2 8 2" xfId="40467"/>
    <cellStyle name="Note 2 8 2 2" xfId="40468"/>
    <cellStyle name="Note 2 8 2 2 2" xfId="40469"/>
    <cellStyle name="Note 2 8 2 2 2 2" xfId="40470"/>
    <cellStyle name="Note 2 8 2 2 2 3" xfId="40471"/>
    <cellStyle name="Note 2 8 2 2 3" xfId="40472"/>
    <cellStyle name="Note 2 8 2 2 4" xfId="40473"/>
    <cellStyle name="Note 2 8 2 2 5" xfId="40474"/>
    <cellStyle name="Note 2 8 2 2 6" xfId="40475"/>
    <cellStyle name="Note 2 8 2 3" xfId="40476"/>
    <cellStyle name="Note 2 8 2 3 2" xfId="40477"/>
    <cellStyle name="Note 2 8 2 3 2 2" xfId="40478"/>
    <cellStyle name="Note 2 8 2 3 3" xfId="40479"/>
    <cellStyle name="Note 2 8 2 3 4" xfId="40480"/>
    <cellStyle name="Note 2 8 2 3 5" xfId="40481"/>
    <cellStyle name="Note 2 8 2 4" xfId="40482"/>
    <cellStyle name="Note 2 8 2 4 2" xfId="40483"/>
    <cellStyle name="Note 2 8 2 4 3" xfId="40484"/>
    <cellStyle name="Note 2 8 2 4 4" xfId="40485"/>
    <cellStyle name="Note 2 8 2 5" xfId="40486"/>
    <cellStyle name="Note 2 8 2 5 2" xfId="40487"/>
    <cellStyle name="Note 2 8 2 6" xfId="40488"/>
    <cellStyle name="Note 2 8 2 7" xfId="40489"/>
    <cellStyle name="Note 2 8 2 8" xfId="40490"/>
    <cellStyle name="Note 2 8 2 9" xfId="40491"/>
    <cellStyle name="Note 2 8 3" xfId="40492"/>
    <cellStyle name="Note 2 8 3 2" xfId="40493"/>
    <cellStyle name="Note 2 8 3 2 2" xfId="40494"/>
    <cellStyle name="Note 2 8 3 2 3" xfId="40495"/>
    <cellStyle name="Note 2 8 3 3" xfId="40496"/>
    <cellStyle name="Note 2 8 3 4" xfId="40497"/>
    <cellStyle name="Note 2 8 3 5" xfId="40498"/>
    <cellStyle name="Note 2 8 3 6" xfId="40499"/>
    <cellStyle name="Note 2 8 4" xfId="40500"/>
    <cellStyle name="Note 2 8 4 2" xfId="40501"/>
    <cellStyle name="Note 2 8 4 2 2" xfId="40502"/>
    <cellStyle name="Note 2 8 4 3" xfId="40503"/>
    <cellStyle name="Note 2 8 4 4" xfId="40504"/>
    <cellStyle name="Note 2 8 4 5" xfId="40505"/>
    <cellStyle name="Note 2 8 5" xfId="40506"/>
    <cellStyle name="Note 2 8 5 2" xfId="40507"/>
    <cellStyle name="Note 2 8 5 2 2" xfId="40508"/>
    <cellStyle name="Note 2 8 5 3" xfId="40509"/>
    <cellStyle name="Note 2 8 5 4" xfId="40510"/>
    <cellStyle name="Note 2 8 5 5" xfId="40511"/>
    <cellStyle name="Note 2 8 6" xfId="40512"/>
    <cellStyle name="Note 2 8 6 2" xfId="40513"/>
    <cellStyle name="Note 2 8 7" xfId="40514"/>
    <cellStyle name="Note 2 8 8" xfId="40515"/>
    <cellStyle name="Note 2 8 9" xfId="40516"/>
    <cellStyle name="Note 2 9" xfId="40517"/>
    <cellStyle name="Note 2 9 10" xfId="40518"/>
    <cellStyle name="Note 2 9 2" xfId="40519"/>
    <cellStyle name="Note 2 9 2 2" xfId="40520"/>
    <cellStyle name="Note 2 9 2 2 2" xfId="40521"/>
    <cellStyle name="Note 2 9 2 2 2 2" xfId="40522"/>
    <cellStyle name="Note 2 9 2 2 2 3" xfId="40523"/>
    <cellStyle name="Note 2 9 2 2 3" xfId="40524"/>
    <cellStyle name="Note 2 9 2 2 4" xfId="40525"/>
    <cellStyle name="Note 2 9 2 2 5" xfId="40526"/>
    <cellStyle name="Note 2 9 2 2 6" xfId="40527"/>
    <cellStyle name="Note 2 9 2 3" xfId="40528"/>
    <cellStyle name="Note 2 9 2 3 2" xfId="40529"/>
    <cellStyle name="Note 2 9 2 3 2 2" xfId="40530"/>
    <cellStyle name="Note 2 9 2 3 3" xfId="40531"/>
    <cellStyle name="Note 2 9 2 3 4" xfId="40532"/>
    <cellStyle name="Note 2 9 2 3 5" xfId="40533"/>
    <cellStyle name="Note 2 9 2 4" xfId="40534"/>
    <cellStyle name="Note 2 9 2 4 2" xfId="40535"/>
    <cellStyle name="Note 2 9 2 4 3" xfId="40536"/>
    <cellStyle name="Note 2 9 2 4 4" xfId="40537"/>
    <cellStyle name="Note 2 9 2 5" xfId="40538"/>
    <cellStyle name="Note 2 9 2 5 2" xfId="40539"/>
    <cellStyle name="Note 2 9 2 6" xfId="40540"/>
    <cellStyle name="Note 2 9 2 7" xfId="40541"/>
    <cellStyle name="Note 2 9 2 8" xfId="40542"/>
    <cellStyle name="Note 2 9 2 9" xfId="40543"/>
    <cellStyle name="Note 2 9 3" xfId="40544"/>
    <cellStyle name="Note 2 9 3 2" xfId="40545"/>
    <cellStyle name="Note 2 9 3 2 2" xfId="40546"/>
    <cellStyle name="Note 2 9 3 2 3" xfId="40547"/>
    <cellStyle name="Note 2 9 3 3" xfId="40548"/>
    <cellStyle name="Note 2 9 3 4" xfId="40549"/>
    <cellStyle name="Note 2 9 3 5" xfId="40550"/>
    <cellStyle name="Note 2 9 3 6" xfId="40551"/>
    <cellStyle name="Note 2 9 4" xfId="40552"/>
    <cellStyle name="Note 2 9 4 2" xfId="40553"/>
    <cellStyle name="Note 2 9 4 2 2" xfId="40554"/>
    <cellStyle name="Note 2 9 4 3" xfId="40555"/>
    <cellStyle name="Note 2 9 4 4" xfId="40556"/>
    <cellStyle name="Note 2 9 4 5" xfId="40557"/>
    <cellStyle name="Note 2 9 5" xfId="40558"/>
    <cellStyle name="Note 2 9 5 2" xfId="40559"/>
    <cellStyle name="Note 2 9 5 3" xfId="40560"/>
    <cellStyle name="Note 2 9 5 4" xfId="40561"/>
    <cellStyle name="Note 2 9 6" xfId="40562"/>
    <cellStyle name="Note 2 9 6 2" xfId="40563"/>
    <cellStyle name="Note 2 9 7" xfId="40564"/>
    <cellStyle name="Note 2 9 8" xfId="40565"/>
    <cellStyle name="Note 2 9 9" xfId="40566"/>
    <cellStyle name="Note 20" xfId="40567"/>
    <cellStyle name="Note 20 10" xfId="40568"/>
    <cellStyle name="Note 20 2" xfId="40569"/>
    <cellStyle name="Note 20 2 2" xfId="40570"/>
    <cellStyle name="Note 20 2 2 2" xfId="40571"/>
    <cellStyle name="Note 20 2 2 2 2" xfId="40572"/>
    <cellStyle name="Note 20 2 2 2 3" xfId="40573"/>
    <cellStyle name="Note 20 2 2 3" xfId="40574"/>
    <cellStyle name="Note 20 2 2 4" xfId="40575"/>
    <cellStyle name="Note 20 2 2 5" xfId="40576"/>
    <cellStyle name="Note 20 2 2 6" xfId="40577"/>
    <cellStyle name="Note 20 2 3" xfId="40578"/>
    <cellStyle name="Note 20 2 3 2" xfId="40579"/>
    <cellStyle name="Note 20 2 3 2 2" xfId="40580"/>
    <cellStyle name="Note 20 2 3 3" xfId="40581"/>
    <cellStyle name="Note 20 2 3 4" xfId="40582"/>
    <cellStyle name="Note 20 2 3 5" xfId="40583"/>
    <cellStyle name="Note 20 2 4" xfId="40584"/>
    <cellStyle name="Note 20 2 4 2" xfId="40585"/>
    <cellStyle name="Note 20 2 4 3" xfId="40586"/>
    <cellStyle name="Note 20 2 4 4" xfId="40587"/>
    <cellStyle name="Note 20 2 5" xfId="40588"/>
    <cellStyle name="Note 20 2 5 2" xfId="40589"/>
    <cellStyle name="Note 20 2 6" xfId="40590"/>
    <cellStyle name="Note 20 2 7" xfId="40591"/>
    <cellStyle name="Note 20 2 8" xfId="40592"/>
    <cellStyle name="Note 20 2 9" xfId="40593"/>
    <cellStyle name="Note 20 3" xfId="40594"/>
    <cellStyle name="Note 20 3 2" xfId="40595"/>
    <cellStyle name="Note 20 3 2 2" xfId="40596"/>
    <cellStyle name="Note 20 3 2 3" xfId="40597"/>
    <cellStyle name="Note 20 3 3" xfId="40598"/>
    <cellStyle name="Note 20 3 4" xfId="40599"/>
    <cellStyle name="Note 20 3 5" xfId="40600"/>
    <cellStyle name="Note 20 3 6" xfId="40601"/>
    <cellStyle name="Note 20 4" xfId="40602"/>
    <cellStyle name="Note 20 4 2" xfId="40603"/>
    <cellStyle name="Note 20 4 2 2" xfId="40604"/>
    <cellStyle name="Note 20 4 3" xfId="40605"/>
    <cellStyle name="Note 20 4 4" xfId="40606"/>
    <cellStyle name="Note 20 4 5" xfId="40607"/>
    <cellStyle name="Note 20 5" xfId="40608"/>
    <cellStyle name="Note 20 5 2" xfId="40609"/>
    <cellStyle name="Note 20 5 2 2" xfId="40610"/>
    <cellStyle name="Note 20 5 3" xfId="40611"/>
    <cellStyle name="Note 20 5 4" xfId="40612"/>
    <cellStyle name="Note 20 5 5" xfId="40613"/>
    <cellStyle name="Note 20 6" xfId="40614"/>
    <cellStyle name="Note 20 6 2" xfId="40615"/>
    <cellStyle name="Note 20 7" xfId="40616"/>
    <cellStyle name="Note 20 8" xfId="40617"/>
    <cellStyle name="Note 20 9" xfId="40618"/>
    <cellStyle name="Note 21" xfId="40619"/>
    <cellStyle name="Note 22" xfId="40620"/>
    <cellStyle name="Note 23" xfId="40621"/>
    <cellStyle name="Note 24" xfId="40622"/>
    <cellStyle name="Note 24 10" xfId="40623"/>
    <cellStyle name="Note 24 2" xfId="40624"/>
    <cellStyle name="Note 24 2 2" xfId="40625"/>
    <cellStyle name="Note 24 2 2 2" xfId="40626"/>
    <cellStyle name="Note 24 2 2 2 2" xfId="40627"/>
    <cellStyle name="Note 24 2 2 2 3" xfId="40628"/>
    <cellStyle name="Note 24 2 2 3" xfId="40629"/>
    <cellStyle name="Note 24 2 2 4" xfId="40630"/>
    <cellStyle name="Note 24 2 2 5" xfId="40631"/>
    <cellStyle name="Note 24 2 2 6" xfId="40632"/>
    <cellStyle name="Note 24 2 3" xfId="40633"/>
    <cellStyle name="Note 24 2 3 2" xfId="40634"/>
    <cellStyle name="Note 24 2 3 2 2" xfId="40635"/>
    <cellStyle name="Note 24 2 3 3" xfId="40636"/>
    <cellStyle name="Note 24 2 3 4" xfId="40637"/>
    <cellStyle name="Note 24 2 3 5" xfId="40638"/>
    <cellStyle name="Note 24 2 4" xfId="40639"/>
    <cellStyle name="Note 24 2 4 2" xfId="40640"/>
    <cellStyle name="Note 24 2 4 3" xfId="40641"/>
    <cellStyle name="Note 24 2 4 4" xfId="40642"/>
    <cellStyle name="Note 24 2 5" xfId="40643"/>
    <cellStyle name="Note 24 2 5 2" xfId="40644"/>
    <cellStyle name="Note 24 2 6" xfId="40645"/>
    <cellStyle name="Note 24 2 7" xfId="40646"/>
    <cellStyle name="Note 24 2 8" xfId="40647"/>
    <cellStyle name="Note 24 2 9" xfId="40648"/>
    <cellStyle name="Note 24 3" xfId="40649"/>
    <cellStyle name="Note 24 3 2" xfId="40650"/>
    <cellStyle name="Note 24 3 2 2" xfId="40651"/>
    <cellStyle name="Note 24 3 2 3" xfId="40652"/>
    <cellStyle name="Note 24 3 3" xfId="40653"/>
    <cellStyle name="Note 24 3 4" xfId="40654"/>
    <cellStyle name="Note 24 3 5" xfId="40655"/>
    <cellStyle name="Note 24 3 6" xfId="40656"/>
    <cellStyle name="Note 24 4" xfId="40657"/>
    <cellStyle name="Note 24 4 2" xfId="40658"/>
    <cellStyle name="Note 24 4 2 2" xfId="40659"/>
    <cellStyle name="Note 24 4 3" xfId="40660"/>
    <cellStyle name="Note 24 4 4" xfId="40661"/>
    <cellStyle name="Note 24 4 5" xfId="40662"/>
    <cellStyle name="Note 24 5" xfId="40663"/>
    <cellStyle name="Note 24 5 2" xfId="40664"/>
    <cellStyle name="Note 24 5 3" xfId="40665"/>
    <cellStyle name="Note 24 5 4" xfId="40666"/>
    <cellStyle name="Note 24 6" xfId="40667"/>
    <cellStyle name="Note 24 6 2" xfId="40668"/>
    <cellStyle name="Note 24 7" xfId="40669"/>
    <cellStyle name="Note 24 8" xfId="40670"/>
    <cellStyle name="Note 24 9" xfId="40671"/>
    <cellStyle name="Note 25" xfId="40672"/>
    <cellStyle name="Note 25 2" xfId="40673"/>
    <cellStyle name="Note 25 2 2" xfId="40674"/>
    <cellStyle name="Note 25 2 2 2" xfId="40675"/>
    <cellStyle name="Note 25 2 2 3" xfId="40676"/>
    <cellStyle name="Note 25 2 3" xfId="40677"/>
    <cellStyle name="Note 25 2 4" xfId="40678"/>
    <cellStyle name="Note 25 2 5" xfId="40679"/>
    <cellStyle name="Note 25 2 6" xfId="40680"/>
    <cellStyle name="Note 25 3" xfId="40681"/>
    <cellStyle name="Note 25 3 2" xfId="40682"/>
    <cellStyle name="Note 25 3 2 2" xfId="40683"/>
    <cellStyle name="Note 25 3 3" xfId="40684"/>
    <cellStyle name="Note 25 3 4" xfId="40685"/>
    <cellStyle name="Note 25 3 5" xfId="40686"/>
    <cellStyle name="Note 25 4" xfId="40687"/>
    <cellStyle name="Note 25 4 2" xfId="40688"/>
    <cellStyle name="Note 25 4 3" xfId="40689"/>
    <cellStyle name="Note 25 4 4" xfId="40690"/>
    <cellStyle name="Note 25 5" xfId="40691"/>
    <cellStyle name="Note 25 5 2" xfId="40692"/>
    <cellStyle name="Note 25 6" xfId="40693"/>
    <cellStyle name="Note 25 7" xfId="40694"/>
    <cellStyle name="Note 25 8" xfId="40695"/>
    <cellStyle name="Note 25 9" xfId="40696"/>
    <cellStyle name="Note 26" xfId="40697"/>
    <cellStyle name="Note 26 2" xfId="40698"/>
    <cellStyle name="Note 26 2 2" xfId="40699"/>
    <cellStyle name="Note 26 2 2 2" xfId="40700"/>
    <cellStyle name="Note 26 2 3" xfId="40701"/>
    <cellStyle name="Note 26 2 4" xfId="40702"/>
    <cellStyle name="Note 26 2 5" xfId="40703"/>
    <cellStyle name="Note 26 3" xfId="40704"/>
    <cellStyle name="Note 26 3 2" xfId="40705"/>
    <cellStyle name="Note 26 3 3" xfId="40706"/>
    <cellStyle name="Note 26 3 4" xfId="40707"/>
    <cellStyle name="Note 26 4" xfId="40708"/>
    <cellStyle name="Note 26 4 2" xfId="40709"/>
    <cellStyle name="Note 26 5" xfId="40710"/>
    <cellStyle name="Note 26 6" xfId="40711"/>
    <cellStyle name="Note 26 7" xfId="40712"/>
    <cellStyle name="Note 26 8" xfId="40713"/>
    <cellStyle name="Note 27" xfId="40714"/>
    <cellStyle name="Note 27 2" xfId="40715"/>
    <cellStyle name="Note 27 2 2" xfId="40716"/>
    <cellStyle name="Note 27 2 2 2" xfId="40717"/>
    <cellStyle name="Note 27 2 3" xfId="40718"/>
    <cellStyle name="Note 27 2 4" xfId="40719"/>
    <cellStyle name="Note 27 2 5" xfId="40720"/>
    <cellStyle name="Note 27 3" xfId="40721"/>
    <cellStyle name="Note 27 3 2" xfId="40722"/>
    <cellStyle name="Note 27 3 3" xfId="40723"/>
    <cellStyle name="Note 27 3 4" xfId="40724"/>
    <cellStyle name="Note 27 4" xfId="40725"/>
    <cellStyle name="Note 27 4 2" xfId="40726"/>
    <cellStyle name="Note 27 5" xfId="40727"/>
    <cellStyle name="Note 27 6" xfId="40728"/>
    <cellStyle name="Note 27 7" xfId="40729"/>
    <cellStyle name="Note 27 8" xfId="40730"/>
    <cellStyle name="Note 28" xfId="40731"/>
    <cellStyle name="Note 28 2" xfId="40732"/>
    <cellStyle name="Note 28 2 2" xfId="40733"/>
    <cellStyle name="Note 28 2 3" xfId="40734"/>
    <cellStyle name="Note 28 2 4" xfId="40735"/>
    <cellStyle name="Note 28 3" xfId="40736"/>
    <cellStyle name="Note 28 3 2" xfId="40737"/>
    <cellStyle name="Note 28 4" xfId="40738"/>
    <cellStyle name="Note 28 5" xfId="40739"/>
    <cellStyle name="Note 28 6" xfId="40740"/>
    <cellStyle name="Note 29" xfId="40741"/>
    <cellStyle name="Note 29 2" xfId="40742"/>
    <cellStyle name="Note 29 2 2" xfId="40743"/>
    <cellStyle name="Note 29 2 3" xfId="40744"/>
    <cellStyle name="Note 29 2 4" xfId="40745"/>
    <cellStyle name="Note 29 3" xfId="40746"/>
    <cellStyle name="Note 29 3 2" xfId="40747"/>
    <cellStyle name="Note 29 4" xfId="40748"/>
    <cellStyle name="Note 29 5" xfId="40749"/>
    <cellStyle name="Note 29 6" xfId="40750"/>
    <cellStyle name="Note 3" xfId="40751"/>
    <cellStyle name="Note 3 10" xfId="40752"/>
    <cellStyle name="Note 3 10 2" xfId="40753"/>
    <cellStyle name="Note 3 10 2 2" xfId="40754"/>
    <cellStyle name="Note 3 10 2 2 2" xfId="40755"/>
    <cellStyle name="Note 3 10 2 2 3" xfId="40756"/>
    <cellStyle name="Note 3 10 2 3" xfId="40757"/>
    <cellStyle name="Note 3 10 2 4" xfId="40758"/>
    <cellStyle name="Note 3 10 2 5" xfId="40759"/>
    <cellStyle name="Note 3 10 2 6" xfId="40760"/>
    <cellStyle name="Note 3 10 3" xfId="40761"/>
    <cellStyle name="Note 3 10 3 2" xfId="40762"/>
    <cellStyle name="Note 3 10 3 2 2" xfId="40763"/>
    <cellStyle name="Note 3 10 3 3" xfId="40764"/>
    <cellStyle name="Note 3 10 3 4" xfId="40765"/>
    <cellStyle name="Note 3 10 3 5" xfId="40766"/>
    <cellStyle name="Note 3 10 4" xfId="40767"/>
    <cellStyle name="Note 3 10 4 2" xfId="40768"/>
    <cellStyle name="Note 3 10 4 3" xfId="40769"/>
    <cellStyle name="Note 3 10 4 4" xfId="40770"/>
    <cellStyle name="Note 3 10 5" xfId="40771"/>
    <cellStyle name="Note 3 10 5 2" xfId="40772"/>
    <cellStyle name="Note 3 10 6" xfId="40773"/>
    <cellStyle name="Note 3 10 7" xfId="40774"/>
    <cellStyle name="Note 3 10 8" xfId="40775"/>
    <cellStyle name="Note 3 10 9" xfId="40776"/>
    <cellStyle name="Note 3 11" xfId="40777"/>
    <cellStyle name="Note 3 11 2" xfId="40778"/>
    <cellStyle name="Note 3 11 2 2" xfId="40779"/>
    <cellStyle name="Note 3 11 2 3" xfId="40780"/>
    <cellStyle name="Note 3 11 3" xfId="40781"/>
    <cellStyle name="Note 3 11 4" xfId="40782"/>
    <cellStyle name="Note 3 11 5" xfId="40783"/>
    <cellStyle name="Note 3 11 6" xfId="40784"/>
    <cellStyle name="Note 3 12" xfId="40785"/>
    <cellStyle name="Note 3 12 2" xfId="40786"/>
    <cellStyle name="Note 3 12 2 2" xfId="40787"/>
    <cellStyle name="Note 3 12 3" xfId="40788"/>
    <cellStyle name="Note 3 12 4" xfId="40789"/>
    <cellStyle name="Note 3 12 5" xfId="40790"/>
    <cellStyle name="Note 3 13" xfId="40791"/>
    <cellStyle name="Note 3 13 2" xfId="40792"/>
    <cellStyle name="Note 3 13 2 2" xfId="40793"/>
    <cellStyle name="Note 3 13 3" xfId="40794"/>
    <cellStyle name="Note 3 13 4" xfId="40795"/>
    <cellStyle name="Note 3 13 5" xfId="40796"/>
    <cellStyle name="Note 3 14" xfId="40797"/>
    <cellStyle name="Note 3 14 2" xfId="40798"/>
    <cellStyle name="Note 3 15" xfId="40799"/>
    <cellStyle name="Note 3 16" xfId="40800"/>
    <cellStyle name="Note 3 17" xfId="40801"/>
    <cellStyle name="Note 3 18" xfId="40802"/>
    <cellStyle name="Note 3 2" xfId="40803"/>
    <cellStyle name="Note 3 2 10" xfId="40804"/>
    <cellStyle name="Note 3 2 2" xfId="40805"/>
    <cellStyle name="Note 3 2 2 2" xfId="40806"/>
    <cellStyle name="Note 3 2 2 2 2" xfId="40807"/>
    <cellStyle name="Note 3 2 2 2 2 2" xfId="40808"/>
    <cellStyle name="Note 3 2 2 2 2 3" xfId="40809"/>
    <cellStyle name="Note 3 2 2 2 3" xfId="40810"/>
    <cellStyle name="Note 3 2 2 2 4" xfId="40811"/>
    <cellStyle name="Note 3 2 2 2 5" xfId="40812"/>
    <cellStyle name="Note 3 2 2 2 6" xfId="40813"/>
    <cellStyle name="Note 3 2 2 3" xfId="40814"/>
    <cellStyle name="Note 3 2 2 3 2" xfId="40815"/>
    <cellStyle name="Note 3 2 2 3 2 2" xfId="40816"/>
    <cellStyle name="Note 3 2 2 3 3" xfId="40817"/>
    <cellStyle name="Note 3 2 2 3 4" xfId="40818"/>
    <cellStyle name="Note 3 2 2 3 5" xfId="40819"/>
    <cellStyle name="Note 3 2 2 4" xfId="40820"/>
    <cellStyle name="Note 3 2 2 4 2" xfId="40821"/>
    <cellStyle name="Note 3 2 2 4 3" xfId="40822"/>
    <cellStyle name="Note 3 2 2 4 4" xfId="40823"/>
    <cellStyle name="Note 3 2 2 5" xfId="40824"/>
    <cellStyle name="Note 3 2 2 5 2" xfId="40825"/>
    <cellStyle name="Note 3 2 2 6" xfId="40826"/>
    <cellStyle name="Note 3 2 2 7" xfId="40827"/>
    <cellStyle name="Note 3 2 2 8" xfId="40828"/>
    <cellStyle name="Note 3 2 2 9" xfId="40829"/>
    <cellStyle name="Note 3 2 3" xfId="40830"/>
    <cellStyle name="Note 3 2 3 2" xfId="40831"/>
    <cellStyle name="Note 3 2 3 2 2" xfId="40832"/>
    <cellStyle name="Note 3 2 3 2 3" xfId="40833"/>
    <cellStyle name="Note 3 2 3 3" xfId="40834"/>
    <cellStyle name="Note 3 2 3 4" xfId="40835"/>
    <cellStyle name="Note 3 2 3 5" xfId="40836"/>
    <cellStyle name="Note 3 2 3 6" xfId="40837"/>
    <cellStyle name="Note 3 2 4" xfId="40838"/>
    <cellStyle name="Note 3 2 4 2" xfId="40839"/>
    <cellStyle name="Note 3 2 4 2 2" xfId="40840"/>
    <cellStyle name="Note 3 2 4 3" xfId="40841"/>
    <cellStyle name="Note 3 2 4 4" xfId="40842"/>
    <cellStyle name="Note 3 2 4 5" xfId="40843"/>
    <cellStyle name="Note 3 2 5" xfId="40844"/>
    <cellStyle name="Note 3 2 5 2" xfId="40845"/>
    <cellStyle name="Note 3 2 5 2 2" xfId="40846"/>
    <cellStyle name="Note 3 2 5 3" xfId="40847"/>
    <cellStyle name="Note 3 2 5 4" xfId="40848"/>
    <cellStyle name="Note 3 2 5 5" xfId="40849"/>
    <cellStyle name="Note 3 2 6" xfId="40850"/>
    <cellStyle name="Note 3 2 6 2" xfId="40851"/>
    <cellStyle name="Note 3 2 7" xfId="40852"/>
    <cellStyle name="Note 3 2 8" xfId="40853"/>
    <cellStyle name="Note 3 2 9" xfId="40854"/>
    <cellStyle name="Note 3 3" xfId="40855"/>
    <cellStyle name="Note 3 3 10" xfId="40856"/>
    <cellStyle name="Note 3 3 2" xfId="40857"/>
    <cellStyle name="Note 3 3 2 2" xfId="40858"/>
    <cellStyle name="Note 3 3 2 2 2" xfId="40859"/>
    <cellStyle name="Note 3 3 2 2 2 2" xfId="40860"/>
    <cellStyle name="Note 3 3 2 2 2 3" xfId="40861"/>
    <cellStyle name="Note 3 3 2 2 3" xfId="40862"/>
    <cellStyle name="Note 3 3 2 2 4" xfId="40863"/>
    <cellStyle name="Note 3 3 2 2 5" xfId="40864"/>
    <cellStyle name="Note 3 3 2 2 6" xfId="40865"/>
    <cellStyle name="Note 3 3 2 3" xfId="40866"/>
    <cellStyle name="Note 3 3 2 3 2" xfId="40867"/>
    <cellStyle name="Note 3 3 2 3 2 2" xfId="40868"/>
    <cellStyle name="Note 3 3 2 3 3" xfId="40869"/>
    <cellStyle name="Note 3 3 2 3 4" xfId="40870"/>
    <cellStyle name="Note 3 3 2 3 5" xfId="40871"/>
    <cellStyle name="Note 3 3 2 4" xfId="40872"/>
    <cellStyle name="Note 3 3 2 4 2" xfId="40873"/>
    <cellStyle name="Note 3 3 2 4 3" xfId="40874"/>
    <cellStyle name="Note 3 3 2 4 4" xfId="40875"/>
    <cellStyle name="Note 3 3 2 5" xfId="40876"/>
    <cellStyle name="Note 3 3 2 5 2" xfId="40877"/>
    <cellStyle name="Note 3 3 2 6" xfId="40878"/>
    <cellStyle name="Note 3 3 2 7" xfId="40879"/>
    <cellStyle name="Note 3 3 2 8" xfId="40880"/>
    <cellStyle name="Note 3 3 2 9" xfId="40881"/>
    <cellStyle name="Note 3 3 3" xfId="40882"/>
    <cellStyle name="Note 3 3 3 2" xfId="40883"/>
    <cellStyle name="Note 3 3 3 2 2" xfId="40884"/>
    <cellStyle name="Note 3 3 3 2 3" xfId="40885"/>
    <cellStyle name="Note 3 3 3 3" xfId="40886"/>
    <cellStyle name="Note 3 3 3 4" xfId="40887"/>
    <cellStyle name="Note 3 3 3 5" xfId="40888"/>
    <cellStyle name="Note 3 3 3 6" xfId="40889"/>
    <cellStyle name="Note 3 3 4" xfId="40890"/>
    <cellStyle name="Note 3 3 4 2" xfId="40891"/>
    <cellStyle name="Note 3 3 4 2 2" xfId="40892"/>
    <cellStyle name="Note 3 3 4 3" xfId="40893"/>
    <cellStyle name="Note 3 3 4 4" xfId="40894"/>
    <cellStyle name="Note 3 3 4 5" xfId="40895"/>
    <cellStyle name="Note 3 3 5" xfId="40896"/>
    <cellStyle name="Note 3 3 5 2" xfId="40897"/>
    <cellStyle name="Note 3 3 5 2 2" xfId="40898"/>
    <cellStyle name="Note 3 3 5 3" xfId="40899"/>
    <cellStyle name="Note 3 3 5 4" xfId="40900"/>
    <cellStyle name="Note 3 3 5 5" xfId="40901"/>
    <cellStyle name="Note 3 3 6" xfId="40902"/>
    <cellStyle name="Note 3 3 6 2" xfId="40903"/>
    <cellStyle name="Note 3 3 7" xfId="40904"/>
    <cellStyle name="Note 3 3 8" xfId="40905"/>
    <cellStyle name="Note 3 3 9" xfId="40906"/>
    <cellStyle name="Note 3 4" xfId="40907"/>
    <cellStyle name="Note 3 4 10" xfId="40908"/>
    <cellStyle name="Note 3 4 2" xfId="40909"/>
    <cellStyle name="Note 3 4 2 2" xfId="40910"/>
    <cellStyle name="Note 3 4 2 2 2" xfId="40911"/>
    <cellStyle name="Note 3 4 2 2 2 2" xfId="40912"/>
    <cellStyle name="Note 3 4 2 2 2 3" xfId="40913"/>
    <cellStyle name="Note 3 4 2 2 3" xfId="40914"/>
    <cellStyle name="Note 3 4 2 2 4" xfId="40915"/>
    <cellStyle name="Note 3 4 2 2 5" xfId="40916"/>
    <cellStyle name="Note 3 4 2 2 6" xfId="40917"/>
    <cellStyle name="Note 3 4 2 3" xfId="40918"/>
    <cellStyle name="Note 3 4 2 3 2" xfId="40919"/>
    <cellStyle name="Note 3 4 2 3 2 2" xfId="40920"/>
    <cellStyle name="Note 3 4 2 3 3" xfId="40921"/>
    <cellStyle name="Note 3 4 2 3 4" xfId="40922"/>
    <cellStyle name="Note 3 4 2 3 5" xfId="40923"/>
    <cellStyle name="Note 3 4 2 4" xfId="40924"/>
    <cellStyle name="Note 3 4 2 4 2" xfId="40925"/>
    <cellStyle name="Note 3 4 2 4 3" xfId="40926"/>
    <cellStyle name="Note 3 4 2 4 4" xfId="40927"/>
    <cellStyle name="Note 3 4 2 5" xfId="40928"/>
    <cellStyle name="Note 3 4 2 5 2" xfId="40929"/>
    <cellStyle name="Note 3 4 2 6" xfId="40930"/>
    <cellStyle name="Note 3 4 2 7" xfId="40931"/>
    <cellStyle name="Note 3 4 2 8" xfId="40932"/>
    <cellStyle name="Note 3 4 2 9" xfId="40933"/>
    <cellStyle name="Note 3 4 3" xfId="40934"/>
    <cellStyle name="Note 3 4 3 2" xfId="40935"/>
    <cellStyle name="Note 3 4 3 2 2" xfId="40936"/>
    <cellStyle name="Note 3 4 3 2 3" xfId="40937"/>
    <cellStyle name="Note 3 4 3 3" xfId="40938"/>
    <cellStyle name="Note 3 4 3 4" xfId="40939"/>
    <cellStyle name="Note 3 4 3 5" xfId="40940"/>
    <cellStyle name="Note 3 4 3 6" xfId="40941"/>
    <cellStyle name="Note 3 4 4" xfId="40942"/>
    <cellStyle name="Note 3 4 4 2" xfId="40943"/>
    <cellStyle name="Note 3 4 4 2 2" xfId="40944"/>
    <cellStyle name="Note 3 4 4 3" xfId="40945"/>
    <cellStyle name="Note 3 4 4 4" xfId="40946"/>
    <cellStyle name="Note 3 4 4 5" xfId="40947"/>
    <cellStyle name="Note 3 4 5" xfId="40948"/>
    <cellStyle name="Note 3 4 5 2" xfId="40949"/>
    <cellStyle name="Note 3 4 5 2 2" xfId="40950"/>
    <cellStyle name="Note 3 4 5 3" xfId="40951"/>
    <cellStyle name="Note 3 4 5 4" xfId="40952"/>
    <cellStyle name="Note 3 4 5 5" xfId="40953"/>
    <cellStyle name="Note 3 4 6" xfId="40954"/>
    <cellStyle name="Note 3 4 6 2" xfId="40955"/>
    <cellStyle name="Note 3 4 7" xfId="40956"/>
    <cellStyle name="Note 3 4 8" xfId="40957"/>
    <cellStyle name="Note 3 4 9" xfId="40958"/>
    <cellStyle name="Note 3 5" xfId="40959"/>
    <cellStyle name="Note 3 5 10" xfId="40960"/>
    <cellStyle name="Note 3 5 2" xfId="40961"/>
    <cellStyle name="Note 3 5 2 2" xfId="40962"/>
    <cellStyle name="Note 3 5 2 2 2" xfId="40963"/>
    <cellStyle name="Note 3 5 2 2 2 2" xfId="40964"/>
    <cellStyle name="Note 3 5 2 2 2 3" xfId="40965"/>
    <cellStyle name="Note 3 5 2 2 3" xfId="40966"/>
    <cellStyle name="Note 3 5 2 2 4" xfId="40967"/>
    <cellStyle name="Note 3 5 2 2 5" xfId="40968"/>
    <cellStyle name="Note 3 5 2 2 6" xfId="40969"/>
    <cellStyle name="Note 3 5 2 3" xfId="40970"/>
    <cellStyle name="Note 3 5 2 3 2" xfId="40971"/>
    <cellStyle name="Note 3 5 2 3 2 2" xfId="40972"/>
    <cellStyle name="Note 3 5 2 3 3" xfId="40973"/>
    <cellStyle name="Note 3 5 2 3 4" xfId="40974"/>
    <cellStyle name="Note 3 5 2 3 5" xfId="40975"/>
    <cellStyle name="Note 3 5 2 4" xfId="40976"/>
    <cellStyle name="Note 3 5 2 4 2" xfId="40977"/>
    <cellStyle name="Note 3 5 2 4 3" xfId="40978"/>
    <cellStyle name="Note 3 5 2 4 4" xfId="40979"/>
    <cellStyle name="Note 3 5 2 5" xfId="40980"/>
    <cellStyle name="Note 3 5 2 5 2" xfId="40981"/>
    <cellStyle name="Note 3 5 2 6" xfId="40982"/>
    <cellStyle name="Note 3 5 2 7" xfId="40983"/>
    <cellStyle name="Note 3 5 2 8" xfId="40984"/>
    <cellStyle name="Note 3 5 2 9" xfId="40985"/>
    <cellStyle name="Note 3 5 3" xfId="40986"/>
    <cellStyle name="Note 3 5 3 2" xfId="40987"/>
    <cellStyle name="Note 3 5 3 2 2" xfId="40988"/>
    <cellStyle name="Note 3 5 3 2 3" xfId="40989"/>
    <cellStyle name="Note 3 5 3 3" xfId="40990"/>
    <cellStyle name="Note 3 5 3 4" xfId="40991"/>
    <cellStyle name="Note 3 5 3 5" xfId="40992"/>
    <cellStyle name="Note 3 5 3 6" xfId="40993"/>
    <cellStyle name="Note 3 5 4" xfId="40994"/>
    <cellStyle name="Note 3 5 4 2" xfId="40995"/>
    <cellStyle name="Note 3 5 4 2 2" xfId="40996"/>
    <cellStyle name="Note 3 5 4 3" xfId="40997"/>
    <cellStyle name="Note 3 5 4 4" xfId="40998"/>
    <cellStyle name="Note 3 5 4 5" xfId="40999"/>
    <cellStyle name="Note 3 5 5" xfId="41000"/>
    <cellStyle name="Note 3 5 5 2" xfId="41001"/>
    <cellStyle name="Note 3 5 5 2 2" xfId="41002"/>
    <cellStyle name="Note 3 5 5 3" xfId="41003"/>
    <cellStyle name="Note 3 5 5 4" xfId="41004"/>
    <cellStyle name="Note 3 5 5 5" xfId="41005"/>
    <cellStyle name="Note 3 5 6" xfId="41006"/>
    <cellStyle name="Note 3 5 6 2" xfId="41007"/>
    <cellStyle name="Note 3 5 7" xfId="41008"/>
    <cellStyle name="Note 3 5 8" xfId="41009"/>
    <cellStyle name="Note 3 5 9" xfId="41010"/>
    <cellStyle name="Note 3 6" xfId="41011"/>
    <cellStyle name="Note 3 6 10" xfId="41012"/>
    <cellStyle name="Note 3 6 2" xfId="41013"/>
    <cellStyle name="Note 3 6 2 2" xfId="41014"/>
    <cellStyle name="Note 3 6 2 2 2" xfId="41015"/>
    <cellStyle name="Note 3 6 2 2 2 2" xfId="41016"/>
    <cellStyle name="Note 3 6 2 2 2 3" xfId="41017"/>
    <cellStyle name="Note 3 6 2 2 3" xfId="41018"/>
    <cellStyle name="Note 3 6 2 2 4" xfId="41019"/>
    <cellStyle name="Note 3 6 2 2 5" xfId="41020"/>
    <cellStyle name="Note 3 6 2 2 6" xfId="41021"/>
    <cellStyle name="Note 3 6 2 3" xfId="41022"/>
    <cellStyle name="Note 3 6 2 3 2" xfId="41023"/>
    <cellStyle name="Note 3 6 2 3 2 2" xfId="41024"/>
    <cellStyle name="Note 3 6 2 3 3" xfId="41025"/>
    <cellStyle name="Note 3 6 2 3 4" xfId="41026"/>
    <cellStyle name="Note 3 6 2 3 5" xfId="41027"/>
    <cellStyle name="Note 3 6 2 4" xfId="41028"/>
    <cellStyle name="Note 3 6 2 4 2" xfId="41029"/>
    <cellStyle name="Note 3 6 2 4 3" xfId="41030"/>
    <cellStyle name="Note 3 6 2 4 4" xfId="41031"/>
    <cellStyle name="Note 3 6 2 5" xfId="41032"/>
    <cellStyle name="Note 3 6 2 5 2" xfId="41033"/>
    <cellStyle name="Note 3 6 2 6" xfId="41034"/>
    <cellStyle name="Note 3 6 2 7" xfId="41035"/>
    <cellStyle name="Note 3 6 2 8" xfId="41036"/>
    <cellStyle name="Note 3 6 2 9" xfId="41037"/>
    <cellStyle name="Note 3 6 3" xfId="41038"/>
    <cellStyle name="Note 3 6 3 2" xfId="41039"/>
    <cellStyle name="Note 3 6 3 2 2" xfId="41040"/>
    <cellStyle name="Note 3 6 3 2 3" xfId="41041"/>
    <cellStyle name="Note 3 6 3 3" xfId="41042"/>
    <cellStyle name="Note 3 6 3 4" xfId="41043"/>
    <cellStyle name="Note 3 6 3 5" xfId="41044"/>
    <cellStyle name="Note 3 6 3 6" xfId="41045"/>
    <cellStyle name="Note 3 6 4" xfId="41046"/>
    <cellStyle name="Note 3 6 4 2" xfId="41047"/>
    <cellStyle name="Note 3 6 4 2 2" xfId="41048"/>
    <cellStyle name="Note 3 6 4 3" xfId="41049"/>
    <cellStyle name="Note 3 6 4 4" xfId="41050"/>
    <cellStyle name="Note 3 6 4 5" xfId="41051"/>
    <cellStyle name="Note 3 6 5" xfId="41052"/>
    <cellStyle name="Note 3 6 5 2" xfId="41053"/>
    <cellStyle name="Note 3 6 5 2 2" xfId="41054"/>
    <cellStyle name="Note 3 6 5 3" xfId="41055"/>
    <cellStyle name="Note 3 6 5 4" xfId="41056"/>
    <cellStyle name="Note 3 6 5 5" xfId="41057"/>
    <cellStyle name="Note 3 6 6" xfId="41058"/>
    <cellStyle name="Note 3 6 6 2" xfId="41059"/>
    <cellStyle name="Note 3 6 7" xfId="41060"/>
    <cellStyle name="Note 3 6 8" xfId="41061"/>
    <cellStyle name="Note 3 6 9" xfId="41062"/>
    <cellStyle name="Note 3 7" xfId="41063"/>
    <cellStyle name="Note 3 7 10" xfId="41064"/>
    <cellStyle name="Note 3 7 2" xfId="41065"/>
    <cellStyle name="Note 3 7 2 2" xfId="41066"/>
    <cellStyle name="Note 3 7 2 2 2" xfId="41067"/>
    <cellStyle name="Note 3 7 2 2 2 2" xfId="41068"/>
    <cellStyle name="Note 3 7 2 2 2 3" xfId="41069"/>
    <cellStyle name="Note 3 7 2 2 3" xfId="41070"/>
    <cellStyle name="Note 3 7 2 2 4" xfId="41071"/>
    <cellStyle name="Note 3 7 2 2 5" xfId="41072"/>
    <cellStyle name="Note 3 7 2 2 6" xfId="41073"/>
    <cellStyle name="Note 3 7 2 3" xfId="41074"/>
    <cellStyle name="Note 3 7 2 3 2" xfId="41075"/>
    <cellStyle name="Note 3 7 2 3 2 2" xfId="41076"/>
    <cellStyle name="Note 3 7 2 3 3" xfId="41077"/>
    <cellStyle name="Note 3 7 2 3 4" xfId="41078"/>
    <cellStyle name="Note 3 7 2 3 5" xfId="41079"/>
    <cellStyle name="Note 3 7 2 4" xfId="41080"/>
    <cellStyle name="Note 3 7 2 4 2" xfId="41081"/>
    <cellStyle name="Note 3 7 2 4 3" xfId="41082"/>
    <cellStyle name="Note 3 7 2 4 4" xfId="41083"/>
    <cellStyle name="Note 3 7 2 5" xfId="41084"/>
    <cellStyle name="Note 3 7 2 5 2" xfId="41085"/>
    <cellStyle name="Note 3 7 2 6" xfId="41086"/>
    <cellStyle name="Note 3 7 2 7" xfId="41087"/>
    <cellStyle name="Note 3 7 2 8" xfId="41088"/>
    <cellStyle name="Note 3 7 2 9" xfId="41089"/>
    <cellStyle name="Note 3 7 3" xfId="41090"/>
    <cellStyle name="Note 3 7 3 2" xfId="41091"/>
    <cellStyle name="Note 3 7 3 2 2" xfId="41092"/>
    <cellStyle name="Note 3 7 3 2 3" xfId="41093"/>
    <cellStyle name="Note 3 7 3 3" xfId="41094"/>
    <cellStyle name="Note 3 7 3 4" xfId="41095"/>
    <cellStyle name="Note 3 7 3 5" xfId="41096"/>
    <cellStyle name="Note 3 7 3 6" xfId="41097"/>
    <cellStyle name="Note 3 7 4" xfId="41098"/>
    <cellStyle name="Note 3 7 4 2" xfId="41099"/>
    <cellStyle name="Note 3 7 4 2 2" xfId="41100"/>
    <cellStyle name="Note 3 7 4 3" xfId="41101"/>
    <cellStyle name="Note 3 7 4 4" xfId="41102"/>
    <cellStyle name="Note 3 7 4 5" xfId="41103"/>
    <cellStyle name="Note 3 7 5" xfId="41104"/>
    <cellStyle name="Note 3 7 5 2" xfId="41105"/>
    <cellStyle name="Note 3 7 5 2 2" xfId="41106"/>
    <cellStyle name="Note 3 7 5 3" xfId="41107"/>
    <cellStyle name="Note 3 7 5 4" xfId="41108"/>
    <cellStyle name="Note 3 7 5 5" xfId="41109"/>
    <cellStyle name="Note 3 7 6" xfId="41110"/>
    <cellStyle name="Note 3 7 6 2" xfId="41111"/>
    <cellStyle name="Note 3 7 7" xfId="41112"/>
    <cellStyle name="Note 3 7 8" xfId="41113"/>
    <cellStyle name="Note 3 7 9" xfId="41114"/>
    <cellStyle name="Note 3 8" xfId="41115"/>
    <cellStyle name="Note 3 8 10" xfId="41116"/>
    <cellStyle name="Note 3 8 2" xfId="41117"/>
    <cellStyle name="Note 3 8 2 2" xfId="41118"/>
    <cellStyle name="Note 3 8 2 2 2" xfId="41119"/>
    <cellStyle name="Note 3 8 2 2 2 2" xfId="41120"/>
    <cellStyle name="Note 3 8 2 2 2 3" xfId="41121"/>
    <cellStyle name="Note 3 8 2 2 3" xfId="41122"/>
    <cellStyle name="Note 3 8 2 2 4" xfId="41123"/>
    <cellStyle name="Note 3 8 2 2 5" xfId="41124"/>
    <cellStyle name="Note 3 8 2 2 6" xfId="41125"/>
    <cellStyle name="Note 3 8 2 3" xfId="41126"/>
    <cellStyle name="Note 3 8 2 3 2" xfId="41127"/>
    <cellStyle name="Note 3 8 2 3 2 2" xfId="41128"/>
    <cellStyle name="Note 3 8 2 3 3" xfId="41129"/>
    <cellStyle name="Note 3 8 2 3 4" xfId="41130"/>
    <cellStyle name="Note 3 8 2 3 5" xfId="41131"/>
    <cellStyle name="Note 3 8 2 4" xfId="41132"/>
    <cellStyle name="Note 3 8 2 4 2" xfId="41133"/>
    <cellStyle name="Note 3 8 2 4 3" xfId="41134"/>
    <cellStyle name="Note 3 8 2 4 4" xfId="41135"/>
    <cellStyle name="Note 3 8 2 5" xfId="41136"/>
    <cellStyle name="Note 3 8 2 5 2" xfId="41137"/>
    <cellStyle name="Note 3 8 2 6" xfId="41138"/>
    <cellStyle name="Note 3 8 2 7" xfId="41139"/>
    <cellStyle name="Note 3 8 2 8" xfId="41140"/>
    <cellStyle name="Note 3 8 2 9" xfId="41141"/>
    <cellStyle name="Note 3 8 3" xfId="41142"/>
    <cellStyle name="Note 3 8 3 2" xfId="41143"/>
    <cellStyle name="Note 3 8 3 2 2" xfId="41144"/>
    <cellStyle name="Note 3 8 3 2 3" xfId="41145"/>
    <cellStyle name="Note 3 8 3 3" xfId="41146"/>
    <cellStyle name="Note 3 8 3 4" xfId="41147"/>
    <cellStyle name="Note 3 8 3 5" xfId="41148"/>
    <cellStyle name="Note 3 8 3 6" xfId="41149"/>
    <cellStyle name="Note 3 8 4" xfId="41150"/>
    <cellStyle name="Note 3 8 4 2" xfId="41151"/>
    <cellStyle name="Note 3 8 4 2 2" xfId="41152"/>
    <cellStyle name="Note 3 8 4 3" xfId="41153"/>
    <cellStyle name="Note 3 8 4 4" xfId="41154"/>
    <cellStyle name="Note 3 8 4 5" xfId="41155"/>
    <cellStyle name="Note 3 8 5" xfId="41156"/>
    <cellStyle name="Note 3 8 5 2" xfId="41157"/>
    <cellStyle name="Note 3 8 5 2 2" xfId="41158"/>
    <cellStyle name="Note 3 8 5 3" xfId="41159"/>
    <cellStyle name="Note 3 8 5 4" xfId="41160"/>
    <cellStyle name="Note 3 8 5 5" xfId="41161"/>
    <cellStyle name="Note 3 8 6" xfId="41162"/>
    <cellStyle name="Note 3 8 6 2" xfId="41163"/>
    <cellStyle name="Note 3 8 7" xfId="41164"/>
    <cellStyle name="Note 3 8 8" xfId="41165"/>
    <cellStyle name="Note 3 8 9" xfId="41166"/>
    <cellStyle name="Note 3 9" xfId="41167"/>
    <cellStyle name="Note 3 9 10" xfId="41168"/>
    <cellStyle name="Note 3 9 2" xfId="41169"/>
    <cellStyle name="Note 3 9 2 2" xfId="41170"/>
    <cellStyle name="Note 3 9 2 2 2" xfId="41171"/>
    <cellStyle name="Note 3 9 2 2 2 2" xfId="41172"/>
    <cellStyle name="Note 3 9 2 2 2 3" xfId="41173"/>
    <cellStyle name="Note 3 9 2 2 3" xfId="41174"/>
    <cellStyle name="Note 3 9 2 2 4" xfId="41175"/>
    <cellStyle name="Note 3 9 2 2 5" xfId="41176"/>
    <cellStyle name="Note 3 9 2 2 6" xfId="41177"/>
    <cellStyle name="Note 3 9 2 3" xfId="41178"/>
    <cellStyle name="Note 3 9 2 3 2" xfId="41179"/>
    <cellStyle name="Note 3 9 2 3 2 2" xfId="41180"/>
    <cellStyle name="Note 3 9 2 3 3" xfId="41181"/>
    <cellStyle name="Note 3 9 2 3 4" xfId="41182"/>
    <cellStyle name="Note 3 9 2 3 5" xfId="41183"/>
    <cellStyle name="Note 3 9 2 4" xfId="41184"/>
    <cellStyle name="Note 3 9 2 4 2" xfId="41185"/>
    <cellStyle name="Note 3 9 2 4 3" xfId="41186"/>
    <cellStyle name="Note 3 9 2 4 4" xfId="41187"/>
    <cellStyle name="Note 3 9 2 5" xfId="41188"/>
    <cellStyle name="Note 3 9 2 5 2" xfId="41189"/>
    <cellStyle name="Note 3 9 2 6" xfId="41190"/>
    <cellStyle name="Note 3 9 2 7" xfId="41191"/>
    <cellStyle name="Note 3 9 2 8" xfId="41192"/>
    <cellStyle name="Note 3 9 2 9" xfId="41193"/>
    <cellStyle name="Note 3 9 3" xfId="41194"/>
    <cellStyle name="Note 3 9 3 2" xfId="41195"/>
    <cellStyle name="Note 3 9 3 2 2" xfId="41196"/>
    <cellStyle name="Note 3 9 3 2 3" xfId="41197"/>
    <cellStyle name="Note 3 9 3 3" xfId="41198"/>
    <cellStyle name="Note 3 9 3 4" xfId="41199"/>
    <cellStyle name="Note 3 9 3 5" xfId="41200"/>
    <cellStyle name="Note 3 9 3 6" xfId="41201"/>
    <cellStyle name="Note 3 9 4" xfId="41202"/>
    <cellStyle name="Note 3 9 4 2" xfId="41203"/>
    <cellStyle name="Note 3 9 4 2 2" xfId="41204"/>
    <cellStyle name="Note 3 9 4 3" xfId="41205"/>
    <cellStyle name="Note 3 9 4 4" xfId="41206"/>
    <cellStyle name="Note 3 9 4 5" xfId="41207"/>
    <cellStyle name="Note 3 9 5" xfId="41208"/>
    <cellStyle name="Note 3 9 5 2" xfId="41209"/>
    <cellStyle name="Note 3 9 5 3" xfId="41210"/>
    <cellStyle name="Note 3 9 5 4" xfId="41211"/>
    <cellStyle name="Note 3 9 6" xfId="41212"/>
    <cellStyle name="Note 3 9 6 2" xfId="41213"/>
    <cellStyle name="Note 3 9 7" xfId="41214"/>
    <cellStyle name="Note 3 9 8" xfId="41215"/>
    <cellStyle name="Note 3 9 9" xfId="41216"/>
    <cellStyle name="Note 4" xfId="41217"/>
    <cellStyle name="Note 4 10" xfId="41218"/>
    <cellStyle name="Note 4 10 2" xfId="41219"/>
    <cellStyle name="Note 4 10 2 2" xfId="41220"/>
    <cellStyle name="Note 4 10 2 2 2" xfId="41221"/>
    <cellStyle name="Note 4 10 2 2 3" xfId="41222"/>
    <cellStyle name="Note 4 10 2 3" xfId="41223"/>
    <cellStyle name="Note 4 10 2 4" xfId="41224"/>
    <cellStyle name="Note 4 10 2 5" xfId="41225"/>
    <cellStyle name="Note 4 10 2 6" xfId="41226"/>
    <cellStyle name="Note 4 10 3" xfId="41227"/>
    <cellStyle name="Note 4 10 3 2" xfId="41228"/>
    <cellStyle name="Note 4 10 3 2 2" xfId="41229"/>
    <cellStyle name="Note 4 10 3 3" xfId="41230"/>
    <cellStyle name="Note 4 10 3 4" xfId="41231"/>
    <cellStyle name="Note 4 10 3 5" xfId="41232"/>
    <cellStyle name="Note 4 10 4" xfId="41233"/>
    <cellStyle name="Note 4 10 4 2" xfId="41234"/>
    <cellStyle name="Note 4 10 4 3" xfId="41235"/>
    <cellStyle name="Note 4 10 4 4" xfId="41236"/>
    <cellStyle name="Note 4 10 5" xfId="41237"/>
    <cellStyle name="Note 4 10 5 2" xfId="41238"/>
    <cellStyle name="Note 4 10 6" xfId="41239"/>
    <cellStyle name="Note 4 10 7" xfId="41240"/>
    <cellStyle name="Note 4 10 8" xfId="41241"/>
    <cellStyle name="Note 4 10 9" xfId="41242"/>
    <cellStyle name="Note 4 11" xfId="41243"/>
    <cellStyle name="Note 4 11 2" xfId="41244"/>
    <cellStyle name="Note 4 11 2 2" xfId="41245"/>
    <cellStyle name="Note 4 11 2 3" xfId="41246"/>
    <cellStyle name="Note 4 11 3" xfId="41247"/>
    <cellStyle name="Note 4 11 4" xfId="41248"/>
    <cellStyle name="Note 4 11 5" xfId="41249"/>
    <cellStyle name="Note 4 11 6" xfId="41250"/>
    <cellStyle name="Note 4 12" xfId="41251"/>
    <cellStyle name="Note 4 12 2" xfId="41252"/>
    <cellStyle name="Note 4 12 2 2" xfId="41253"/>
    <cellStyle name="Note 4 12 3" xfId="41254"/>
    <cellStyle name="Note 4 12 4" xfId="41255"/>
    <cellStyle name="Note 4 12 5" xfId="41256"/>
    <cellStyle name="Note 4 13" xfId="41257"/>
    <cellStyle name="Note 4 13 2" xfId="41258"/>
    <cellStyle name="Note 4 13 2 2" xfId="41259"/>
    <cellStyle name="Note 4 13 3" xfId="41260"/>
    <cellStyle name="Note 4 13 4" xfId="41261"/>
    <cellStyle name="Note 4 13 5" xfId="41262"/>
    <cellStyle name="Note 4 14" xfId="41263"/>
    <cellStyle name="Note 4 14 2" xfId="41264"/>
    <cellStyle name="Note 4 15" xfId="41265"/>
    <cellStyle name="Note 4 16" xfId="41266"/>
    <cellStyle name="Note 4 17" xfId="41267"/>
    <cellStyle name="Note 4 18" xfId="41268"/>
    <cellStyle name="Note 4 2" xfId="41269"/>
    <cellStyle name="Note 4 2 10" xfId="41270"/>
    <cellStyle name="Note 4 2 2" xfId="41271"/>
    <cellStyle name="Note 4 2 2 2" xfId="41272"/>
    <cellStyle name="Note 4 2 2 2 2" xfId="41273"/>
    <cellStyle name="Note 4 2 2 2 2 2" xfId="41274"/>
    <cellStyle name="Note 4 2 2 2 2 3" xfId="41275"/>
    <cellStyle name="Note 4 2 2 2 3" xfId="41276"/>
    <cellStyle name="Note 4 2 2 2 4" xfId="41277"/>
    <cellStyle name="Note 4 2 2 2 5" xfId="41278"/>
    <cellStyle name="Note 4 2 2 2 6" xfId="41279"/>
    <cellStyle name="Note 4 2 2 3" xfId="41280"/>
    <cellStyle name="Note 4 2 2 3 2" xfId="41281"/>
    <cellStyle name="Note 4 2 2 3 2 2" xfId="41282"/>
    <cellStyle name="Note 4 2 2 3 3" xfId="41283"/>
    <cellStyle name="Note 4 2 2 3 4" xfId="41284"/>
    <cellStyle name="Note 4 2 2 3 5" xfId="41285"/>
    <cellStyle name="Note 4 2 2 4" xfId="41286"/>
    <cellStyle name="Note 4 2 2 4 2" xfId="41287"/>
    <cellStyle name="Note 4 2 2 4 3" xfId="41288"/>
    <cellStyle name="Note 4 2 2 4 4" xfId="41289"/>
    <cellStyle name="Note 4 2 2 5" xfId="41290"/>
    <cellStyle name="Note 4 2 2 5 2" xfId="41291"/>
    <cellStyle name="Note 4 2 2 6" xfId="41292"/>
    <cellStyle name="Note 4 2 2 7" xfId="41293"/>
    <cellStyle name="Note 4 2 2 8" xfId="41294"/>
    <cellStyle name="Note 4 2 2 9" xfId="41295"/>
    <cellStyle name="Note 4 2 3" xfId="41296"/>
    <cellStyle name="Note 4 2 3 2" xfId="41297"/>
    <cellStyle name="Note 4 2 3 2 2" xfId="41298"/>
    <cellStyle name="Note 4 2 3 2 3" xfId="41299"/>
    <cellStyle name="Note 4 2 3 3" xfId="41300"/>
    <cellStyle name="Note 4 2 3 4" xfId="41301"/>
    <cellStyle name="Note 4 2 3 5" xfId="41302"/>
    <cellStyle name="Note 4 2 3 6" xfId="41303"/>
    <cellStyle name="Note 4 2 4" xfId="41304"/>
    <cellStyle name="Note 4 2 4 2" xfId="41305"/>
    <cellStyle name="Note 4 2 4 2 2" xfId="41306"/>
    <cellStyle name="Note 4 2 4 3" xfId="41307"/>
    <cellStyle name="Note 4 2 4 4" xfId="41308"/>
    <cellStyle name="Note 4 2 4 5" xfId="41309"/>
    <cellStyle name="Note 4 2 5" xfId="41310"/>
    <cellStyle name="Note 4 2 5 2" xfId="41311"/>
    <cellStyle name="Note 4 2 5 2 2" xfId="41312"/>
    <cellStyle name="Note 4 2 5 3" xfId="41313"/>
    <cellStyle name="Note 4 2 5 4" xfId="41314"/>
    <cellStyle name="Note 4 2 5 5" xfId="41315"/>
    <cellStyle name="Note 4 2 6" xfId="41316"/>
    <cellStyle name="Note 4 2 6 2" xfId="41317"/>
    <cellStyle name="Note 4 2 7" xfId="41318"/>
    <cellStyle name="Note 4 2 8" xfId="41319"/>
    <cellStyle name="Note 4 2 9" xfId="41320"/>
    <cellStyle name="Note 4 3" xfId="41321"/>
    <cellStyle name="Note 4 3 10" xfId="41322"/>
    <cellStyle name="Note 4 3 2" xfId="41323"/>
    <cellStyle name="Note 4 3 2 2" xfId="41324"/>
    <cellStyle name="Note 4 3 2 2 2" xfId="41325"/>
    <cellStyle name="Note 4 3 2 2 2 2" xfId="41326"/>
    <cellStyle name="Note 4 3 2 2 2 3" xfId="41327"/>
    <cellStyle name="Note 4 3 2 2 3" xfId="41328"/>
    <cellStyle name="Note 4 3 2 2 4" xfId="41329"/>
    <cellStyle name="Note 4 3 2 2 5" xfId="41330"/>
    <cellStyle name="Note 4 3 2 2 6" xfId="41331"/>
    <cellStyle name="Note 4 3 2 3" xfId="41332"/>
    <cellStyle name="Note 4 3 2 3 2" xfId="41333"/>
    <cellStyle name="Note 4 3 2 3 2 2" xfId="41334"/>
    <cellStyle name="Note 4 3 2 3 3" xfId="41335"/>
    <cellStyle name="Note 4 3 2 3 4" xfId="41336"/>
    <cellStyle name="Note 4 3 2 3 5" xfId="41337"/>
    <cellStyle name="Note 4 3 2 4" xfId="41338"/>
    <cellStyle name="Note 4 3 2 4 2" xfId="41339"/>
    <cellStyle name="Note 4 3 2 4 3" xfId="41340"/>
    <cellStyle name="Note 4 3 2 4 4" xfId="41341"/>
    <cellStyle name="Note 4 3 2 5" xfId="41342"/>
    <cellStyle name="Note 4 3 2 5 2" xfId="41343"/>
    <cellStyle name="Note 4 3 2 6" xfId="41344"/>
    <cellStyle name="Note 4 3 2 7" xfId="41345"/>
    <cellStyle name="Note 4 3 2 8" xfId="41346"/>
    <cellStyle name="Note 4 3 2 9" xfId="41347"/>
    <cellStyle name="Note 4 3 3" xfId="41348"/>
    <cellStyle name="Note 4 3 3 2" xfId="41349"/>
    <cellStyle name="Note 4 3 3 2 2" xfId="41350"/>
    <cellStyle name="Note 4 3 3 2 3" xfId="41351"/>
    <cellStyle name="Note 4 3 3 3" xfId="41352"/>
    <cellStyle name="Note 4 3 3 4" xfId="41353"/>
    <cellStyle name="Note 4 3 3 5" xfId="41354"/>
    <cellStyle name="Note 4 3 3 6" xfId="41355"/>
    <cellStyle name="Note 4 3 4" xfId="41356"/>
    <cellStyle name="Note 4 3 4 2" xfId="41357"/>
    <cellStyle name="Note 4 3 4 2 2" xfId="41358"/>
    <cellStyle name="Note 4 3 4 3" xfId="41359"/>
    <cellStyle name="Note 4 3 4 4" xfId="41360"/>
    <cellStyle name="Note 4 3 4 5" xfId="41361"/>
    <cellStyle name="Note 4 3 5" xfId="41362"/>
    <cellStyle name="Note 4 3 5 2" xfId="41363"/>
    <cellStyle name="Note 4 3 5 2 2" xfId="41364"/>
    <cellStyle name="Note 4 3 5 3" xfId="41365"/>
    <cellStyle name="Note 4 3 5 4" xfId="41366"/>
    <cellStyle name="Note 4 3 5 5" xfId="41367"/>
    <cellStyle name="Note 4 3 6" xfId="41368"/>
    <cellStyle name="Note 4 3 6 2" xfId="41369"/>
    <cellStyle name="Note 4 3 7" xfId="41370"/>
    <cellStyle name="Note 4 3 8" xfId="41371"/>
    <cellStyle name="Note 4 3 9" xfId="41372"/>
    <cellStyle name="Note 4 4" xfId="41373"/>
    <cellStyle name="Note 4 4 10" xfId="41374"/>
    <cellStyle name="Note 4 4 2" xfId="41375"/>
    <cellStyle name="Note 4 4 2 2" xfId="41376"/>
    <cellStyle name="Note 4 4 2 2 2" xfId="41377"/>
    <cellStyle name="Note 4 4 2 2 2 2" xfId="41378"/>
    <cellStyle name="Note 4 4 2 2 2 3" xfId="41379"/>
    <cellStyle name="Note 4 4 2 2 3" xfId="41380"/>
    <cellStyle name="Note 4 4 2 2 4" xfId="41381"/>
    <cellStyle name="Note 4 4 2 2 5" xfId="41382"/>
    <cellStyle name="Note 4 4 2 2 6" xfId="41383"/>
    <cellStyle name="Note 4 4 2 3" xfId="41384"/>
    <cellStyle name="Note 4 4 2 3 2" xfId="41385"/>
    <cellStyle name="Note 4 4 2 3 2 2" xfId="41386"/>
    <cellStyle name="Note 4 4 2 3 3" xfId="41387"/>
    <cellStyle name="Note 4 4 2 3 4" xfId="41388"/>
    <cellStyle name="Note 4 4 2 3 5" xfId="41389"/>
    <cellStyle name="Note 4 4 2 4" xfId="41390"/>
    <cellStyle name="Note 4 4 2 4 2" xfId="41391"/>
    <cellStyle name="Note 4 4 2 4 3" xfId="41392"/>
    <cellStyle name="Note 4 4 2 4 4" xfId="41393"/>
    <cellStyle name="Note 4 4 2 5" xfId="41394"/>
    <cellStyle name="Note 4 4 2 5 2" xfId="41395"/>
    <cellStyle name="Note 4 4 2 6" xfId="41396"/>
    <cellStyle name="Note 4 4 2 7" xfId="41397"/>
    <cellStyle name="Note 4 4 2 8" xfId="41398"/>
    <cellStyle name="Note 4 4 2 9" xfId="41399"/>
    <cellStyle name="Note 4 4 3" xfId="41400"/>
    <cellStyle name="Note 4 4 3 2" xfId="41401"/>
    <cellStyle name="Note 4 4 3 2 2" xfId="41402"/>
    <cellStyle name="Note 4 4 3 2 3" xfId="41403"/>
    <cellStyle name="Note 4 4 3 3" xfId="41404"/>
    <cellStyle name="Note 4 4 3 4" xfId="41405"/>
    <cellStyle name="Note 4 4 3 5" xfId="41406"/>
    <cellStyle name="Note 4 4 3 6" xfId="41407"/>
    <cellStyle name="Note 4 4 4" xfId="41408"/>
    <cellStyle name="Note 4 4 4 2" xfId="41409"/>
    <cellStyle name="Note 4 4 4 2 2" xfId="41410"/>
    <cellStyle name="Note 4 4 4 3" xfId="41411"/>
    <cellStyle name="Note 4 4 4 4" xfId="41412"/>
    <cellStyle name="Note 4 4 4 5" xfId="41413"/>
    <cellStyle name="Note 4 4 5" xfId="41414"/>
    <cellStyle name="Note 4 4 5 2" xfId="41415"/>
    <cellStyle name="Note 4 4 5 2 2" xfId="41416"/>
    <cellStyle name="Note 4 4 5 3" xfId="41417"/>
    <cellStyle name="Note 4 4 5 4" xfId="41418"/>
    <cellStyle name="Note 4 4 5 5" xfId="41419"/>
    <cellStyle name="Note 4 4 6" xfId="41420"/>
    <cellStyle name="Note 4 4 6 2" xfId="41421"/>
    <cellStyle name="Note 4 4 7" xfId="41422"/>
    <cellStyle name="Note 4 4 8" xfId="41423"/>
    <cellStyle name="Note 4 4 9" xfId="41424"/>
    <cellStyle name="Note 4 5" xfId="41425"/>
    <cellStyle name="Note 4 5 10" xfId="41426"/>
    <cellStyle name="Note 4 5 2" xfId="41427"/>
    <cellStyle name="Note 4 5 2 2" xfId="41428"/>
    <cellStyle name="Note 4 5 2 2 2" xfId="41429"/>
    <cellStyle name="Note 4 5 2 2 2 2" xfId="41430"/>
    <cellStyle name="Note 4 5 2 2 2 3" xfId="41431"/>
    <cellStyle name="Note 4 5 2 2 3" xfId="41432"/>
    <cellStyle name="Note 4 5 2 2 4" xfId="41433"/>
    <cellStyle name="Note 4 5 2 2 5" xfId="41434"/>
    <cellStyle name="Note 4 5 2 2 6" xfId="41435"/>
    <cellStyle name="Note 4 5 2 3" xfId="41436"/>
    <cellStyle name="Note 4 5 2 3 2" xfId="41437"/>
    <cellStyle name="Note 4 5 2 3 2 2" xfId="41438"/>
    <cellStyle name="Note 4 5 2 3 3" xfId="41439"/>
    <cellStyle name="Note 4 5 2 3 4" xfId="41440"/>
    <cellStyle name="Note 4 5 2 3 5" xfId="41441"/>
    <cellStyle name="Note 4 5 2 4" xfId="41442"/>
    <cellStyle name="Note 4 5 2 4 2" xfId="41443"/>
    <cellStyle name="Note 4 5 2 4 3" xfId="41444"/>
    <cellStyle name="Note 4 5 2 4 4" xfId="41445"/>
    <cellStyle name="Note 4 5 2 5" xfId="41446"/>
    <cellStyle name="Note 4 5 2 5 2" xfId="41447"/>
    <cellStyle name="Note 4 5 2 6" xfId="41448"/>
    <cellStyle name="Note 4 5 2 7" xfId="41449"/>
    <cellStyle name="Note 4 5 2 8" xfId="41450"/>
    <cellStyle name="Note 4 5 2 9" xfId="41451"/>
    <cellStyle name="Note 4 5 3" xfId="41452"/>
    <cellStyle name="Note 4 5 3 2" xfId="41453"/>
    <cellStyle name="Note 4 5 3 2 2" xfId="41454"/>
    <cellStyle name="Note 4 5 3 2 3" xfId="41455"/>
    <cellStyle name="Note 4 5 3 3" xfId="41456"/>
    <cellStyle name="Note 4 5 3 4" xfId="41457"/>
    <cellStyle name="Note 4 5 3 5" xfId="41458"/>
    <cellStyle name="Note 4 5 3 6" xfId="41459"/>
    <cellStyle name="Note 4 5 4" xfId="41460"/>
    <cellStyle name="Note 4 5 4 2" xfId="41461"/>
    <cellStyle name="Note 4 5 4 2 2" xfId="41462"/>
    <cellStyle name="Note 4 5 4 3" xfId="41463"/>
    <cellStyle name="Note 4 5 4 4" xfId="41464"/>
    <cellStyle name="Note 4 5 4 5" xfId="41465"/>
    <cellStyle name="Note 4 5 5" xfId="41466"/>
    <cellStyle name="Note 4 5 5 2" xfId="41467"/>
    <cellStyle name="Note 4 5 5 2 2" xfId="41468"/>
    <cellStyle name="Note 4 5 5 3" xfId="41469"/>
    <cellStyle name="Note 4 5 5 4" xfId="41470"/>
    <cellStyle name="Note 4 5 5 5" xfId="41471"/>
    <cellStyle name="Note 4 5 6" xfId="41472"/>
    <cellStyle name="Note 4 5 6 2" xfId="41473"/>
    <cellStyle name="Note 4 5 7" xfId="41474"/>
    <cellStyle name="Note 4 5 8" xfId="41475"/>
    <cellStyle name="Note 4 5 9" xfId="41476"/>
    <cellStyle name="Note 4 6" xfId="41477"/>
    <cellStyle name="Note 4 6 10" xfId="41478"/>
    <cellStyle name="Note 4 6 2" xfId="41479"/>
    <cellStyle name="Note 4 6 2 2" xfId="41480"/>
    <cellStyle name="Note 4 6 2 2 2" xfId="41481"/>
    <cellStyle name="Note 4 6 2 2 2 2" xfId="41482"/>
    <cellStyle name="Note 4 6 2 2 2 3" xfId="41483"/>
    <cellStyle name="Note 4 6 2 2 3" xfId="41484"/>
    <cellStyle name="Note 4 6 2 2 4" xfId="41485"/>
    <cellStyle name="Note 4 6 2 2 5" xfId="41486"/>
    <cellStyle name="Note 4 6 2 2 6" xfId="41487"/>
    <cellStyle name="Note 4 6 2 3" xfId="41488"/>
    <cellStyle name="Note 4 6 2 3 2" xfId="41489"/>
    <cellStyle name="Note 4 6 2 3 2 2" xfId="41490"/>
    <cellStyle name="Note 4 6 2 3 3" xfId="41491"/>
    <cellStyle name="Note 4 6 2 3 4" xfId="41492"/>
    <cellStyle name="Note 4 6 2 3 5" xfId="41493"/>
    <cellStyle name="Note 4 6 2 4" xfId="41494"/>
    <cellStyle name="Note 4 6 2 4 2" xfId="41495"/>
    <cellStyle name="Note 4 6 2 4 3" xfId="41496"/>
    <cellStyle name="Note 4 6 2 4 4" xfId="41497"/>
    <cellStyle name="Note 4 6 2 5" xfId="41498"/>
    <cellStyle name="Note 4 6 2 5 2" xfId="41499"/>
    <cellStyle name="Note 4 6 2 6" xfId="41500"/>
    <cellStyle name="Note 4 6 2 7" xfId="41501"/>
    <cellStyle name="Note 4 6 2 8" xfId="41502"/>
    <cellStyle name="Note 4 6 2 9" xfId="41503"/>
    <cellStyle name="Note 4 6 3" xfId="41504"/>
    <cellStyle name="Note 4 6 3 2" xfId="41505"/>
    <cellStyle name="Note 4 6 3 2 2" xfId="41506"/>
    <cellStyle name="Note 4 6 3 2 3" xfId="41507"/>
    <cellStyle name="Note 4 6 3 3" xfId="41508"/>
    <cellStyle name="Note 4 6 3 4" xfId="41509"/>
    <cellStyle name="Note 4 6 3 5" xfId="41510"/>
    <cellStyle name="Note 4 6 3 6" xfId="41511"/>
    <cellStyle name="Note 4 6 4" xfId="41512"/>
    <cellStyle name="Note 4 6 4 2" xfId="41513"/>
    <cellStyle name="Note 4 6 4 2 2" xfId="41514"/>
    <cellStyle name="Note 4 6 4 3" xfId="41515"/>
    <cellStyle name="Note 4 6 4 4" xfId="41516"/>
    <cellStyle name="Note 4 6 4 5" xfId="41517"/>
    <cellStyle name="Note 4 6 5" xfId="41518"/>
    <cellStyle name="Note 4 6 5 2" xfId="41519"/>
    <cellStyle name="Note 4 6 5 2 2" xfId="41520"/>
    <cellStyle name="Note 4 6 5 3" xfId="41521"/>
    <cellStyle name="Note 4 6 5 4" xfId="41522"/>
    <cellStyle name="Note 4 6 5 5" xfId="41523"/>
    <cellStyle name="Note 4 6 6" xfId="41524"/>
    <cellStyle name="Note 4 6 6 2" xfId="41525"/>
    <cellStyle name="Note 4 6 7" xfId="41526"/>
    <cellStyle name="Note 4 6 8" xfId="41527"/>
    <cellStyle name="Note 4 6 9" xfId="41528"/>
    <cellStyle name="Note 4 7" xfId="41529"/>
    <cellStyle name="Note 4 7 10" xfId="41530"/>
    <cellStyle name="Note 4 7 2" xfId="41531"/>
    <cellStyle name="Note 4 7 2 2" xfId="41532"/>
    <cellStyle name="Note 4 7 2 2 2" xfId="41533"/>
    <cellStyle name="Note 4 7 2 2 2 2" xfId="41534"/>
    <cellStyle name="Note 4 7 2 2 2 3" xfId="41535"/>
    <cellStyle name="Note 4 7 2 2 3" xfId="41536"/>
    <cellStyle name="Note 4 7 2 2 4" xfId="41537"/>
    <cellStyle name="Note 4 7 2 2 5" xfId="41538"/>
    <cellStyle name="Note 4 7 2 2 6" xfId="41539"/>
    <cellStyle name="Note 4 7 2 3" xfId="41540"/>
    <cellStyle name="Note 4 7 2 3 2" xfId="41541"/>
    <cellStyle name="Note 4 7 2 3 2 2" xfId="41542"/>
    <cellStyle name="Note 4 7 2 3 3" xfId="41543"/>
    <cellStyle name="Note 4 7 2 3 4" xfId="41544"/>
    <cellStyle name="Note 4 7 2 3 5" xfId="41545"/>
    <cellStyle name="Note 4 7 2 4" xfId="41546"/>
    <cellStyle name="Note 4 7 2 4 2" xfId="41547"/>
    <cellStyle name="Note 4 7 2 4 3" xfId="41548"/>
    <cellStyle name="Note 4 7 2 4 4" xfId="41549"/>
    <cellStyle name="Note 4 7 2 5" xfId="41550"/>
    <cellStyle name="Note 4 7 2 5 2" xfId="41551"/>
    <cellStyle name="Note 4 7 2 6" xfId="41552"/>
    <cellStyle name="Note 4 7 2 7" xfId="41553"/>
    <cellStyle name="Note 4 7 2 8" xfId="41554"/>
    <cellStyle name="Note 4 7 2 9" xfId="41555"/>
    <cellStyle name="Note 4 7 3" xfId="41556"/>
    <cellStyle name="Note 4 7 3 2" xfId="41557"/>
    <cellStyle name="Note 4 7 3 2 2" xfId="41558"/>
    <cellStyle name="Note 4 7 3 2 3" xfId="41559"/>
    <cellStyle name="Note 4 7 3 3" xfId="41560"/>
    <cellStyle name="Note 4 7 3 4" xfId="41561"/>
    <cellStyle name="Note 4 7 3 5" xfId="41562"/>
    <cellStyle name="Note 4 7 3 6" xfId="41563"/>
    <cellStyle name="Note 4 7 4" xfId="41564"/>
    <cellStyle name="Note 4 7 4 2" xfId="41565"/>
    <cellStyle name="Note 4 7 4 2 2" xfId="41566"/>
    <cellStyle name="Note 4 7 4 3" xfId="41567"/>
    <cellStyle name="Note 4 7 4 4" xfId="41568"/>
    <cellStyle name="Note 4 7 4 5" xfId="41569"/>
    <cellStyle name="Note 4 7 5" xfId="41570"/>
    <cellStyle name="Note 4 7 5 2" xfId="41571"/>
    <cellStyle name="Note 4 7 5 2 2" xfId="41572"/>
    <cellStyle name="Note 4 7 5 3" xfId="41573"/>
    <cellStyle name="Note 4 7 5 4" xfId="41574"/>
    <cellStyle name="Note 4 7 5 5" xfId="41575"/>
    <cellStyle name="Note 4 7 6" xfId="41576"/>
    <cellStyle name="Note 4 7 6 2" xfId="41577"/>
    <cellStyle name="Note 4 7 7" xfId="41578"/>
    <cellStyle name="Note 4 7 8" xfId="41579"/>
    <cellStyle name="Note 4 7 9" xfId="41580"/>
    <cellStyle name="Note 4 8" xfId="41581"/>
    <cellStyle name="Note 4 8 10" xfId="41582"/>
    <cellStyle name="Note 4 8 2" xfId="41583"/>
    <cellStyle name="Note 4 8 2 2" xfId="41584"/>
    <cellStyle name="Note 4 8 2 2 2" xfId="41585"/>
    <cellStyle name="Note 4 8 2 2 2 2" xfId="41586"/>
    <cellStyle name="Note 4 8 2 2 2 3" xfId="41587"/>
    <cellStyle name="Note 4 8 2 2 3" xfId="41588"/>
    <cellStyle name="Note 4 8 2 2 4" xfId="41589"/>
    <cellStyle name="Note 4 8 2 2 5" xfId="41590"/>
    <cellStyle name="Note 4 8 2 2 6" xfId="41591"/>
    <cellStyle name="Note 4 8 2 3" xfId="41592"/>
    <cellStyle name="Note 4 8 2 3 2" xfId="41593"/>
    <cellStyle name="Note 4 8 2 3 2 2" xfId="41594"/>
    <cellStyle name="Note 4 8 2 3 3" xfId="41595"/>
    <cellStyle name="Note 4 8 2 3 4" xfId="41596"/>
    <cellStyle name="Note 4 8 2 3 5" xfId="41597"/>
    <cellStyle name="Note 4 8 2 4" xfId="41598"/>
    <cellStyle name="Note 4 8 2 4 2" xfId="41599"/>
    <cellStyle name="Note 4 8 2 4 3" xfId="41600"/>
    <cellStyle name="Note 4 8 2 4 4" xfId="41601"/>
    <cellStyle name="Note 4 8 2 5" xfId="41602"/>
    <cellStyle name="Note 4 8 2 5 2" xfId="41603"/>
    <cellStyle name="Note 4 8 2 6" xfId="41604"/>
    <cellStyle name="Note 4 8 2 7" xfId="41605"/>
    <cellStyle name="Note 4 8 2 8" xfId="41606"/>
    <cellStyle name="Note 4 8 2 9" xfId="41607"/>
    <cellStyle name="Note 4 8 3" xfId="41608"/>
    <cellStyle name="Note 4 8 3 2" xfId="41609"/>
    <cellStyle name="Note 4 8 3 2 2" xfId="41610"/>
    <cellStyle name="Note 4 8 3 2 3" xfId="41611"/>
    <cellStyle name="Note 4 8 3 3" xfId="41612"/>
    <cellStyle name="Note 4 8 3 4" xfId="41613"/>
    <cellStyle name="Note 4 8 3 5" xfId="41614"/>
    <cellStyle name="Note 4 8 3 6" xfId="41615"/>
    <cellStyle name="Note 4 8 4" xfId="41616"/>
    <cellStyle name="Note 4 8 4 2" xfId="41617"/>
    <cellStyle name="Note 4 8 4 2 2" xfId="41618"/>
    <cellStyle name="Note 4 8 4 3" xfId="41619"/>
    <cellStyle name="Note 4 8 4 4" xfId="41620"/>
    <cellStyle name="Note 4 8 4 5" xfId="41621"/>
    <cellStyle name="Note 4 8 5" xfId="41622"/>
    <cellStyle name="Note 4 8 5 2" xfId="41623"/>
    <cellStyle name="Note 4 8 5 2 2" xfId="41624"/>
    <cellStyle name="Note 4 8 5 3" xfId="41625"/>
    <cellStyle name="Note 4 8 5 4" xfId="41626"/>
    <cellStyle name="Note 4 8 5 5" xfId="41627"/>
    <cellStyle name="Note 4 8 6" xfId="41628"/>
    <cellStyle name="Note 4 8 6 2" xfId="41629"/>
    <cellStyle name="Note 4 8 7" xfId="41630"/>
    <cellStyle name="Note 4 8 8" xfId="41631"/>
    <cellStyle name="Note 4 8 9" xfId="41632"/>
    <cellStyle name="Note 4 9" xfId="41633"/>
    <cellStyle name="Note 4 9 10" xfId="41634"/>
    <cellStyle name="Note 4 9 2" xfId="41635"/>
    <cellStyle name="Note 4 9 2 2" xfId="41636"/>
    <cellStyle name="Note 4 9 2 2 2" xfId="41637"/>
    <cellStyle name="Note 4 9 2 2 2 2" xfId="41638"/>
    <cellStyle name="Note 4 9 2 2 2 3" xfId="41639"/>
    <cellStyle name="Note 4 9 2 2 3" xfId="41640"/>
    <cellStyle name="Note 4 9 2 2 4" xfId="41641"/>
    <cellStyle name="Note 4 9 2 2 5" xfId="41642"/>
    <cellStyle name="Note 4 9 2 2 6" xfId="41643"/>
    <cellStyle name="Note 4 9 2 3" xfId="41644"/>
    <cellStyle name="Note 4 9 2 3 2" xfId="41645"/>
    <cellStyle name="Note 4 9 2 3 2 2" xfId="41646"/>
    <cellStyle name="Note 4 9 2 3 3" xfId="41647"/>
    <cellStyle name="Note 4 9 2 3 4" xfId="41648"/>
    <cellStyle name="Note 4 9 2 3 5" xfId="41649"/>
    <cellStyle name="Note 4 9 2 4" xfId="41650"/>
    <cellStyle name="Note 4 9 2 4 2" xfId="41651"/>
    <cellStyle name="Note 4 9 2 4 3" xfId="41652"/>
    <cellStyle name="Note 4 9 2 4 4" xfId="41653"/>
    <cellStyle name="Note 4 9 2 5" xfId="41654"/>
    <cellStyle name="Note 4 9 2 5 2" xfId="41655"/>
    <cellStyle name="Note 4 9 2 6" xfId="41656"/>
    <cellStyle name="Note 4 9 2 7" xfId="41657"/>
    <cellStyle name="Note 4 9 2 8" xfId="41658"/>
    <cellStyle name="Note 4 9 2 9" xfId="41659"/>
    <cellStyle name="Note 4 9 3" xfId="41660"/>
    <cellStyle name="Note 4 9 3 2" xfId="41661"/>
    <cellStyle name="Note 4 9 3 2 2" xfId="41662"/>
    <cellStyle name="Note 4 9 3 2 3" xfId="41663"/>
    <cellStyle name="Note 4 9 3 3" xfId="41664"/>
    <cellStyle name="Note 4 9 3 4" xfId="41665"/>
    <cellStyle name="Note 4 9 3 5" xfId="41666"/>
    <cellStyle name="Note 4 9 3 6" xfId="41667"/>
    <cellStyle name="Note 4 9 4" xfId="41668"/>
    <cellStyle name="Note 4 9 4 2" xfId="41669"/>
    <cellStyle name="Note 4 9 4 2 2" xfId="41670"/>
    <cellStyle name="Note 4 9 4 3" xfId="41671"/>
    <cellStyle name="Note 4 9 4 4" xfId="41672"/>
    <cellStyle name="Note 4 9 4 5" xfId="41673"/>
    <cellStyle name="Note 4 9 5" xfId="41674"/>
    <cellStyle name="Note 4 9 5 2" xfId="41675"/>
    <cellStyle name="Note 4 9 5 3" xfId="41676"/>
    <cellStyle name="Note 4 9 5 4" xfId="41677"/>
    <cellStyle name="Note 4 9 6" xfId="41678"/>
    <cellStyle name="Note 4 9 6 2" xfId="41679"/>
    <cellStyle name="Note 4 9 7" xfId="41680"/>
    <cellStyle name="Note 4 9 8" xfId="41681"/>
    <cellStyle name="Note 4 9 9" xfId="41682"/>
    <cellStyle name="Note 5" xfId="41683"/>
    <cellStyle name="Note 5 10" xfId="41684"/>
    <cellStyle name="Note 5 11" xfId="41685"/>
    <cellStyle name="Note 5 2" xfId="41686"/>
    <cellStyle name="Note 5 2 10" xfId="41687"/>
    <cellStyle name="Note 5 2 2" xfId="41688"/>
    <cellStyle name="Note 5 2 2 2" xfId="41689"/>
    <cellStyle name="Note 5 2 2 2 2" xfId="41690"/>
    <cellStyle name="Note 5 2 2 2 2 2" xfId="41691"/>
    <cellStyle name="Note 5 2 2 2 2 3" xfId="41692"/>
    <cellStyle name="Note 5 2 2 2 3" xfId="41693"/>
    <cellStyle name="Note 5 2 2 2 4" xfId="41694"/>
    <cellStyle name="Note 5 2 2 2 5" xfId="41695"/>
    <cellStyle name="Note 5 2 2 2 6" xfId="41696"/>
    <cellStyle name="Note 5 2 2 3" xfId="41697"/>
    <cellStyle name="Note 5 2 2 3 2" xfId="41698"/>
    <cellStyle name="Note 5 2 2 3 2 2" xfId="41699"/>
    <cellStyle name="Note 5 2 2 3 3" xfId="41700"/>
    <cellStyle name="Note 5 2 2 3 4" xfId="41701"/>
    <cellStyle name="Note 5 2 2 3 5" xfId="41702"/>
    <cellStyle name="Note 5 2 2 4" xfId="41703"/>
    <cellStyle name="Note 5 2 2 4 2" xfId="41704"/>
    <cellStyle name="Note 5 2 2 4 3" xfId="41705"/>
    <cellStyle name="Note 5 2 2 4 4" xfId="41706"/>
    <cellStyle name="Note 5 2 2 5" xfId="41707"/>
    <cellStyle name="Note 5 2 2 5 2" xfId="41708"/>
    <cellStyle name="Note 5 2 2 6" xfId="41709"/>
    <cellStyle name="Note 5 2 2 7" xfId="41710"/>
    <cellStyle name="Note 5 2 2 8" xfId="41711"/>
    <cellStyle name="Note 5 2 2 9" xfId="41712"/>
    <cellStyle name="Note 5 2 3" xfId="41713"/>
    <cellStyle name="Note 5 2 3 2" xfId="41714"/>
    <cellStyle name="Note 5 2 3 2 2" xfId="41715"/>
    <cellStyle name="Note 5 2 3 2 3" xfId="41716"/>
    <cellStyle name="Note 5 2 3 3" xfId="41717"/>
    <cellStyle name="Note 5 2 3 4" xfId="41718"/>
    <cellStyle name="Note 5 2 3 5" xfId="41719"/>
    <cellStyle name="Note 5 2 3 6" xfId="41720"/>
    <cellStyle name="Note 5 2 4" xfId="41721"/>
    <cellStyle name="Note 5 2 4 2" xfId="41722"/>
    <cellStyle name="Note 5 2 4 2 2" xfId="41723"/>
    <cellStyle name="Note 5 2 4 3" xfId="41724"/>
    <cellStyle name="Note 5 2 4 4" xfId="41725"/>
    <cellStyle name="Note 5 2 4 5" xfId="41726"/>
    <cellStyle name="Note 5 2 5" xfId="41727"/>
    <cellStyle name="Note 5 2 5 2" xfId="41728"/>
    <cellStyle name="Note 5 2 5 3" xfId="41729"/>
    <cellStyle name="Note 5 2 5 4" xfId="41730"/>
    <cellStyle name="Note 5 2 6" xfId="41731"/>
    <cellStyle name="Note 5 2 6 2" xfId="41732"/>
    <cellStyle name="Note 5 2 7" xfId="41733"/>
    <cellStyle name="Note 5 2 8" xfId="41734"/>
    <cellStyle name="Note 5 2 9" xfId="41735"/>
    <cellStyle name="Note 5 3" xfId="41736"/>
    <cellStyle name="Note 5 3 2" xfId="41737"/>
    <cellStyle name="Note 5 3 2 2" xfId="41738"/>
    <cellStyle name="Note 5 3 2 2 2" xfId="41739"/>
    <cellStyle name="Note 5 3 2 2 3" xfId="41740"/>
    <cellStyle name="Note 5 3 2 3" xfId="41741"/>
    <cellStyle name="Note 5 3 2 4" xfId="41742"/>
    <cellStyle name="Note 5 3 2 5" xfId="41743"/>
    <cellStyle name="Note 5 3 2 6" xfId="41744"/>
    <cellStyle name="Note 5 3 3" xfId="41745"/>
    <cellStyle name="Note 5 3 3 2" xfId="41746"/>
    <cellStyle name="Note 5 3 3 2 2" xfId="41747"/>
    <cellStyle name="Note 5 3 3 3" xfId="41748"/>
    <cellStyle name="Note 5 3 3 4" xfId="41749"/>
    <cellStyle name="Note 5 3 3 5" xfId="41750"/>
    <cellStyle name="Note 5 3 4" xfId="41751"/>
    <cellStyle name="Note 5 3 4 2" xfId="41752"/>
    <cellStyle name="Note 5 3 4 3" xfId="41753"/>
    <cellStyle name="Note 5 3 4 4" xfId="41754"/>
    <cellStyle name="Note 5 3 5" xfId="41755"/>
    <cellStyle name="Note 5 3 5 2" xfId="41756"/>
    <cellStyle name="Note 5 3 6" xfId="41757"/>
    <cellStyle name="Note 5 3 7" xfId="41758"/>
    <cellStyle name="Note 5 3 8" xfId="41759"/>
    <cellStyle name="Note 5 3 9" xfId="41760"/>
    <cellStyle name="Note 5 4" xfId="41761"/>
    <cellStyle name="Note 5 4 2" xfId="41762"/>
    <cellStyle name="Note 5 4 2 2" xfId="41763"/>
    <cellStyle name="Note 5 4 2 3" xfId="41764"/>
    <cellStyle name="Note 5 4 3" xfId="41765"/>
    <cellStyle name="Note 5 4 4" xfId="41766"/>
    <cellStyle name="Note 5 4 5" xfId="41767"/>
    <cellStyle name="Note 5 4 6" xfId="41768"/>
    <cellStyle name="Note 5 5" xfId="41769"/>
    <cellStyle name="Note 5 5 2" xfId="41770"/>
    <cellStyle name="Note 5 5 2 2" xfId="41771"/>
    <cellStyle name="Note 5 5 3" xfId="41772"/>
    <cellStyle name="Note 5 5 4" xfId="41773"/>
    <cellStyle name="Note 5 5 5" xfId="41774"/>
    <cellStyle name="Note 5 6" xfId="41775"/>
    <cellStyle name="Note 5 6 2" xfId="41776"/>
    <cellStyle name="Note 5 6 2 2" xfId="41777"/>
    <cellStyle name="Note 5 6 3" xfId="41778"/>
    <cellStyle name="Note 5 6 4" xfId="41779"/>
    <cellStyle name="Note 5 6 5" xfId="41780"/>
    <cellStyle name="Note 5 7" xfId="41781"/>
    <cellStyle name="Note 5 7 2" xfId="41782"/>
    <cellStyle name="Note 5 8" xfId="41783"/>
    <cellStyle name="Note 5 9" xfId="41784"/>
    <cellStyle name="Note 6" xfId="41785"/>
    <cellStyle name="Note 6 10" xfId="41786"/>
    <cellStyle name="Note 6 11" xfId="41787"/>
    <cellStyle name="Note 6 2" xfId="41788"/>
    <cellStyle name="Note 6 2 10" xfId="41789"/>
    <cellStyle name="Note 6 2 2" xfId="41790"/>
    <cellStyle name="Note 6 2 2 2" xfId="41791"/>
    <cellStyle name="Note 6 2 2 2 2" xfId="41792"/>
    <cellStyle name="Note 6 2 2 2 2 2" xfId="41793"/>
    <cellStyle name="Note 6 2 2 2 2 3" xfId="41794"/>
    <cellStyle name="Note 6 2 2 2 3" xfId="41795"/>
    <cellStyle name="Note 6 2 2 2 4" xfId="41796"/>
    <cellStyle name="Note 6 2 2 2 5" xfId="41797"/>
    <cellStyle name="Note 6 2 2 2 6" xfId="41798"/>
    <cellStyle name="Note 6 2 2 3" xfId="41799"/>
    <cellStyle name="Note 6 2 2 3 2" xfId="41800"/>
    <cellStyle name="Note 6 2 2 3 2 2" xfId="41801"/>
    <cellStyle name="Note 6 2 2 3 3" xfId="41802"/>
    <cellStyle name="Note 6 2 2 3 4" xfId="41803"/>
    <cellStyle name="Note 6 2 2 3 5" xfId="41804"/>
    <cellStyle name="Note 6 2 2 4" xfId="41805"/>
    <cellStyle name="Note 6 2 2 4 2" xfId="41806"/>
    <cellStyle name="Note 6 2 2 4 3" xfId="41807"/>
    <cellStyle name="Note 6 2 2 4 4" xfId="41808"/>
    <cellStyle name="Note 6 2 2 5" xfId="41809"/>
    <cellStyle name="Note 6 2 2 5 2" xfId="41810"/>
    <cellStyle name="Note 6 2 2 6" xfId="41811"/>
    <cellStyle name="Note 6 2 2 7" xfId="41812"/>
    <cellStyle name="Note 6 2 2 8" xfId="41813"/>
    <cellStyle name="Note 6 2 2 9" xfId="41814"/>
    <cellStyle name="Note 6 2 3" xfId="41815"/>
    <cellStyle name="Note 6 2 3 2" xfId="41816"/>
    <cellStyle name="Note 6 2 3 2 2" xfId="41817"/>
    <cellStyle name="Note 6 2 3 2 3" xfId="41818"/>
    <cellStyle name="Note 6 2 3 3" xfId="41819"/>
    <cellStyle name="Note 6 2 3 4" xfId="41820"/>
    <cellStyle name="Note 6 2 3 5" xfId="41821"/>
    <cellStyle name="Note 6 2 3 6" xfId="41822"/>
    <cellStyle name="Note 6 2 4" xfId="41823"/>
    <cellStyle name="Note 6 2 4 2" xfId="41824"/>
    <cellStyle name="Note 6 2 4 2 2" xfId="41825"/>
    <cellStyle name="Note 6 2 4 3" xfId="41826"/>
    <cellStyle name="Note 6 2 4 4" xfId="41827"/>
    <cellStyle name="Note 6 2 4 5" xfId="41828"/>
    <cellStyle name="Note 6 2 5" xfId="41829"/>
    <cellStyle name="Note 6 2 5 2" xfId="41830"/>
    <cellStyle name="Note 6 2 5 3" xfId="41831"/>
    <cellStyle name="Note 6 2 5 4" xfId="41832"/>
    <cellStyle name="Note 6 2 6" xfId="41833"/>
    <cellStyle name="Note 6 2 6 2" xfId="41834"/>
    <cellStyle name="Note 6 2 7" xfId="41835"/>
    <cellStyle name="Note 6 2 8" xfId="41836"/>
    <cellStyle name="Note 6 2 9" xfId="41837"/>
    <cellStyle name="Note 6 3" xfId="41838"/>
    <cellStyle name="Note 6 3 2" xfId="41839"/>
    <cellStyle name="Note 6 3 2 2" xfId="41840"/>
    <cellStyle name="Note 6 3 2 2 2" xfId="41841"/>
    <cellStyle name="Note 6 3 2 2 3" xfId="41842"/>
    <cellStyle name="Note 6 3 2 3" xfId="41843"/>
    <cellStyle name="Note 6 3 2 4" xfId="41844"/>
    <cellStyle name="Note 6 3 2 5" xfId="41845"/>
    <cellStyle name="Note 6 3 2 6" xfId="41846"/>
    <cellStyle name="Note 6 3 3" xfId="41847"/>
    <cellStyle name="Note 6 3 3 2" xfId="41848"/>
    <cellStyle name="Note 6 3 3 2 2" xfId="41849"/>
    <cellStyle name="Note 6 3 3 3" xfId="41850"/>
    <cellStyle name="Note 6 3 3 4" xfId="41851"/>
    <cellStyle name="Note 6 3 3 5" xfId="41852"/>
    <cellStyle name="Note 6 3 4" xfId="41853"/>
    <cellStyle name="Note 6 3 4 2" xfId="41854"/>
    <cellStyle name="Note 6 3 4 3" xfId="41855"/>
    <cellStyle name="Note 6 3 4 4" xfId="41856"/>
    <cellStyle name="Note 6 3 5" xfId="41857"/>
    <cellStyle name="Note 6 3 5 2" xfId="41858"/>
    <cellStyle name="Note 6 3 6" xfId="41859"/>
    <cellStyle name="Note 6 3 7" xfId="41860"/>
    <cellStyle name="Note 6 3 8" xfId="41861"/>
    <cellStyle name="Note 6 3 9" xfId="41862"/>
    <cellStyle name="Note 6 4" xfId="41863"/>
    <cellStyle name="Note 6 4 2" xfId="41864"/>
    <cellStyle name="Note 6 4 2 2" xfId="41865"/>
    <cellStyle name="Note 6 4 2 3" xfId="41866"/>
    <cellStyle name="Note 6 4 3" xfId="41867"/>
    <cellStyle name="Note 6 4 4" xfId="41868"/>
    <cellStyle name="Note 6 4 5" xfId="41869"/>
    <cellStyle name="Note 6 4 6" xfId="41870"/>
    <cellStyle name="Note 6 5" xfId="41871"/>
    <cellStyle name="Note 6 5 2" xfId="41872"/>
    <cellStyle name="Note 6 5 2 2" xfId="41873"/>
    <cellStyle name="Note 6 5 3" xfId="41874"/>
    <cellStyle name="Note 6 5 4" xfId="41875"/>
    <cellStyle name="Note 6 5 5" xfId="41876"/>
    <cellStyle name="Note 6 6" xfId="41877"/>
    <cellStyle name="Note 6 6 2" xfId="41878"/>
    <cellStyle name="Note 6 6 2 2" xfId="41879"/>
    <cellStyle name="Note 6 6 3" xfId="41880"/>
    <cellStyle name="Note 6 6 4" xfId="41881"/>
    <cellStyle name="Note 6 6 5" xfId="41882"/>
    <cellStyle name="Note 6 7" xfId="41883"/>
    <cellStyle name="Note 6 7 2" xfId="41884"/>
    <cellStyle name="Note 6 8" xfId="41885"/>
    <cellStyle name="Note 6 9" xfId="41886"/>
    <cellStyle name="Note 7" xfId="41887"/>
    <cellStyle name="Note 7 10" xfId="41888"/>
    <cellStyle name="Note 7 11" xfId="41889"/>
    <cellStyle name="Note 7 2" xfId="41890"/>
    <cellStyle name="Note 7 3" xfId="41891"/>
    <cellStyle name="Note 7 3 2" xfId="41892"/>
    <cellStyle name="Note 7 3 2 2" xfId="41893"/>
    <cellStyle name="Note 7 3 2 2 2" xfId="41894"/>
    <cellStyle name="Note 7 3 2 2 3" xfId="41895"/>
    <cellStyle name="Note 7 3 2 3" xfId="41896"/>
    <cellStyle name="Note 7 3 2 4" xfId="41897"/>
    <cellStyle name="Note 7 3 2 5" xfId="41898"/>
    <cellStyle name="Note 7 3 2 6" xfId="41899"/>
    <cellStyle name="Note 7 3 3" xfId="41900"/>
    <cellStyle name="Note 7 3 3 2" xfId="41901"/>
    <cellStyle name="Note 7 3 3 2 2" xfId="41902"/>
    <cellStyle name="Note 7 3 3 3" xfId="41903"/>
    <cellStyle name="Note 7 3 3 4" xfId="41904"/>
    <cellStyle name="Note 7 3 3 5" xfId="41905"/>
    <cellStyle name="Note 7 3 4" xfId="41906"/>
    <cellStyle name="Note 7 3 4 2" xfId="41907"/>
    <cellStyle name="Note 7 3 4 3" xfId="41908"/>
    <cellStyle name="Note 7 3 4 4" xfId="41909"/>
    <cellStyle name="Note 7 3 5" xfId="41910"/>
    <cellStyle name="Note 7 3 5 2" xfId="41911"/>
    <cellStyle name="Note 7 3 6" xfId="41912"/>
    <cellStyle name="Note 7 3 7" xfId="41913"/>
    <cellStyle name="Note 7 3 8" xfId="41914"/>
    <cellStyle name="Note 7 3 9" xfId="41915"/>
    <cellStyle name="Note 7 4" xfId="41916"/>
    <cellStyle name="Note 7 4 2" xfId="41917"/>
    <cellStyle name="Note 7 4 2 2" xfId="41918"/>
    <cellStyle name="Note 7 4 2 3" xfId="41919"/>
    <cellStyle name="Note 7 4 3" xfId="41920"/>
    <cellStyle name="Note 7 4 4" xfId="41921"/>
    <cellStyle name="Note 7 4 5" xfId="41922"/>
    <cellStyle name="Note 7 4 6" xfId="41923"/>
    <cellStyle name="Note 7 5" xfId="41924"/>
    <cellStyle name="Note 7 5 2" xfId="41925"/>
    <cellStyle name="Note 7 5 2 2" xfId="41926"/>
    <cellStyle name="Note 7 5 3" xfId="41927"/>
    <cellStyle name="Note 7 5 4" xfId="41928"/>
    <cellStyle name="Note 7 5 5" xfId="41929"/>
    <cellStyle name="Note 7 6" xfId="41930"/>
    <cellStyle name="Note 7 6 2" xfId="41931"/>
    <cellStyle name="Note 7 6 3" xfId="41932"/>
    <cellStyle name="Note 7 6 4" xfId="41933"/>
    <cellStyle name="Note 7 7" xfId="41934"/>
    <cellStyle name="Note 7 7 2" xfId="41935"/>
    <cellStyle name="Note 7 8" xfId="41936"/>
    <cellStyle name="Note 7 9" xfId="41937"/>
    <cellStyle name="Note 8" xfId="41938"/>
    <cellStyle name="Note 9" xfId="41939"/>
    <cellStyle name="Percent" xfId="3" builtinId="5"/>
    <cellStyle name="Percent [2]" xfId="41940"/>
    <cellStyle name="Percent 10" xfId="41941"/>
    <cellStyle name="Percent 11" xfId="41942"/>
    <cellStyle name="Percent 11 2" xfId="41943"/>
    <cellStyle name="Percent 12" xfId="41944"/>
    <cellStyle name="Percent 13" xfId="41945"/>
    <cellStyle name="Percent 14" xfId="41946"/>
    <cellStyle name="Percent 15" xfId="41947"/>
    <cellStyle name="Percent 16" xfId="41948"/>
    <cellStyle name="Percent 17" xfId="41949"/>
    <cellStyle name="Percent 18" xfId="41950"/>
    <cellStyle name="Percent 19" xfId="41951"/>
    <cellStyle name="Percent 2" xfId="41952"/>
    <cellStyle name="Percent 2 10" xfId="41953"/>
    <cellStyle name="Percent 2 10 2" xfId="41954"/>
    <cellStyle name="Percent 2 10 3" xfId="41955"/>
    <cellStyle name="Percent 2 10 4" xfId="41956"/>
    <cellStyle name="Percent 2 10 5" xfId="41957"/>
    <cellStyle name="Percent 2 10 6" xfId="41958"/>
    <cellStyle name="Percent 2 11" xfId="41959"/>
    <cellStyle name="Percent 2 11 2" xfId="41960"/>
    <cellStyle name="Percent 2 11 3" xfId="41961"/>
    <cellStyle name="Percent 2 11 4" xfId="41962"/>
    <cellStyle name="Percent 2 11 5" xfId="41963"/>
    <cellStyle name="Percent 2 11 6" xfId="41964"/>
    <cellStyle name="Percent 2 12" xfId="41965"/>
    <cellStyle name="Percent 2 12 2" xfId="41966"/>
    <cellStyle name="Percent 2 12 3" xfId="41967"/>
    <cellStyle name="Percent 2 12 4" xfId="41968"/>
    <cellStyle name="Percent 2 12 5" xfId="41969"/>
    <cellStyle name="Percent 2 12 6" xfId="41970"/>
    <cellStyle name="Percent 2 13" xfId="41971"/>
    <cellStyle name="Percent 2 13 2" xfId="41972"/>
    <cellStyle name="Percent 2 13 3" xfId="41973"/>
    <cellStyle name="Percent 2 13 4" xfId="41974"/>
    <cellStyle name="Percent 2 13 5" xfId="41975"/>
    <cellStyle name="Percent 2 13 6" xfId="41976"/>
    <cellStyle name="Percent 2 14" xfId="41977"/>
    <cellStyle name="Percent 2 14 2" xfId="41978"/>
    <cellStyle name="Percent 2 14 3" xfId="41979"/>
    <cellStyle name="Percent 2 14 4" xfId="41980"/>
    <cellStyle name="Percent 2 14 5" xfId="41981"/>
    <cellStyle name="Percent 2 14 6" xfId="41982"/>
    <cellStyle name="Percent 2 15" xfId="41983"/>
    <cellStyle name="Percent 2 15 2" xfId="41984"/>
    <cellStyle name="Percent 2 15 3" xfId="41985"/>
    <cellStyle name="Percent 2 15 4" xfId="41986"/>
    <cellStyle name="Percent 2 15 5" xfId="41987"/>
    <cellStyle name="Percent 2 15 6" xfId="41988"/>
    <cellStyle name="Percent 2 16" xfId="41989"/>
    <cellStyle name="Percent 2 16 2" xfId="41990"/>
    <cellStyle name="Percent 2 16 3" xfId="41991"/>
    <cellStyle name="Percent 2 16 4" xfId="41992"/>
    <cellStyle name="Percent 2 16 5" xfId="41993"/>
    <cellStyle name="Percent 2 16 6" xfId="41994"/>
    <cellStyle name="Percent 2 17" xfId="41995"/>
    <cellStyle name="Percent 2 17 2" xfId="41996"/>
    <cellStyle name="Percent 2 17 3" xfId="41997"/>
    <cellStyle name="Percent 2 17 4" xfId="41998"/>
    <cellStyle name="Percent 2 17 5" xfId="41999"/>
    <cellStyle name="Percent 2 17 6" xfId="42000"/>
    <cellStyle name="Percent 2 18" xfId="42001"/>
    <cellStyle name="Percent 2 18 2" xfId="42002"/>
    <cellStyle name="Percent 2 18 3" xfId="42003"/>
    <cellStyle name="Percent 2 18 4" xfId="42004"/>
    <cellStyle name="Percent 2 18 5" xfId="42005"/>
    <cellStyle name="Percent 2 18 6" xfId="42006"/>
    <cellStyle name="Percent 2 19" xfId="42007"/>
    <cellStyle name="Percent 2 19 2" xfId="42008"/>
    <cellStyle name="Percent 2 19 3" xfId="42009"/>
    <cellStyle name="Percent 2 19 4" xfId="42010"/>
    <cellStyle name="Percent 2 19 5" xfId="42011"/>
    <cellStyle name="Percent 2 19 6" xfId="42012"/>
    <cellStyle name="Percent 2 2" xfId="42013"/>
    <cellStyle name="Percent 2 2 10" xfId="42014"/>
    <cellStyle name="Percent 2 2 11" xfId="42015"/>
    <cellStyle name="Percent 2 2 12" xfId="42016"/>
    <cellStyle name="Percent 2 2 13" xfId="42017"/>
    <cellStyle name="Percent 2 2 14" xfId="42018"/>
    <cellStyle name="Percent 2 2 15" xfId="42019"/>
    <cellStyle name="Percent 2 2 16" xfId="42020"/>
    <cellStyle name="Percent 2 2 17" xfId="42021"/>
    <cellStyle name="Percent 2 2 18" xfId="42022"/>
    <cellStyle name="Percent 2 2 19" xfId="42023"/>
    <cellStyle name="Percent 2 2 2" xfId="42024"/>
    <cellStyle name="Percent 2 2 20" xfId="42025"/>
    <cellStyle name="Percent 2 2 21" xfId="42026"/>
    <cellStyle name="Percent 2 2 22" xfId="42027"/>
    <cellStyle name="Percent 2 2 23" xfId="42028"/>
    <cellStyle name="Percent 2 2 24" xfId="42029"/>
    <cellStyle name="Percent 2 2 25" xfId="42030"/>
    <cellStyle name="Percent 2 2 26" xfId="42031"/>
    <cellStyle name="Percent 2 2 27" xfId="42032"/>
    <cellStyle name="Percent 2 2 28" xfId="42033"/>
    <cellStyle name="Percent 2 2 29" xfId="42034"/>
    <cellStyle name="Percent 2 2 3" xfId="42035"/>
    <cellStyle name="Percent 2 2 3 2" xfId="42036"/>
    <cellStyle name="Percent 2 2 30" xfId="42037"/>
    <cellStyle name="Percent 2 2 31" xfId="42038"/>
    <cellStyle name="Percent 2 2 32" xfId="42039"/>
    <cellStyle name="Percent 2 2 33" xfId="42040"/>
    <cellStyle name="Percent 2 2 34" xfId="42041"/>
    <cellStyle name="Percent 2 2 35" xfId="42042"/>
    <cellStyle name="Percent 2 2 36" xfId="42043"/>
    <cellStyle name="Percent 2 2 4" xfId="42044"/>
    <cellStyle name="Percent 2 2 4 2" xfId="42045"/>
    <cellStyle name="Percent 2 2 5" xfId="42046"/>
    <cellStyle name="Percent 2 2 5 2" xfId="42047"/>
    <cellStyle name="Percent 2 2 6" xfId="42048"/>
    <cellStyle name="Percent 2 2 6 2" xfId="42049"/>
    <cellStyle name="Percent 2 2 7" xfId="42050"/>
    <cellStyle name="Percent 2 2 7 2" xfId="42051"/>
    <cellStyle name="Percent 2 2 8" xfId="42052"/>
    <cellStyle name="Percent 2 2 8 2" xfId="42053"/>
    <cellStyle name="Percent 2 2 9" xfId="42054"/>
    <cellStyle name="Percent 2 20" xfId="42055"/>
    <cellStyle name="Percent 2 21" xfId="42056"/>
    <cellStyle name="Percent 2 22" xfId="42057"/>
    <cellStyle name="Percent 2 23" xfId="42058"/>
    <cellStyle name="Percent 2 24" xfId="42059"/>
    <cellStyle name="Percent 2 25" xfId="42060"/>
    <cellStyle name="Percent 2 3" xfId="42061"/>
    <cellStyle name="Percent 2 3 2" xfId="42062"/>
    <cellStyle name="Percent 2 3 3" xfId="42063"/>
    <cellStyle name="Percent 2 3 4" xfId="42064"/>
    <cellStyle name="Percent 2 3 5" xfId="42065"/>
    <cellStyle name="Percent 2 3 6" xfId="42066"/>
    <cellStyle name="Percent 2 4" xfId="42067"/>
    <cellStyle name="Percent 2 4 2" xfId="42068"/>
    <cellStyle name="Percent 2 4 3" xfId="42069"/>
    <cellStyle name="Percent 2 4 4" xfId="42070"/>
    <cellStyle name="Percent 2 4 5" xfId="42071"/>
    <cellStyle name="Percent 2 4 6" xfId="42072"/>
    <cellStyle name="Percent 2 4 7" xfId="42073"/>
    <cellStyle name="Percent 2 5" xfId="42074"/>
    <cellStyle name="Percent 2 5 2" xfId="42075"/>
    <cellStyle name="Percent 2 5 3" xfId="42076"/>
    <cellStyle name="Percent 2 5 4" xfId="42077"/>
    <cellStyle name="Percent 2 5 5" xfId="42078"/>
    <cellStyle name="Percent 2 5 6" xfId="42079"/>
    <cellStyle name="Percent 2 5 7" xfId="42080"/>
    <cellStyle name="Percent 2 6" xfId="42081"/>
    <cellStyle name="Percent 2 6 2" xfId="42082"/>
    <cellStyle name="Percent 2 6 3" xfId="42083"/>
    <cellStyle name="Percent 2 6 4" xfId="42084"/>
    <cellStyle name="Percent 2 6 5" xfId="42085"/>
    <cellStyle name="Percent 2 6 6" xfId="42086"/>
    <cellStyle name="Percent 2 6 7" xfId="42087"/>
    <cellStyle name="Percent 2 7" xfId="42088"/>
    <cellStyle name="Percent 2 7 2" xfId="42089"/>
    <cellStyle name="Percent 2 7 3" xfId="42090"/>
    <cellStyle name="Percent 2 7 4" xfId="42091"/>
    <cellStyle name="Percent 2 7 5" xfId="42092"/>
    <cellStyle name="Percent 2 7 6" xfId="42093"/>
    <cellStyle name="Percent 2 7 7" xfId="42094"/>
    <cellStyle name="Percent 2 8" xfId="42095"/>
    <cellStyle name="Percent 2 8 2" xfId="42096"/>
    <cellStyle name="Percent 2 8 3" xfId="42097"/>
    <cellStyle name="Percent 2 8 4" xfId="42098"/>
    <cellStyle name="Percent 2 8 5" xfId="42099"/>
    <cellStyle name="Percent 2 8 6" xfId="42100"/>
    <cellStyle name="Percent 2 8 7" xfId="42101"/>
    <cellStyle name="Percent 2 9" xfId="42102"/>
    <cellStyle name="Percent 2 9 2" xfId="42103"/>
    <cellStyle name="Percent 2 9 3" xfId="42104"/>
    <cellStyle name="Percent 2 9 4" xfId="42105"/>
    <cellStyle name="Percent 2 9 5" xfId="42106"/>
    <cellStyle name="Percent 2 9 6" xfId="42107"/>
    <cellStyle name="Percent 20" xfId="42108"/>
    <cellStyle name="Percent 21" xfId="42109"/>
    <cellStyle name="Percent 22" xfId="42110"/>
    <cellStyle name="Percent 23" xfId="42111"/>
    <cellStyle name="Percent 24" xfId="42112"/>
    <cellStyle name="Percent 25" xfId="42113"/>
    <cellStyle name="Percent 26" xfId="42114"/>
    <cellStyle name="Percent 27" xfId="42115"/>
    <cellStyle name="Percent 28" xfId="42116"/>
    <cellStyle name="Percent 29" xfId="42117"/>
    <cellStyle name="Percent 3" xfId="42118"/>
    <cellStyle name="Percent 3 2" xfId="42119"/>
    <cellStyle name="Percent 3 2 2" xfId="42120"/>
    <cellStyle name="Percent 3 3" xfId="42121"/>
    <cellStyle name="Percent 30" xfId="42122"/>
    <cellStyle name="Percent 31" xfId="42123"/>
    <cellStyle name="Percent 32" xfId="42124"/>
    <cellStyle name="Percent 33" xfId="42125"/>
    <cellStyle name="Percent 34" xfId="42126"/>
    <cellStyle name="Percent 35" xfId="42127"/>
    <cellStyle name="Percent 36" xfId="42128"/>
    <cellStyle name="Percent 37" xfId="42129"/>
    <cellStyle name="Percent 38" xfId="42130"/>
    <cellStyle name="Percent 39" xfId="42131"/>
    <cellStyle name="Percent 4" xfId="42132"/>
    <cellStyle name="Percent 4 10" xfId="42133"/>
    <cellStyle name="Percent 4 2" xfId="42134"/>
    <cellStyle name="Percent 4 2 2" xfId="42135"/>
    <cellStyle name="Percent 4 2 2 2" xfId="42136"/>
    <cellStyle name="Percent 4 2 2 2 2" xfId="42137"/>
    <cellStyle name="Percent 4 2 2 2 3" xfId="42138"/>
    <cellStyle name="Percent 4 2 2 3" xfId="42139"/>
    <cellStyle name="Percent 4 2 2 4" xfId="42140"/>
    <cellStyle name="Percent 4 2 2 5" xfId="42141"/>
    <cellStyle name="Percent 4 2 2 6" xfId="42142"/>
    <cellStyle name="Percent 4 2 3" xfId="42143"/>
    <cellStyle name="Percent 4 2 3 2" xfId="42144"/>
    <cellStyle name="Percent 4 2 3 2 2" xfId="42145"/>
    <cellStyle name="Percent 4 2 3 3" xfId="42146"/>
    <cellStyle name="Percent 4 2 3 4" xfId="42147"/>
    <cellStyle name="Percent 4 2 3 5" xfId="42148"/>
    <cellStyle name="Percent 4 2 4" xfId="42149"/>
    <cellStyle name="Percent 4 2 4 2" xfId="42150"/>
    <cellStyle name="Percent 4 2 4 3" xfId="42151"/>
    <cellStyle name="Percent 4 2 4 4" xfId="42152"/>
    <cellStyle name="Percent 4 2 5" xfId="42153"/>
    <cellStyle name="Percent 4 2 5 2" xfId="42154"/>
    <cellStyle name="Percent 4 2 6" xfId="42155"/>
    <cellStyle name="Percent 4 2 7" xfId="42156"/>
    <cellStyle name="Percent 4 2 8" xfId="42157"/>
    <cellStyle name="Percent 4 2 9" xfId="42158"/>
    <cellStyle name="Percent 4 3" xfId="42159"/>
    <cellStyle name="Percent 4 3 2" xfId="42160"/>
    <cellStyle name="Percent 4 3 2 2" xfId="42161"/>
    <cellStyle name="Percent 4 3 2 3" xfId="42162"/>
    <cellStyle name="Percent 4 3 3" xfId="42163"/>
    <cellStyle name="Percent 4 3 4" xfId="42164"/>
    <cellStyle name="Percent 4 3 5" xfId="42165"/>
    <cellStyle name="Percent 4 3 6" xfId="42166"/>
    <cellStyle name="Percent 4 4" xfId="42167"/>
    <cellStyle name="Percent 4 4 2" xfId="42168"/>
    <cellStyle name="Percent 4 4 2 2" xfId="42169"/>
    <cellStyle name="Percent 4 4 3" xfId="42170"/>
    <cellStyle name="Percent 4 4 4" xfId="42171"/>
    <cellStyle name="Percent 4 4 5" xfId="42172"/>
    <cellStyle name="Percent 4 4 6" xfId="42173"/>
    <cellStyle name="Percent 4 5" xfId="42174"/>
    <cellStyle name="Percent 4 5 2" xfId="42175"/>
    <cellStyle name="Percent 4 5 3" xfId="42176"/>
    <cellStyle name="Percent 4 5 4" xfId="42177"/>
    <cellStyle name="Percent 4 5 5" xfId="42178"/>
    <cellStyle name="Percent 4 6" xfId="42179"/>
    <cellStyle name="Percent 4 6 2" xfId="42180"/>
    <cellStyle name="Percent 4 7" xfId="42181"/>
    <cellStyle name="Percent 4 7 2" xfId="42182"/>
    <cellStyle name="Percent 4 8" xfId="42183"/>
    <cellStyle name="Percent 4 9" xfId="42184"/>
    <cellStyle name="Percent 40" xfId="42185"/>
    <cellStyle name="Percent 41" xfId="42186"/>
    <cellStyle name="Percent 42" xfId="42187"/>
    <cellStyle name="Percent 43" xfId="42188"/>
    <cellStyle name="Percent 44" xfId="42189"/>
    <cellStyle name="Percent 45" xfId="42190"/>
    <cellStyle name="Percent 46" xfId="42191"/>
    <cellStyle name="Percent 47" xfId="42192"/>
    <cellStyle name="Percent 48" xfId="42193"/>
    <cellStyle name="Percent 49" xfId="42194"/>
    <cellStyle name="Percent 5" xfId="42195"/>
    <cellStyle name="Percent 5 2" xfId="42196"/>
    <cellStyle name="Percent 5 2 2" xfId="42197"/>
    <cellStyle name="Percent 5 2 2 2" xfId="42198"/>
    <cellStyle name="Percent 5 2 2 3" xfId="42199"/>
    <cellStyle name="Percent 5 2 3" xfId="42200"/>
    <cellStyle name="Percent 5 2 4" xfId="42201"/>
    <cellStyle name="Percent 5 2 5" xfId="42202"/>
    <cellStyle name="Percent 5 2 6" xfId="42203"/>
    <cellStyle name="Percent 5 3" xfId="42204"/>
    <cellStyle name="Percent 5 3 2" xfId="42205"/>
    <cellStyle name="Percent 5 3 2 2" xfId="42206"/>
    <cellStyle name="Percent 5 3 3" xfId="42207"/>
    <cellStyle name="Percent 5 3 4" xfId="42208"/>
    <cellStyle name="Percent 5 3 5" xfId="42209"/>
    <cellStyle name="Percent 5 4" xfId="42210"/>
    <cellStyle name="Percent 5 4 2" xfId="42211"/>
    <cellStyle name="Percent 5 4 3" xfId="42212"/>
    <cellStyle name="Percent 5 4 4" xfId="42213"/>
    <cellStyle name="Percent 5 5" xfId="42214"/>
    <cellStyle name="Percent 5 5 2" xfId="42215"/>
    <cellStyle name="Percent 5 6" xfId="42216"/>
    <cellStyle name="Percent 5 7" xfId="42217"/>
    <cellStyle name="Percent 5 8" xfId="42218"/>
    <cellStyle name="Percent 5 9" xfId="42219"/>
    <cellStyle name="Percent 50" xfId="42220"/>
    <cellStyle name="Percent 51" xfId="42221"/>
    <cellStyle name="Percent 52" xfId="42327"/>
    <cellStyle name="Percent 53" xfId="42328"/>
    <cellStyle name="Percent 6" xfId="42222"/>
    <cellStyle name="Percent 6 2" xfId="42223"/>
    <cellStyle name="Percent 6 2 2" xfId="42224"/>
    <cellStyle name="Percent 6 2 2 2" xfId="42225"/>
    <cellStyle name="Percent 6 2 3" xfId="42226"/>
    <cellStyle name="Percent 6 2 4" xfId="42227"/>
    <cellStyle name="Percent 6 2 5" xfId="42228"/>
    <cellStyle name="Percent 6 3" xfId="42229"/>
    <cellStyle name="Percent 6 3 2" xfId="42230"/>
    <cellStyle name="Percent 6 3 3" xfId="42231"/>
    <cellStyle name="Percent 6 3 4" xfId="42232"/>
    <cellStyle name="Percent 6 4" xfId="42233"/>
    <cellStyle name="Percent 6 4 2" xfId="42234"/>
    <cellStyle name="Percent 6 5" xfId="42235"/>
    <cellStyle name="Percent 6 6" xfId="42236"/>
    <cellStyle name="Percent 6 7" xfId="42237"/>
    <cellStyle name="Percent 6 8" xfId="42238"/>
    <cellStyle name="Percent 7" xfId="42239"/>
    <cellStyle name="Percent 7 2" xfId="42240"/>
    <cellStyle name="Percent 7 2 2" xfId="42241"/>
    <cellStyle name="Percent 7 2 2 2" xfId="42242"/>
    <cellStyle name="Percent 7 2 3" xfId="42243"/>
    <cellStyle name="Percent 7 2 4" xfId="42244"/>
    <cellStyle name="Percent 7 2 5" xfId="42245"/>
    <cellStyle name="Percent 7 3" xfId="42246"/>
    <cellStyle name="Percent 7 3 2" xfId="42247"/>
    <cellStyle name="Percent 7 3 3" xfId="42248"/>
    <cellStyle name="Percent 7 3 4" xfId="42249"/>
    <cellStyle name="Percent 7 4" xfId="42250"/>
    <cellStyle name="Percent 7 4 2" xfId="42251"/>
    <cellStyle name="Percent 7 5" xfId="42252"/>
    <cellStyle name="Percent 7 6" xfId="42253"/>
    <cellStyle name="Percent 7 7" xfId="42254"/>
    <cellStyle name="Percent 7 8" xfId="42255"/>
    <cellStyle name="Percent 8" xfId="42256"/>
    <cellStyle name="Percent 8 2" xfId="42257"/>
    <cellStyle name="Percent 8 2 2" xfId="42258"/>
    <cellStyle name="Percent 8 2 3" xfId="42259"/>
    <cellStyle name="Percent 8 2 4" xfId="42260"/>
    <cellStyle name="Percent 8 3" xfId="42261"/>
    <cellStyle name="Percent 8 3 2" xfId="42262"/>
    <cellStyle name="Percent 8 4" xfId="42263"/>
    <cellStyle name="Percent 8 5" xfId="42264"/>
    <cellStyle name="Percent 8 6" xfId="42265"/>
    <cellStyle name="Percent 8 7" xfId="42266"/>
    <cellStyle name="Percent 9" xfId="42267"/>
    <cellStyle name="Percent 9 2" xfId="42268"/>
    <cellStyle name="Percent 9 2 2" xfId="42269"/>
    <cellStyle name="Percent 9 2 3" xfId="42270"/>
    <cellStyle name="Percent 9 2 4" xfId="42271"/>
    <cellStyle name="Percent 9 3" xfId="42272"/>
    <cellStyle name="Percent 9 3 2" xfId="42273"/>
    <cellStyle name="Percent 9 4" xfId="42274"/>
    <cellStyle name="Percent 9 5" xfId="42275"/>
    <cellStyle name="Percent 9 6" xfId="42276"/>
    <cellStyle name="PSChar" xfId="42277"/>
    <cellStyle name="PSDate" xfId="42278"/>
    <cellStyle name="PSDec" xfId="42279"/>
    <cellStyle name="PSdesc" xfId="42280"/>
    <cellStyle name="PSHeading" xfId="42281"/>
    <cellStyle name="PSInt" xfId="42282"/>
    <cellStyle name="PSSpacer" xfId="42283"/>
    <cellStyle name="PStest" xfId="42284"/>
    <cellStyle name="R00A" xfId="42285"/>
    <cellStyle name="R00B" xfId="42286"/>
    <cellStyle name="R00L" xfId="42287"/>
    <cellStyle name="R01A" xfId="42288"/>
    <cellStyle name="R01B" xfId="42289"/>
    <cellStyle name="R01H" xfId="42290"/>
    <cellStyle name="R01L" xfId="42291"/>
    <cellStyle name="R02A" xfId="42292"/>
    <cellStyle name="R02B" xfId="42293"/>
    <cellStyle name="R02H" xfId="42294"/>
    <cellStyle name="R02L" xfId="42295"/>
    <cellStyle name="R03A" xfId="42296"/>
    <cellStyle name="R03B" xfId="42297"/>
    <cellStyle name="R03H" xfId="42298"/>
    <cellStyle name="R03L" xfId="42299"/>
    <cellStyle name="R04A" xfId="42300"/>
    <cellStyle name="R04B" xfId="42301"/>
    <cellStyle name="R04H" xfId="42302"/>
    <cellStyle name="R04L" xfId="42303"/>
    <cellStyle name="R05A" xfId="42304"/>
    <cellStyle name="R05B" xfId="42305"/>
    <cellStyle name="R05H" xfId="42306"/>
    <cellStyle name="R05L" xfId="42307"/>
    <cellStyle name="R06A" xfId="42308"/>
    <cellStyle name="R06B" xfId="42309"/>
    <cellStyle name="R06H" xfId="42310"/>
    <cellStyle name="R06L" xfId="42311"/>
    <cellStyle name="R07A" xfId="42312"/>
    <cellStyle name="R07B" xfId="42313"/>
    <cellStyle name="R07H" xfId="42314"/>
    <cellStyle name="R07L" xfId="42315"/>
    <cellStyle name="Staff_Days" xfId="42316"/>
    <cellStyle name="STYL1 - Style1" xfId="42317"/>
    <cellStyle name="Total 2" xfId="42318"/>
  </cellStyles>
  <dxfs count="49">
    <dxf>
      <font>
        <strike val="0"/>
        <outline val="0"/>
        <shadow val="0"/>
        <u val="none"/>
        <vertAlign val="baseline"/>
        <sz val="10"/>
        <color auto="1"/>
        <name val="Calibri"/>
        <scheme val="none"/>
      </font>
    </dxf>
    <dxf>
      <font>
        <strike val="0"/>
        <outline val="0"/>
        <shadow val="0"/>
        <u val="none"/>
        <vertAlign val="baseline"/>
        <sz val="10"/>
        <color auto="1"/>
        <name val="Calibri"/>
        <scheme val="none"/>
      </font>
      <fill>
        <patternFill patternType="none">
          <fgColor rgb="FF000000"/>
          <bgColor rgb="FFFFFFFF"/>
        </patternFill>
      </fill>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dxf>
    <dxf>
      <font>
        <b/>
        <i val="0"/>
        <strike val="0"/>
        <condense val="0"/>
        <extend val="0"/>
        <outline val="0"/>
        <shadow val="0"/>
        <u val="none"/>
        <vertAlign val="baseline"/>
        <sz val="10"/>
        <color auto="1"/>
        <name val="Calibri"/>
        <scheme val="none"/>
      </font>
      <alignment horizontal="center" vertical="bottom" textRotation="0" indent="0" justifyLastLine="0" shrinkToFit="0" readingOrder="1"/>
    </dxf>
    <dxf>
      <font>
        <b val="0"/>
        <i val="0"/>
        <strike val="0"/>
        <condense val="0"/>
        <extend val="0"/>
        <outline val="0"/>
        <shadow val="0"/>
        <u val="none"/>
        <vertAlign val="baseline"/>
        <sz val="11"/>
        <color theme="1"/>
        <name val="Calibri"/>
        <scheme val="none"/>
      </font>
      <fill>
        <patternFill patternType="none">
          <fgColor indexed="64"/>
          <bgColor indexed="65"/>
        </patternFill>
      </fill>
      <border diagonalUp="0" diagonalDown="0" outline="0">
        <left/>
        <right style="medium">
          <color indexed="64"/>
        </right>
        <top/>
        <bottom/>
      </border>
    </dxf>
    <dxf>
      <alignment horizontal="general"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alignmen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ill>
        <patternFill patternType="none">
          <fgColor rgb="FF000000"/>
          <bgColor rgb="FFFFFFFF"/>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border diagonalUp="0" diagonalDown="0" outline="0">
        <left/>
        <right/>
        <top/>
        <bottom/>
      </border>
    </dxf>
    <dxf>
      <fill>
        <patternFill patternType="none">
          <fgColor rgb="FF000000"/>
          <bgColor rgb="FFFFFFFF"/>
        </patternFill>
      </fill>
      <alignmen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ill>
        <patternFill patternType="none">
          <fgColor rgb="FF000000"/>
          <bgColor rgb="FFFFFFFF"/>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border diagonalUp="0" diagonalDown="0" outline="0">
        <left/>
        <right/>
        <top/>
        <bottom/>
      </border>
    </dxf>
    <dxf>
      <alignmen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border diagonalUp="0" diagonalDown="0" outline="0">
        <left/>
        <right/>
        <top/>
        <bottom/>
      </border>
    </dxf>
    <dxf>
      <alignment vertical="top" textRotation="0" indent="0" justifyLastLine="0" shrinkToFit="0" readingOrder="0"/>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border diagonalUp="0" diagonalDown="0" outline="0">
        <left/>
        <right/>
        <top/>
        <bottom/>
      </border>
    </dxf>
    <dxf>
      <fill>
        <patternFill patternType="none">
          <fgColor rgb="FF000000"/>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top" textRotation="0" wrapText="0" indent="0" justifyLastLine="0" shrinkToFit="0" readingOrder="0"/>
      <border diagonalUp="0" diagonalDown="0" outline="0">
        <left style="medium">
          <color indexed="64"/>
        </left>
        <right/>
        <top/>
        <bottom/>
      </border>
    </dxf>
    <dxf>
      <fill>
        <patternFill patternType="none">
          <fgColor rgb="FF000000"/>
          <bgColor rgb="FFFFFFFF"/>
        </patternFill>
      </fill>
      <alignment horizontal="center" vertical="top" textRotation="0" wrapText="0" indent="0" justifyLastLine="0" shrinkToFit="0" readingOrder="1"/>
      <border diagonalUp="0" diagonalDown="0">
        <left style="medium">
          <color indexed="64"/>
        </left>
        <right/>
        <top/>
        <bottom/>
        <vertical/>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alignment horizontal="left" vertical="top" textRotation="0" wrapText="0" indent="0" justifyLastLine="0" shrinkToFit="0" readingOrder="0"/>
    </dxf>
    <dxf>
      <font>
        <b/>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1"/>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2" defaultTableStyle="TableStyleMedium2" defaultPivotStyle="PivotStyleLight16">
    <tableStyle name="TableStyleLight1 2" pivot="0" count="7">
      <tableStyleElement type="wholeTable" dxfId="48"/>
      <tableStyleElement type="headerRow" dxfId="47"/>
      <tableStyleElement type="totalRow" dxfId="46"/>
      <tableStyleElement type="firstColumn" dxfId="45"/>
      <tableStyleElement type="lastColumn" dxfId="44"/>
      <tableStyleElement type="firstRowStripe" dxfId="43"/>
      <tableStyleElement type="firstColumnStripe" dxfId="42"/>
    </tableStyle>
    <tableStyle name="TableStyleLight1 3" pivot="0" count="7">
      <tableStyleElement type="wholeTable" dxfId="41"/>
      <tableStyleElement type="headerRow" dxfId="40"/>
      <tableStyleElement type="totalRow" dxfId="39"/>
      <tableStyleElement type="firstColumn" dxfId="38"/>
      <tableStyleElement type="lastColumn" dxfId="37"/>
      <tableStyleElement type="firstRowStripe" dxfId="36"/>
      <tableStyleElement type="firstColumnStripe" dxfId="35"/>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81014</xdr:colOff>
      <xdr:row>1</xdr:row>
      <xdr:rowOff>265545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69787" cy="8543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ates\Transmission\Rate17\Draft%20Data\2017%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baker/Desktop/Reg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Summary 2020 est"/>
      <sheetName val="WAUGP-ATRR 2020 est"/>
      <sheetName val="WAUGP-AS1 2020 est"/>
      <sheetName val="Facilities 2020 est"/>
      <sheetName val="FACILITIES - Included Per AI"/>
      <sheetName val="FACILITIES - Excluded Per AI"/>
      <sheetName val="Facilities Changes 2020"/>
      <sheetName val="WAUW-AS3 2020 est"/>
      <sheetName val="Cost Data 2020 est"/>
      <sheetName val="WAUW-AS5&amp;6 2020 est"/>
      <sheetName val="SSCD Facilities 2020 est"/>
      <sheetName val="Base Plan Upgrades Zonal"/>
      <sheetName val="Base Plan Upgrades Regional"/>
      <sheetName val="Annual Allocator 2020 est"/>
      <sheetName val="Base Plan Upgrades 2020 est"/>
    </sheetNames>
    <sheetDataSet>
      <sheetData sheetId="0"/>
      <sheetData sheetId="1"/>
      <sheetData sheetId="2"/>
      <sheetData sheetId="3"/>
      <sheetData sheetId="4">
        <row r="215">
          <cell r="F215">
            <v>7671000</v>
          </cell>
        </row>
      </sheetData>
      <sheetData sheetId="5"/>
      <sheetData sheetId="6"/>
      <sheetData sheetId="7"/>
      <sheetData sheetId="8"/>
      <sheetData sheetId="9">
        <row r="25">
          <cell r="K25">
            <v>509668.47616130515</v>
          </cell>
        </row>
        <row r="49">
          <cell r="K49">
            <v>157688.57813986941</v>
          </cell>
        </row>
      </sheetData>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3" name="Table142424" displayName="Table142424" ref="A5:N789" totalsRowCount="1" headerRowDxfId="34">
  <tableColumns count="14">
    <tableColumn id="1" name="FID" dataDxfId="33" totalsRowDxfId="32"/>
    <tableColumn id="14" name="Line No." dataDxfId="31" totalsRowDxfId="30"/>
    <tableColumn id="2" name="Facility" dataDxfId="29" totalsRowDxfId="28"/>
    <tableColumn id="3" name="Specific Plant Included" dataDxfId="27" totalsRowDxfId="26"/>
    <tableColumn id="4" name="East or West" dataDxfId="25" totalsRowDxfId="24"/>
    <tableColumn id="5" name="Costs" dataDxfId="23" totalsRowDxfId="22" dataCellStyle="Currency"/>
    <tableColumn id="6" name="1" dataDxfId="21" totalsRowDxfId="20"/>
    <tableColumn id="7" name="1(b)" dataDxfId="19" totalsRowDxfId="18"/>
    <tableColumn id="8" name="2" dataDxfId="17" totalsRowDxfId="16"/>
    <tableColumn id="9" name="3" dataDxfId="15" totalsRowDxfId="14"/>
    <tableColumn id="10" name="4" dataDxfId="13" totalsRowDxfId="12"/>
    <tableColumn id="11" name="5" dataDxfId="11" totalsRowDxfId="10"/>
    <tableColumn id="12" name="6" dataDxfId="9" totalsRowDxfId="8" dataCellStyle="Currency"/>
    <tableColumn id="13" name="Further Description" dataDxfId="7" totalsRowDxfId="6"/>
  </tableColumns>
  <tableStyleInfo name="TableStyleLight1 2" showFirstColumn="0" showLastColumn="0" showRowStripes="1" showColumnStripes="0"/>
</table>
</file>

<file path=xl/tables/table2.xml><?xml version="1.0" encoding="utf-8"?>
<table xmlns="http://schemas.openxmlformats.org/spreadsheetml/2006/main" id="4" name="Table13535" displayName="Table13535" ref="B4:E180" totalsRowShown="0" headerRowDxfId="5" dataDxfId="4">
  <tableColumns count="4">
    <tableColumn id="1" name="Column1" dataDxfId="3"/>
    <tableColumn id="2" name="Facility" dataDxfId="2"/>
    <tableColumn id="3" name="Specific Plant NOT Included" dataDxfId="1"/>
    <tableColumn id="13" name="Further Description" dataDxfId="0"/>
  </tableColumns>
  <tableStyleInfo name="TableStyleLight1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tabSelected="1" view="pageBreakPreview" zoomScale="110" zoomScaleNormal="100" zoomScaleSheetLayoutView="110" workbookViewId="0">
      <selection activeCell="A6" sqref="A6:D6"/>
    </sheetView>
  </sheetViews>
  <sheetFormatPr defaultRowHeight="14.5"/>
  <cols>
    <col min="1" max="1" width="55.26953125" customWidth="1"/>
    <col min="2" max="3" width="18.7265625" customWidth="1"/>
    <col min="4" max="4" width="30.7265625" customWidth="1"/>
    <col min="5" max="5" width="36" customWidth="1"/>
    <col min="6" max="6" width="15.26953125" bestFit="1" customWidth="1"/>
    <col min="7" max="7" width="14.54296875" bestFit="1" customWidth="1"/>
    <col min="8" max="8" width="24.1796875" bestFit="1" customWidth="1"/>
    <col min="10" max="10" width="13.26953125" bestFit="1" customWidth="1"/>
  </cols>
  <sheetData>
    <row r="1" spans="1:4" ht="46">
      <c r="A1" s="833"/>
      <c r="B1" s="833"/>
      <c r="C1" s="833"/>
      <c r="D1" s="833"/>
    </row>
    <row r="2" spans="1:4" ht="46">
      <c r="A2" s="833"/>
      <c r="B2" s="833"/>
      <c r="C2" s="833"/>
      <c r="D2" s="833"/>
    </row>
    <row r="3" spans="1:4" ht="46">
      <c r="A3" s="833" t="s">
        <v>2553</v>
      </c>
      <c r="B3" s="833"/>
      <c r="C3" s="833"/>
      <c r="D3" s="833"/>
    </row>
    <row r="4" spans="1:4" ht="36">
      <c r="A4" s="834" t="s">
        <v>2554</v>
      </c>
      <c r="B4" s="834"/>
      <c r="C4" s="834"/>
      <c r="D4" s="834"/>
    </row>
    <row r="5" spans="1:4" ht="46">
      <c r="A5" s="833" t="s">
        <v>1494</v>
      </c>
      <c r="B5" s="833"/>
      <c r="C5" s="833"/>
      <c r="D5" s="833"/>
    </row>
    <row r="6" spans="1:4" ht="46">
      <c r="A6" s="833" t="s">
        <v>1496</v>
      </c>
      <c r="B6" s="833"/>
      <c r="C6" s="833"/>
      <c r="D6" s="833"/>
    </row>
    <row r="7" spans="1:4" ht="46">
      <c r="A7" s="754"/>
      <c r="B7" s="754"/>
      <c r="C7" s="753"/>
      <c r="D7" s="753"/>
    </row>
    <row r="8" spans="1:4" ht="46">
      <c r="A8" s="833" t="s">
        <v>2584</v>
      </c>
      <c r="B8" s="833"/>
      <c r="C8" s="833"/>
      <c r="D8" s="833"/>
    </row>
    <row r="9" spans="1:4" ht="46">
      <c r="A9" s="754"/>
      <c r="B9" s="754"/>
      <c r="C9" s="753"/>
      <c r="D9" s="753"/>
    </row>
    <row r="10" spans="1:4" ht="46">
      <c r="A10" s="833" t="s">
        <v>2588</v>
      </c>
      <c r="B10" s="833"/>
      <c r="C10" s="833"/>
      <c r="D10" s="833"/>
    </row>
    <row r="11" spans="1:4">
      <c r="A11" s="835" t="s">
        <v>2551</v>
      </c>
      <c r="B11" s="835"/>
      <c r="C11" s="835"/>
      <c r="D11" s="835"/>
    </row>
    <row r="12" spans="1:4">
      <c r="A12" s="830"/>
      <c r="B12" s="830"/>
      <c r="C12" s="830"/>
      <c r="D12" s="830"/>
    </row>
    <row r="13" spans="1:4">
      <c r="A13" s="830"/>
      <c r="B13" s="830"/>
      <c r="C13" s="830"/>
      <c r="D13" s="830"/>
    </row>
    <row r="14" spans="1:4">
      <c r="A14" s="835" t="s">
        <v>2552</v>
      </c>
      <c r="B14" s="835"/>
      <c r="C14" s="835"/>
      <c r="D14" s="835"/>
    </row>
    <row r="15" spans="1:4">
      <c r="A15" s="835" t="s">
        <v>1495</v>
      </c>
      <c r="B15" s="835"/>
      <c r="C15" s="835"/>
      <c r="D15" s="835"/>
    </row>
    <row r="16" spans="1:4">
      <c r="A16" s="830"/>
      <c r="B16" s="830"/>
      <c r="C16" s="830"/>
      <c r="D16" s="830"/>
    </row>
    <row r="17" spans="1:4">
      <c r="A17" s="873" t="s">
        <v>2593</v>
      </c>
      <c r="B17" s="873" t="s">
        <v>2594</v>
      </c>
      <c r="C17" s="830"/>
      <c r="D17" s="830"/>
    </row>
    <row r="18" spans="1:4">
      <c r="A18" s="753" t="s">
        <v>2592</v>
      </c>
      <c r="B18" s="832" t="s">
        <v>2595</v>
      </c>
      <c r="C18" s="832"/>
      <c r="D18" s="832"/>
    </row>
    <row r="19" spans="1:4">
      <c r="A19" s="753" t="s">
        <v>2569</v>
      </c>
      <c r="B19" s="832" t="s">
        <v>2596</v>
      </c>
      <c r="C19" s="832"/>
      <c r="D19" s="832"/>
    </row>
    <row r="20" spans="1:4">
      <c r="A20" s="753" t="s">
        <v>2570</v>
      </c>
      <c r="B20" s="832" t="s">
        <v>2597</v>
      </c>
      <c r="C20" s="832"/>
      <c r="D20" s="832"/>
    </row>
    <row r="21" spans="1:4">
      <c r="A21" s="753" t="s">
        <v>2571</v>
      </c>
      <c r="B21" s="832" t="s">
        <v>2598</v>
      </c>
      <c r="C21" s="832"/>
      <c r="D21" s="832"/>
    </row>
    <row r="22" spans="1:4">
      <c r="A22" s="753" t="s">
        <v>2572</v>
      </c>
      <c r="B22" s="832" t="s">
        <v>2600</v>
      </c>
      <c r="C22" s="832"/>
      <c r="D22" s="832"/>
    </row>
    <row r="23" spans="1:4">
      <c r="A23" s="753" t="s">
        <v>2573</v>
      </c>
      <c r="B23" s="829" t="s">
        <v>2601</v>
      </c>
      <c r="C23" s="755"/>
      <c r="D23" s="755"/>
    </row>
    <row r="24" spans="1:4">
      <c r="A24" s="753" t="s">
        <v>2574</v>
      </c>
      <c r="B24" s="832" t="s">
        <v>2602</v>
      </c>
      <c r="C24" s="832"/>
      <c r="D24" s="832"/>
    </row>
    <row r="25" spans="1:4">
      <c r="A25" s="753" t="s">
        <v>2575</v>
      </c>
      <c r="B25" s="829" t="s">
        <v>2603</v>
      </c>
      <c r="C25" s="755"/>
      <c r="D25" s="755"/>
    </row>
    <row r="26" spans="1:4">
      <c r="A26" s="753" t="s">
        <v>2576</v>
      </c>
      <c r="B26" s="832" t="s">
        <v>2599</v>
      </c>
      <c r="C26" s="832"/>
      <c r="D26" s="832"/>
    </row>
    <row r="27" spans="1:4">
      <c r="A27" s="753" t="s">
        <v>2577</v>
      </c>
      <c r="B27" s="832" t="s">
        <v>2604</v>
      </c>
      <c r="C27" s="832"/>
      <c r="D27" s="832"/>
    </row>
    <row r="28" spans="1:4">
      <c r="A28" s="753" t="s">
        <v>2578</v>
      </c>
      <c r="B28" s="756" t="s">
        <v>2605</v>
      </c>
      <c r="C28" s="753"/>
      <c r="D28" s="753"/>
    </row>
    <row r="29" spans="1:4">
      <c r="A29" s="753" t="s">
        <v>2579</v>
      </c>
      <c r="B29" s="756" t="s">
        <v>2606</v>
      </c>
      <c r="C29" s="753"/>
      <c r="D29" s="753"/>
    </row>
    <row r="30" spans="1:4">
      <c r="A30" s="753" t="s">
        <v>2580</v>
      </c>
      <c r="B30" s="756" t="s">
        <v>2607</v>
      </c>
      <c r="C30" s="753"/>
      <c r="D30" s="753"/>
    </row>
    <row r="31" spans="1:4">
      <c r="A31" s="753" t="s">
        <v>2581</v>
      </c>
      <c r="B31" s="832" t="s">
        <v>2608</v>
      </c>
      <c r="C31" s="832"/>
      <c r="D31" s="832"/>
    </row>
    <row r="32" spans="1:4">
      <c r="A32" s="753" t="s">
        <v>2582</v>
      </c>
      <c r="B32" s="832" t="s">
        <v>2609</v>
      </c>
      <c r="C32" s="832"/>
      <c r="D32" s="832"/>
    </row>
    <row r="33" spans="1:4">
      <c r="A33" s="753" t="s">
        <v>2583</v>
      </c>
      <c r="B33" s="756" t="s">
        <v>2610</v>
      </c>
      <c r="C33" s="753"/>
      <c r="D33" s="753"/>
    </row>
  </sheetData>
  <mergeCells count="21">
    <mergeCell ref="A3:D3"/>
    <mergeCell ref="A4:D4"/>
    <mergeCell ref="B22:D22"/>
    <mergeCell ref="A1:D1"/>
    <mergeCell ref="A5:D5"/>
    <mergeCell ref="A6:D6"/>
    <mergeCell ref="A8:D8"/>
    <mergeCell ref="A10:D10"/>
    <mergeCell ref="A11:D11"/>
    <mergeCell ref="A15:D15"/>
    <mergeCell ref="B18:D18"/>
    <mergeCell ref="B19:D19"/>
    <mergeCell ref="B20:D20"/>
    <mergeCell ref="B21:D21"/>
    <mergeCell ref="A14:D14"/>
    <mergeCell ref="A2:D2"/>
    <mergeCell ref="B31:D31"/>
    <mergeCell ref="B32:D32"/>
    <mergeCell ref="B24:D24"/>
    <mergeCell ref="B26:D26"/>
    <mergeCell ref="B27:D27"/>
  </mergeCells>
  <hyperlinks>
    <hyperlink ref="B18:D18" location="'Summary-TrueUp'!A1" display="Worksheet &quot;Summary-TrueUp&quot; -- Calculation of True-ups"/>
    <hyperlink ref="B19:D19" location="'WS1-RateBase'!A1" display="Worksheet 1 -- Calculation of Rate Base"/>
    <hyperlink ref="B20:D20" location="'WS2-AllocFactor'!A1" display="Worksheet 2 -- Allocation Factors"/>
    <hyperlink ref="B21:D21" location="'WS3-RevCredits'!A1" display="Worksheet 3 -- Revenue Credit detail"/>
    <hyperlink ref="B22:D22" location="'WS4-CostData'!A1" display="Worksheet 4 - Cost Support Data"/>
    <hyperlink ref="B23" location="'WS5-BPUz'!A1" display="Worksheet 5 - SPP Base Plan Upgrades (BPU) - Zonal"/>
    <hyperlink ref="B24:D24" location="'WS6-BPUr'!A1" display="Worksheet 6 - SPP Base Plan Upgrades (BPU) - Regional"/>
    <hyperlink ref="B25" location="'WS7-BPUFac'!A1" display="Worksheet 7 - SPP Base Plan Upgrades (BPU) - Facilities"/>
    <hyperlink ref="B26:D26" location="'WS8-TranFac'!A1" display="Worksheet 8 - Transmission Facilities"/>
    <hyperlink ref="B27:D27" location="'WS9-AI-Incl'!A1" display="Worksheet 9 - WAPA-UGP Facilities Included per SPP Tariff Attachment AI"/>
    <hyperlink ref="B28" location="'WS10-AI-Excl'!A1" display="Worksheet 10 - WAPA-UGP Facilities Excluded per SPP Tariff Attachment AI"/>
    <hyperlink ref="B29" location="'WS11-FacChanges'!A1" display="Worksheet 11 - Facility Changes Detail"/>
    <hyperlink ref="B30" location="'WS12-SSCD'!A1" display="Worksheet 12 - Scheduling, System Control and Dispatch Service (SSCD) ARR"/>
    <hyperlink ref="B31:D31" location="'WS13-SSCDFac'!A1" display="Worksheet 13 - Scheduling, System Conrol and Dispatch Service (SSCD) Facilities"/>
    <hyperlink ref="B32:D32" location="'WS14-Reg'!A1" display="Worksheet 14 - Regulaton and Frequency Response ARR"/>
    <hyperlink ref="B33" location="'WS15-Res'!A1" display="Worksheet 15 - Reserves ARR"/>
  </hyperlinks>
  <printOptions horizontalCentered="1" verticalCentered="1"/>
  <pageMargins left="0.7" right="0.7" top="0.75" bottom="0.75" header="0.3" footer="0.3"/>
  <pageSetup scale="73"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83"/>
  <sheetViews>
    <sheetView view="pageBreakPreview" zoomScale="110" zoomScaleNormal="90" zoomScaleSheetLayoutView="110" zoomScalePageLayoutView="90" workbookViewId="0"/>
  </sheetViews>
  <sheetFormatPr defaultColWidth="9.1796875" defaultRowHeight="13" outlineLevelRow="2"/>
  <cols>
    <col min="1" max="2" width="9.1796875" style="11"/>
    <col min="3" max="3" width="8" style="17" customWidth="1"/>
    <col min="4" max="4" width="42.81640625" style="12" customWidth="1"/>
    <col min="5" max="5" width="16.1796875" style="13" customWidth="1"/>
    <col min="6" max="6" width="18.26953125" style="13" customWidth="1"/>
    <col min="7" max="8" width="14.7265625" style="13" customWidth="1"/>
    <col min="9" max="9" width="23.54296875" style="14" customWidth="1"/>
    <col min="10" max="10" width="20.7265625" style="17" customWidth="1"/>
    <col min="11" max="11" width="13.54296875" style="12" bestFit="1" customWidth="1"/>
    <col min="12" max="12" width="12.1796875" style="11" customWidth="1"/>
    <col min="13" max="13" width="12" style="11" customWidth="1"/>
    <col min="14" max="15" width="9.1796875" style="12" customWidth="1"/>
    <col min="16" max="16" width="12.453125" style="12" bestFit="1" customWidth="1"/>
    <col min="17" max="16384" width="9.1796875" style="12"/>
  </cols>
  <sheetData>
    <row r="1" spans="1:13" s="3" customFormat="1">
      <c r="A1" s="1" t="str">
        <f>'Cover Sheets'!A10:D10</f>
        <v>WAPA-UGP 2018 Rate True-up Calculation</v>
      </c>
      <c r="B1" s="1"/>
      <c r="C1" s="2"/>
      <c r="E1" s="4"/>
      <c r="F1" s="4"/>
      <c r="G1" s="4"/>
      <c r="H1" s="4"/>
      <c r="I1" s="5"/>
    </row>
    <row r="2" spans="1:13" s="3" customFormat="1">
      <c r="A2" s="1" t="s">
        <v>2562</v>
      </c>
      <c r="B2" s="1"/>
      <c r="C2" s="2"/>
      <c r="E2" s="4"/>
      <c r="F2" s="4"/>
      <c r="G2" s="4"/>
      <c r="H2" s="4"/>
      <c r="I2" s="5"/>
    </row>
    <row r="3" spans="1:13" s="6" customFormat="1">
      <c r="A3" s="1" t="str">
        <f>'Summary-TrueUp'!A3</f>
        <v>12 Months Ending 09/30/2018 True-up</v>
      </c>
      <c r="B3" s="1"/>
      <c r="C3" s="3"/>
      <c r="E3" s="4"/>
      <c r="F3" s="4"/>
      <c r="G3" s="4"/>
      <c r="H3" s="4"/>
      <c r="I3" s="7"/>
      <c r="J3" s="3"/>
      <c r="K3" s="3"/>
      <c r="L3" s="3"/>
      <c r="M3" s="3"/>
    </row>
    <row r="4" spans="1:13" s="3" customFormat="1" ht="27.75" customHeight="1">
      <c r="A4" s="3" t="s">
        <v>0</v>
      </c>
      <c r="C4" s="8" t="s">
        <v>1</v>
      </c>
      <c r="D4" s="9" t="s">
        <v>2</v>
      </c>
      <c r="E4" s="10" t="s">
        <v>4</v>
      </c>
      <c r="F4" s="10" t="s">
        <v>5</v>
      </c>
      <c r="G4" s="10" t="s">
        <v>6</v>
      </c>
      <c r="H4" s="10" t="s">
        <v>2502</v>
      </c>
      <c r="I4" s="520" t="s">
        <v>2436</v>
      </c>
      <c r="J4" s="8" t="s">
        <v>7</v>
      </c>
      <c r="M4" s="8"/>
    </row>
    <row r="5" spans="1:13" ht="13.5" customHeight="1" outlineLevel="2">
      <c r="A5" s="11">
        <v>1</v>
      </c>
      <c r="B5" s="11" t="s">
        <v>8</v>
      </c>
      <c r="C5" s="12" t="s">
        <v>9</v>
      </c>
      <c r="D5" s="12" t="s">
        <v>10</v>
      </c>
      <c r="E5" s="13">
        <v>133157.92000000001</v>
      </c>
      <c r="F5" s="14">
        <v>0</v>
      </c>
      <c r="G5" s="14">
        <v>0</v>
      </c>
      <c r="H5" s="14"/>
      <c r="I5" s="14">
        <f t="shared" ref="I5:I36" si="0">SUM(E5:G5)</f>
        <v>133157.92000000001</v>
      </c>
      <c r="J5" s="12"/>
      <c r="K5" s="11"/>
      <c r="M5" s="15"/>
    </row>
    <row r="6" spans="1:13" outlineLevel="2">
      <c r="A6" s="11">
        <f t="shared" ref="A6:A69" si="1">A5+1</f>
        <v>2</v>
      </c>
      <c r="B6" s="11" t="s">
        <v>8</v>
      </c>
      <c r="C6" s="12" t="s">
        <v>12</v>
      </c>
      <c r="D6" s="12" t="s">
        <v>13</v>
      </c>
      <c r="E6" s="13">
        <v>96623.18</v>
      </c>
      <c r="F6" s="14">
        <v>0</v>
      </c>
      <c r="G6" s="14">
        <v>0</v>
      </c>
      <c r="H6" s="14"/>
      <c r="I6" s="14">
        <f t="shared" si="0"/>
        <v>96623.18</v>
      </c>
      <c r="J6" s="12"/>
      <c r="K6" s="11"/>
      <c r="M6" s="15"/>
    </row>
    <row r="7" spans="1:13" ht="12.75" customHeight="1" outlineLevel="2">
      <c r="A7" s="11">
        <f t="shared" si="1"/>
        <v>3</v>
      </c>
      <c r="B7" s="11" t="s">
        <v>8</v>
      </c>
      <c r="C7" s="12" t="s">
        <v>14</v>
      </c>
      <c r="D7" s="12" t="s">
        <v>15</v>
      </c>
      <c r="E7" s="13">
        <v>459778.46</v>
      </c>
      <c r="F7" s="14">
        <v>0</v>
      </c>
      <c r="G7" s="14">
        <v>0</v>
      </c>
      <c r="H7" s="14"/>
      <c r="I7" s="14">
        <f t="shared" si="0"/>
        <v>459778.46</v>
      </c>
      <c r="J7" s="12"/>
      <c r="K7" s="11"/>
      <c r="M7" s="15"/>
    </row>
    <row r="8" spans="1:13" outlineLevel="2">
      <c r="A8" s="11">
        <f t="shared" si="1"/>
        <v>4</v>
      </c>
      <c r="B8" s="11" t="s">
        <v>8</v>
      </c>
      <c r="C8" s="16" t="s">
        <v>16</v>
      </c>
      <c r="D8" s="12" t="s">
        <v>17</v>
      </c>
      <c r="E8" s="13">
        <v>357312.09</v>
      </c>
      <c r="F8" s="14">
        <v>0</v>
      </c>
      <c r="G8" s="14">
        <v>0</v>
      </c>
      <c r="H8" s="14"/>
      <c r="I8" s="14">
        <f t="shared" si="0"/>
        <v>357312.09</v>
      </c>
      <c r="J8" s="16"/>
      <c r="K8" s="11"/>
      <c r="M8" s="15"/>
    </row>
    <row r="9" spans="1:13" outlineLevel="2">
      <c r="A9" s="11">
        <f t="shared" si="1"/>
        <v>5</v>
      </c>
      <c r="B9" s="11" t="s">
        <v>8</v>
      </c>
      <c r="C9" s="17" t="s">
        <v>18</v>
      </c>
      <c r="D9" s="12" t="s">
        <v>19</v>
      </c>
      <c r="E9" s="13">
        <v>5076896.62</v>
      </c>
      <c r="F9" s="14">
        <v>0</v>
      </c>
      <c r="G9" s="14">
        <v>0</v>
      </c>
      <c r="H9" s="14"/>
      <c r="I9" s="14">
        <f t="shared" si="0"/>
        <v>5076896.62</v>
      </c>
      <c r="K9" s="11"/>
      <c r="M9" s="15"/>
    </row>
    <row r="10" spans="1:13" outlineLevel="2">
      <c r="A10" s="11">
        <f t="shared" si="1"/>
        <v>6</v>
      </c>
      <c r="B10" s="11" t="s">
        <v>8</v>
      </c>
      <c r="C10" s="17" t="s">
        <v>20</v>
      </c>
      <c r="D10" s="12" t="s">
        <v>21</v>
      </c>
      <c r="E10" s="13">
        <v>9755199.8900000006</v>
      </c>
      <c r="F10" s="14">
        <v>0</v>
      </c>
      <c r="G10" s="14">
        <v>0</v>
      </c>
      <c r="H10" s="14"/>
      <c r="I10" s="14">
        <f t="shared" si="0"/>
        <v>9755199.8900000006</v>
      </c>
      <c r="K10" s="11"/>
    </row>
    <row r="11" spans="1:13" outlineLevel="2">
      <c r="A11" s="11">
        <f t="shared" si="1"/>
        <v>7</v>
      </c>
      <c r="B11" s="11" t="s">
        <v>8</v>
      </c>
      <c r="C11" s="17" t="s">
        <v>22</v>
      </c>
      <c r="D11" s="12" t="s">
        <v>23</v>
      </c>
      <c r="E11" s="13">
        <v>4229572.28</v>
      </c>
      <c r="F11" s="14">
        <v>0</v>
      </c>
      <c r="G11" s="14">
        <v>0</v>
      </c>
      <c r="H11" s="14"/>
      <c r="I11" s="14">
        <f t="shared" si="0"/>
        <v>4229572.28</v>
      </c>
      <c r="K11" s="11"/>
      <c r="M11" s="15"/>
    </row>
    <row r="12" spans="1:13" outlineLevel="2">
      <c r="A12" s="11">
        <f>A11+1</f>
        <v>8</v>
      </c>
      <c r="B12" s="11" t="s">
        <v>8</v>
      </c>
      <c r="C12" s="17" t="s">
        <v>24</v>
      </c>
      <c r="D12" s="12" t="s">
        <v>25</v>
      </c>
      <c r="E12" s="13">
        <v>12764457.25</v>
      </c>
      <c r="F12" s="14">
        <v>0</v>
      </c>
      <c r="G12" s="14">
        <v>0</v>
      </c>
      <c r="H12" s="14"/>
      <c r="I12" s="14">
        <f t="shared" si="0"/>
        <v>12764457.25</v>
      </c>
      <c r="K12" s="11"/>
    </row>
    <row r="13" spans="1:13" outlineLevel="2">
      <c r="A13" s="11">
        <f t="shared" si="1"/>
        <v>9</v>
      </c>
      <c r="B13" s="11" t="s">
        <v>8</v>
      </c>
      <c r="C13" s="17" t="s">
        <v>26</v>
      </c>
      <c r="D13" s="12" t="s">
        <v>27</v>
      </c>
      <c r="E13" s="13">
        <v>2587517.9900000002</v>
      </c>
      <c r="F13" s="14">
        <v>0</v>
      </c>
      <c r="G13" s="14">
        <v>0</v>
      </c>
      <c r="H13" s="14"/>
      <c r="I13" s="14">
        <f t="shared" si="0"/>
        <v>2587517.9900000002</v>
      </c>
      <c r="K13" s="11"/>
      <c r="M13" s="15"/>
    </row>
    <row r="14" spans="1:13" outlineLevel="2">
      <c r="A14" s="11">
        <f t="shared" si="1"/>
        <v>10</v>
      </c>
      <c r="B14" s="11" t="s">
        <v>8</v>
      </c>
      <c r="C14" s="17" t="s">
        <v>28</v>
      </c>
      <c r="D14" s="12" t="s">
        <v>29</v>
      </c>
      <c r="E14" s="13">
        <v>1718240.27</v>
      </c>
      <c r="F14" s="14">
        <v>0</v>
      </c>
      <c r="G14" s="14">
        <v>0</v>
      </c>
      <c r="H14" s="14"/>
      <c r="I14" s="14">
        <f t="shared" si="0"/>
        <v>1718240.27</v>
      </c>
      <c r="K14" s="11"/>
      <c r="M14" s="15"/>
    </row>
    <row r="15" spans="1:13" outlineLevel="2">
      <c r="A15" s="11">
        <f t="shared" si="1"/>
        <v>11</v>
      </c>
      <c r="B15" s="11" t="s">
        <v>8</v>
      </c>
      <c r="C15" s="17" t="s">
        <v>30</v>
      </c>
      <c r="D15" s="12" t="s">
        <v>31</v>
      </c>
      <c r="E15" s="13">
        <v>3318557.94</v>
      </c>
      <c r="F15" s="14">
        <v>0</v>
      </c>
      <c r="G15" s="14">
        <v>0</v>
      </c>
      <c r="H15" s="14"/>
      <c r="I15" s="14">
        <f t="shared" si="0"/>
        <v>3318557.94</v>
      </c>
      <c r="K15" s="11"/>
      <c r="M15" s="15"/>
    </row>
    <row r="16" spans="1:13" outlineLevel="2">
      <c r="A16" s="11">
        <f t="shared" si="1"/>
        <v>12</v>
      </c>
      <c r="B16" s="11" t="s">
        <v>8</v>
      </c>
      <c r="C16" s="17" t="s">
        <v>32</v>
      </c>
      <c r="D16" s="12" t="s">
        <v>33</v>
      </c>
      <c r="E16" s="13">
        <v>2952236.87</v>
      </c>
      <c r="F16" s="14">
        <v>0</v>
      </c>
      <c r="G16" s="14">
        <v>0</v>
      </c>
      <c r="H16" s="14"/>
      <c r="I16" s="14">
        <f t="shared" si="0"/>
        <v>2952236.87</v>
      </c>
      <c r="K16" s="11"/>
      <c r="M16" s="15"/>
    </row>
    <row r="17" spans="1:13" outlineLevel="2">
      <c r="A17" s="11">
        <f t="shared" si="1"/>
        <v>13</v>
      </c>
      <c r="B17" s="11" t="s">
        <v>8</v>
      </c>
      <c r="C17" s="17" t="s">
        <v>34</v>
      </c>
      <c r="D17" s="12" t="s">
        <v>35</v>
      </c>
      <c r="E17" s="13">
        <v>141044</v>
      </c>
      <c r="F17" s="13">
        <v>0</v>
      </c>
      <c r="G17" s="13">
        <v>0</v>
      </c>
      <c r="I17" s="14">
        <f t="shared" si="0"/>
        <v>141044</v>
      </c>
      <c r="J17" s="12"/>
      <c r="K17" s="11"/>
      <c r="M17" s="15"/>
    </row>
    <row r="18" spans="1:13" outlineLevel="2">
      <c r="A18" s="11">
        <f t="shared" si="1"/>
        <v>14</v>
      </c>
      <c r="B18" s="11" t="s">
        <v>8</v>
      </c>
      <c r="C18" s="679" t="s">
        <v>37</v>
      </c>
      <c r="D18" s="12" t="s">
        <v>38</v>
      </c>
      <c r="E18" s="13">
        <v>141044</v>
      </c>
      <c r="F18" s="13">
        <v>0</v>
      </c>
      <c r="G18" s="13">
        <v>0</v>
      </c>
      <c r="I18" s="14">
        <f t="shared" si="0"/>
        <v>141044</v>
      </c>
      <c r="K18" s="11"/>
      <c r="M18" s="15"/>
    </row>
    <row r="19" spans="1:13" outlineLevel="2">
      <c r="A19" s="11">
        <f>A18+1</f>
        <v>15</v>
      </c>
      <c r="B19" s="11" t="s">
        <v>8</v>
      </c>
      <c r="C19" s="17" t="s">
        <v>39</v>
      </c>
      <c r="D19" s="12" t="s">
        <v>40</v>
      </c>
      <c r="E19" s="13">
        <v>1259667.9099999999</v>
      </c>
      <c r="F19" s="14">
        <v>0</v>
      </c>
      <c r="G19" s="14">
        <v>0</v>
      </c>
      <c r="H19" s="14"/>
      <c r="I19" s="14">
        <f t="shared" si="0"/>
        <v>1259667.9099999999</v>
      </c>
      <c r="K19" s="11"/>
      <c r="M19" s="15"/>
    </row>
    <row r="20" spans="1:13" outlineLevel="2">
      <c r="A20" s="11">
        <f t="shared" si="1"/>
        <v>16</v>
      </c>
      <c r="B20" s="11" t="s">
        <v>8</v>
      </c>
      <c r="C20" s="17" t="s">
        <v>41</v>
      </c>
      <c r="D20" s="12" t="s">
        <v>42</v>
      </c>
      <c r="E20" s="13">
        <v>13451446</v>
      </c>
      <c r="F20" s="14">
        <v>0</v>
      </c>
      <c r="G20" s="14">
        <v>0</v>
      </c>
      <c r="H20" s="14"/>
      <c r="I20" s="14">
        <f t="shared" si="0"/>
        <v>13451446</v>
      </c>
      <c r="K20" s="11"/>
      <c r="M20" s="15"/>
    </row>
    <row r="21" spans="1:13" outlineLevel="2">
      <c r="A21" s="11">
        <f t="shared" si="1"/>
        <v>17</v>
      </c>
      <c r="B21" s="11" t="s">
        <v>8</v>
      </c>
      <c r="C21" s="17" t="s">
        <v>43</v>
      </c>
      <c r="D21" s="12" t="s">
        <v>44</v>
      </c>
      <c r="E21" s="13">
        <v>14513307.74</v>
      </c>
      <c r="F21" s="14">
        <v>0</v>
      </c>
      <c r="G21" s="14">
        <v>0</v>
      </c>
      <c r="H21" s="14"/>
      <c r="I21" s="14">
        <f t="shared" si="0"/>
        <v>14513307.74</v>
      </c>
      <c r="K21" s="11"/>
      <c r="M21" s="15"/>
    </row>
    <row r="22" spans="1:13" outlineLevel="2">
      <c r="A22" s="11">
        <f t="shared" si="1"/>
        <v>18</v>
      </c>
      <c r="B22" s="11" t="s">
        <v>8</v>
      </c>
      <c r="C22" s="17" t="s">
        <v>45</v>
      </c>
      <c r="D22" s="12" t="s">
        <v>46</v>
      </c>
      <c r="E22" s="13">
        <v>5804318.2699999996</v>
      </c>
      <c r="F22" s="14">
        <v>0</v>
      </c>
      <c r="G22" s="14">
        <v>0</v>
      </c>
      <c r="H22" s="14"/>
      <c r="I22" s="14">
        <f t="shared" si="0"/>
        <v>5804318.2699999996</v>
      </c>
      <c r="K22" s="11"/>
      <c r="M22" s="15"/>
    </row>
    <row r="23" spans="1:13" outlineLevel="2">
      <c r="A23" s="11">
        <f t="shared" si="1"/>
        <v>19</v>
      </c>
      <c r="B23" s="11" t="s">
        <v>8</v>
      </c>
      <c r="C23" s="17" t="s">
        <v>47</v>
      </c>
      <c r="D23" s="12" t="s">
        <v>48</v>
      </c>
      <c r="E23" s="13">
        <v>1366481</v>
      </c>
      <c r="F23" s="14">
        <v>0</v>
      </c>
      <c r="G23" s="14">
        <v>0</v>
      </c>
      <c r="H23" s="14"/>
      <c r="I23" s="14">
        <f t="shared" si="0"/>
        <v>1366481</v>
      </c>
      <c r="K23" s="11"/>
      <c r="M23" s="15"/>
    </row>
    <row r="24" spans="1:13" outlineLevel="2">
      <c r="A24" s="11">
        <f t="shared" si="1"/>
        <v>20</v>
      </c>
      <c r="B24" s="11" t="s">
        <v>8</v>
      </c>
      <c r="C24" s="17" t="s">
        <v>49</v>
      </c>
      <c r="D24" s="12" t="s">
        <v>50</v>
      </c>
      <c r="E24" s="13">
        <v>2605678.14</v>
      </c>
      <c r="F24" s="14">
        <v>0</v>
      </c>
      <c r="G24" s="14">
        <v>0</v>
      </c>
      <c r="H24" s="14"/>
      <c r="I24" s="14">
        <f t="shared" si="0"/>
        <v>2605678.14</v>
      </c>
      <c r="K24" s="11"/>
      <c r="M24" s="15"/>
    </row>
    <row r="25" spans="1:13" outlineLevel="2">
      <c r="A25" s="11">
        <f t="shared" si="1"/>
        <v>21</v>
      </c>
      <c r="B25" s="11" t="s">
        <v>8</v>
      </c>
      <c r="C25" s="17" t="s">
        <v>51</v>
      </c>
      <c r="D25" s="12" t="s">
        <v>52</v>
      </c>
      <c r="E25" s="13">
        <v>553799.82999999996</v>
      </c>
      <c r="F25" s="14">
        <v>0</v>
      </c>
      <c r="G25" s="14">
        <v>0</v>
      </c>
      <c r="H25" s="14"/>
      <c r="I25" s="14">
        <f t="shared" si="0"/>
        <v>553799.82999999996</v>
      </c>
      <c r="K25" s="11"/>
      <c r="M25" s="15"/>
    </row>
    <row r="26" spans="1:13" outlineLevel="2">
      <c r="A26" s="11">
        <f t="shared" si="1"/>
        <v>22</v>
      </c>
      <c r="B26" s="11" t="s">
        <v>8</v>
      </c>
      <c r="C26" s="17" t="s">
        <v>53</v>
      </c>
      <c r="D26" s="12" t="s">
        <v>54</v>
      </c>
      <c r="E26" s="13">
        <v>3464063.5</v>
      </c>
      <c r="F26" s="14">
        <v>0</v>
      </c>
      <c r="G26" s="14">
        <v>0</v>
      </c>
      <c r="H26" s="14"/>
      <c r="I26" s="14">
        <f t="shared" si="0"/>
        <v>3464063.5</v>
      </c>
      <c r="K26" s="11"/>
      <c r="M26" s="15"/>
    </row>
    <row r="27" spans="1:13" outlineLevel="2">
      <c r="A27" s="11">
        <f t="shared" si="1"/>
        <v>23</v>
      </c>
      <c r="B27" s="11" t="s">
        <v>8</v>
      </c>
      <c r="C27" s="17" t="s">
        <v>55</v>
      </c>
      <c r="D27" s="12" t="s">
        <v>56</v>
      </c>
      <c r="E27" s="13">
        <v>918676</v>
      </c>
      <c r="F27" s="14">
        <v>0</v>
      </c>
      <c r="G27" s="14">
        <v>0</v>
      </c>
      <c r="H27" s="14"/>
      <c r="I27" s="14">
        <f t="shared" si="0"/>
        <v>918676</v>
      </c>
      <c r="K27" s="11"/>
      <c r="M27" s="15"/>
    </row>
    <row r="28" spans="1:13" outlineLevel="2">
      <c r="A28" s="11">
        <f t="shared" si="1"/>
        <v>24</v>
      </c>
      <c r="B28" s="11" t="s">
        <v>8</v>
      </c>
      <c r="C28" s="17" t="s">
        <v>57</v>
      </c>
      <c r="D28" s="12" t="s">
        <v>58</v>
      </c>
      <c r="E28" s="13">
        <v>1258899.68</v>
      </c>
      <c r="F28" s="14">
        <v>0</v>
      </c>
      <c r="G28" s="14">
        <v>0</v>
      </c>
      <c r="H28" s="14"/>
      <c r="I28" s="14">
        <f t="shared" si="0"/>
        <v>1258899.68</v>
      </c>
      <c r="K28" s="11"/>
      <c r="M28" s="15"/>
    </row>
    <row r="29" spans="1:13" outlineLevel="2">
      <c r="A29" s="11">
        <f t="shared" si="1"/>
        <v>25</v>
      </c>
      <c r="B29" s="11" t="s">
        <v>8</v>
      </c>
      <c r="C29" s="17" t="s">
        <v>59</v>
      </c>
      <c r="D29" s="12" t="s">
        <v>60</v>
      </c>
      <c r="E29" s="13">
        <v>20977730.73</v>
      </c>
      <c r="F29" s="14">
        <v>0</v>
      </c>
      <c r="G29" s="14">
        <v>0</v>
      </c>
      <c r="H29" s="14"/>
      <c r="I29" s="14">
        <f t="shared" si="0"/>
        <v>20977730.73</v>
      </c>
      <c r="K29" s="11"/>
      <c r="M29" s="15"/>
    </row>
    <row r="30" spans="1:13" outlineLevel="2">
      <c r="A30" s="11">
        <f t="shared" si="1"/>
        <v>26</v>
      </c>
      <c r="B30" s="11" t="s">
        <v>8</v>
      </c>
      <c r="C30" s="17" t="s">
        <v>61</v>
      </c>
      <c r="D30" s="12" t="s">
        <v>62</v>
      </c>
      <c r="E30" s="13">
        <v>7672600.2400000002</v>
      </c>
      <c r="F30" s="14">
        <v>0</v>
      </c>
      <c r="G30" s="14">
        <v>0</v>
      </c>
      <c r="H30" s="14"/>
      <c r="I30" s="14">
        <f t="shared" si="0"/>
        <v>7672600.2400000002</v>
      </c>
      <c r="K30" s="11"/>
      <c r="M30" s="15"/>
    </row>
    <row r="31" spans="1:13" outlineLevel="2">
      <c r="A31" s="11">
        <f t="shared" si="1"/>
        <v>27</v>
      </c>
      <c r="B31" s="11" t="s">
        <v>8</v>
      </c>
      <c r="C31" s="17" t="s">
        <v>63</v>
      </c>
      <c r="D31" s="12" t="s">
        <v>64</v>
      </c>
      <c r="E31" s="13">
        <v>1872141.8</v>
      </c>
      <c r="F31" s="14">
        <v>0</v>
      </c>
      <c r="G31" s="14">
        <v>0</v>
      </c>
      <c r="H31" s="14"/>
      <c r="I31" s="14">
        <f t="shared" si="0"/>
        <v>1872141.8</v>
      </c>
      <c r="K31" s="11"/>
      <c r="M31" s="15"/>
    </row>
    <row r="32" spans="1:13" outlineLevel="2">
      <c r="A32" s="11">
        <f t="shared" si="1"/>
        <v>28</v>
      </c>
      <c r="B32" s="11" t="s">
        <v>8</v>
      </c>
      <c r="C32" s="17" t="s">
        <v>65</v>
      </c>
      <c r="D32" s="12" t="s">
        <v>66</v>
      </c>
      <c r="E32" s="13">
        <v>375316.01</v>
      </c>
      <c r="F32" s="14">
        <v>0</v>
      </c>
      <c r="G32" s="14">
        <v>0</v>
      </c>
      <c r="H32" s="14"/>
      <c r="I32" s="14">
        <f t="shared" si="0"/>
        <v>375316.01</v>
      </c>
      <c r="K32" s="11"/>
      <c r="M32" s="15"/>
    </row>
    <row r="33" spans="1:13" outlineLevel="2">
      <c r="A33" s="11">
        <f t="shared" si="1"/>
        <v>29</v>
      </c>
      <c r="B33" s="11" t="s">
        <v>8</v>
      </c>
      <c r="C33" s="17" t="s">
        <v>67</v>
      </c>
      <c r="D33" s="12" t="s">
        <v>68</v>
      </c>
      <c r="E33" s="13">
        <v>771572.37</v>
      </c>
      <c r="F33" s="14">
        <v>0</v>
      </c>
      <c r="G33" s="14">
        <v>0</v>
      </c>
      <c r="H33" s="14"/>
      <c r="I33" s="14">
        <f t="shared" si="0"/>
        <v>771572.37</v>
      </c>
      <c r="K33" s="11"/>
      <c r="M33" s="15"/>
    </row>
    <row r="34" spans="1:13" outlineLevel="2">
      <c r="A34" s="11">
        <f t="shared" si="1"/>
        <v>30</v>
      </c>
      <c r="B34" s="11" t="s">
        <v>8</v>
      </c>
      <c r="C34" s="17" t="s">
        <v>69</v>
      </c>
      <c r="D34" s="12" t="s">
        <v>70</v>
      </c>
      <c r="E34" s="13">
        <v>60704.18</v>
      </c>
      <c r="F34" s="14">
        <v>0</v>
      </c>
      <c r="G34" s="14">
        <v>0</v>
      </c>
      <c r="H34" s="14"/>
      <c r="I34" s="14">
        <f t="shared" si="0"/>
        <v>60704.18</v>
      </c>
      <c r="K34" s="11"/>
      <c r="M34" s="15"/>
    </row>
    <row r="35" spans="1:13" outlineLevel="2">
      <c r="A35" s="11">
        <f t="shared" si="1"/>
        <v>31</v>
      </c>
      <c r="B35" s="11" t="s">
        <v>8</v>
      </c>
      <c r="C35" s="17" t="s">
        <v>71</v>
      </c>
      <c r="D35" s="12" t="s">
        <v>72</v>
      </c>
      <c r="E35" s="13">
        <v>2369098.0699999998</v>
      </c>
      <c r="F35" s="14">
        <v>0</v>
      </c>
      <c r="G35" s="14">
        <v>0</v>
      </c>
      <c r="H35" s="14"/>
      <c r="I35" s="14">
        <f t="shared" si="0"/>
        <v>2369098.0699999998</v>
      </c>
      <c r="K35" s="11"/>
      <c r="M35" s="15"/>
    </row>
    <row r="36" spans="1:13" outlineLevel="2">
      <c r="A36" s="11">
        <f t="shared" si="1"/>
        <v>32</v>
      </c>
      <c r="B36" s="11" t="s">
        <v>8</v>
      </c>
      <c r="C36" s="17" t="s">
        <v>73</v>
      </c>
      <c r="D36" s="12" t="s">
        <v>74</v>
      </c>
      <c r="E36" s="13">
        <v>7305876.0899999999</v>
      </c>
      <c r="F36" s="14">
        <v>0</v>
      </c>
      <c r="G36" s="14">
        <v>0</v>
      </c>
      <c r="H36" s="14"/>
      <c r="I36" s="14">
        <f t="shared" si="0"/>
        <v>7305876.0899999999</v>
      </c>
      <c r="K36" s="11"/>
      <c r="M36" s="15"/>
    </row>
    <row r="37" spans="1:13" outlineLevel="2">
      <c r="A37" s="11">
        <f t="shared" si="1"/>
        <v>33</v>
      </c>
      <c r="B37" s="11" t="s">
        <v>8</v>
      </c>
      <c r="C37" s="17" t="s">
        <v>75</v>
      </c>
      <c r="D37" s="12" t="s">
        <v>76</v>
      </c>
      <c r="E37" s="13">
        <v>922097.72</v>
      </c>
      <c r="F37" s="14">
        <v>0</v>
      </c>
      <c r="G37" s="14">
        <v>0</v>
      </c>
      <c r="H37" s="14"/>
      <c r="I37" s="14">
        <f t="shared" ref="I37:I101" si="2">SUM(E37:G37)</f>
        <v>922097.72</v>
      </c>
      <c r="K37" s="11"/>
      <c r="M37" s="15"/>
    </row>
    <row r="38" spans="1:13" outlineLevel="2">
      <c r="A38" s="11">
        <f t="shared" si="1"/>
        <v>34</v>
      </c>
      <c r="B38" s="11" t="s">
        <v>8</v>
      </c>
      <c r="C38" s="17" t="s">
        <v>77</v>
      </c>
      <c r="D38" s="12" t="s">
        <v>78</v>
      </c>
      <c r="E38" s="13">
        <v>4465037.05</v>
      </c>
      <c r="F38" s="14">
        <v>0</v>
      </c>
      <c r="G38" s="14">
        <v>0</v>
      </c>
      <c r="H38" s="14"/>
      <c r="I38" s="14">
        <f t="shared" si="2"/>
        <v>4465037.05</v>
      </c>
      <c r="K38" s="11"/>
      <c r="M38" s="15"/>
    </row>
    <row r="39" spans="1:13" outlineLevel="2">
      <c r="A39" s="11">
        <f t="shared" si="1"/>
        <v>35</v>
      </c>
      <c r="B39" s="11" t="s">
        <v>8</v>
      </c>
      <c r="C39" s="17" t="s">
        <v>79</v>
      </c>
      <c r="D39" s="12" t="s">
        <v>80</v>
      </c>
      <c r="E39" s="13">
        <v>261417.22</v>
      </c>
      <c r="F39" s="14">
        <v>0</v>
      </c>
      <c r="G39" s="14">
        <v>0</v>
      </c>
      <c r="H39" s="14"/>
      <c r="I39" s="14">
        <f t="shared" si="2"/>
        <v>261417.22</v>
      </c>
      <c r="K39" s="11"/>
      <c r="M39" s="15"/>
    </row>
    <row r="40" spans="1:13" outlineLevel="2">
      <c r="A40" s="11">
        <f t="shared" si="1"/>
        <v>36</v>
      </c>
      <c r="B40" s="11" t="s">
        <v>8</v>
      </c>
      <c r="C40" s="17" t="s">
        <v>81</v>
      </c>
      <c r="D40" s="12" t="s">
        <v>82</v>
      </c>
      <c r="E40" s="13">
        <v>8301710.0999999996</v>
      </c>
      <c r="F40" s="14"/>
      <c r="G40" s="14"/>
      <c r="H40" s="14"/>
      <c r="I40" s="14">
        <f t="shared" si="2"/>
        <v>8301710.0999999996</v>
      </c>
      <c r="K40" s="11"/>
      <c r="M40" s="15"/>
    </row>
    <row r="41" spans="1:13" outlineLevel="2">
      <c r="A41" s="11">
        <f t="shared" si="1"/>
        <v>37</v>
      </c>
      <c r="B41" s="11" t="s">
        <v>8</v>
      </c>
      <c r="C41" s="17" t="s">
        <v>83</v>
      </c>
      <c r="D41" s="12" t="s">
        <v>84</v>
      </c>
      <c r="E41" s="13">
        <v>28806330.280000001</v>
      </c>
      <c r="F41" s="14">
        <v>0</v>
      </c>
      <c r="G41" s="14">
        <v>0</v>
      </c>
      <c r="H41" s="14"/>
      <c r="I41" s="14">
        <f t="shared" si="2"/>
        <v>28806330.280000001</v>
      </c>
      <c r="K41" s="11"/>
      <c r="M41" s="15"/>
    </row>
    <row r="42" spans="1:13" outlineLevel="2">
      <c r="A42" s="11">
        <f t="shared" si="1"/>
        <v>38</v>
      </c>
      <c r="B42" s="11" t="s">
        <v>8</v>
      </c>
      <c r="C42" s="17" t="s">
        <v>85</v>
      </c>
      <c r="D42" s="12" t="s">
        <v>86</v>
      </c>
      <c r="E42" s="13">
        <v>157876.32</v>
      </c>
      <c r="F42" s="14">
        <v>0</v>
      </c>
      <c r="G42" s="14">
        <v>0</v>
      </c>
      <c r="H42" s="14"/>
      <c r="I42" s="14">
        <f t="shared" si="2"/>
        <v>157876.32</v>
      </c>
      <c r="K42" s="11"/>
      <c r="M42" s="15"/>
    </row>
    <row r="43" spans="1:13" outlineLevel="2">
      <c r="A43" s="11">
        <f t="shared" si="1"/>
        <v>39</v>
      </c>
      <c r="B43" s="11" t="s">
        <v>8</v>
      </c>
      <c r="C43" s="17" t="s">
        <v>87</v>
      </c>
      <c r="D43" s="12" t="s">
        <v>88</v>
      </c>
      <c r="E43" s="13">
        <v>10096096.66</v>
      </c>
      <c r="F43" s="14">
        <v>0</v>
      </c>
      <c r="G43" s="14">
        <v>0</v>
      </c>
      <c r="H43" s="14"/>
      <c r="I43" s="14">
        <f t="shared" si="2"/>
        <v>10096096.66</v>
      </c>
      <c r="K43" s="11"/>
      <c r="M43" s="15"/>
    </row>
    <row r="44" spans="1:13" outlineLevel="2">
      <c r="A44" s="11">
        <f t="shared" si="1"/>
        <v>40</v>
      </c>
      <c r="B44" s="11" t="s">
        <v>8</v>
      </c>
      <c r="C44" s="17" t="s">
        <v>89</v>
      </c>
      <c r="D44" s="12" t="s">
        <v>90</v>
      </c>
      <c r="E44" s="13">
        <v>7554491.9000000004</v>
      </c>
      <c r="F44" s="14">
        <v>0</v>
      </c>
      <c r="G44" s="14">
        <v>0</v>
      </c>
      <c r="H44" s="14"/>
      <c r="I44" s="14">
        <f t="shared" si="2"/>
        <v>7554491.9000000004</v>
      </c>
      <c r="K44" s="11"/>
      <c r="M44" s="15"/>
    </row>
    <row r="45" spans="1:13" outlineLevel="2">
      <c r="A45" s="11">
        <f t="shared" si="1"/>
        <v>41</v>
      </c>
      <c r="B45" s="11" t="s">
        <v>8</v>
      </c>
      <c r="C45" s="17" t="s">
        <v>91</v>
      </c>
      <c r="D45" s="12" t="s">
        <v>92</v>
      </c>
      <c r="E45" s="13">
        <v>7782247.0099999998</v>
      </c>
      <c r="F45" s="14">
        <v>0</v>
      </c>
      <c r="G45" s="14">
        <v>0</v>
      </c>
      <c r="H45" s="14"/>
      <c r="I45" s="14">
        <f t="shared" si="2"/>
        <v>7782247.0099999998</v>
      </c>
      <c r="K45" s="11"/>
      <c r="M45" s="15"/>
    </row>
    <row r="46" spans="1:13" outlineLevel="2">
      <c r="A46" s="11">
        <f t="shared" si="1"/>
        <v>42</v>
      </c>
      <c r="B46" s="11" t="s">
        <v>8</v>
      </c>
      <c r="C46" s="17" t="s">
        <v>93</v>
      </c>
      <c r="D46" s="12" t="s">
        <v>94</v>
      </c>
      <c r="E46" s="13">
        <v>2319938.7200000002</v>
      </c>
      <c r="F46" s="14">
        <v>0</v>
      </c>
      <c r="G46" s="14">
        <v>0</v>
      </c>
      <c r="H46" s="14"/>
      <c r="I46" s="14">
        <f t="shared" si="2"/>
        <v>2319938.7200000002</v>
      </c>
      <c r="K46" s="11"/>
      <c r="M46" s="15"/>
    </row>
    <row r="47" spans="1:13" outlineLevel="2">
      <c r="A47" s="11">
        <f t="shared" si="1"/>
        <v>43</v>
      </c>
      <c r="B47" s="11" t="s">
        <v>8</v>
      </c>
      <c r="C47" s="17" t="s">
        <v>95</v>
      </c>
      <c r="D47" s="12" t="s">
        <v>96</v>
      </c>
      <c r="E47" s="13">
        <v>777326.71</v>
      </c>
      <c r="F47" s="14">
        <v>0</v>
      </c>
      <c r="G47" s="14">
        <v>0</v>
      </c>
      <c r="H47" s="14"/>
      <c r="I47" s="14">
        <f t="shared" si="2"/>
        <v>777326.71</v>
      </c>
      <c r="K47" s="11"/>
      <c r="M47" s="15"/>
    </row>
    <row r="48" spans="1:13" outlineLevel="2">
      <c r="A48" s="11">
        <f t="shared" si="1"/>
        <v>44</v>
      </c>
      <c r="B48" s="11" t="s">
        <v>8</v>
      </c>
      <c r="C48" s="17" t="s">
        <v>97</v>
      </c>
      <c r="D48" s="12" t="s">
        <v>98</v>
      </c>
      <c r="E48" s="13">
        <v>1308561.8400000001</v>
      </c>
      <c r="F48" s="14">
        <v>0</v>
      </c>
      <c r="G48" s="14">
        <v>0</v>
      </c>
      <c r="H48" s="14"/>
      <c r="I48" s="14">
        <f t="shared" si="2"/>
        <v>1308561.8400000001</v>
      </c>
      <c r="K48" s="11"/>
      <c r="M48" s="15"/>
    </row>
    <row r="49" spans="1:13" outlineLevel="2">
      <c r="A49" s="11">
        <f t="shared" si="1"/>
        <v>45</v>
      </c>
      <c r="B49" s="11" t="s">
        <v>8</v>
      </c>
      <c r="C49" s="17" t="s">
        <v>99</v>
      </c>
      <c r="D49" s="12" t="s">
        <v>100</v>
      </c>
      <c r="E49" s="13">
        <v>679540.13</v>
      </c>
      <c r="F49" s="14">
        <v>0</v>
      </c>
      <c r="G49" s="14">
        <v>0</v>
      </c>
      <c r="H49" s="14"/>
      <c r="I49" s="14">
        <f t="shared" si="2"/>
        <v>679540.13</v>
      </c>
      <c r="K49" s="11"/>
      <c r="M49" s="15"/>
    </row>
    <row r="50" spans="1:13" outlineLevel="2">
      <c r="A50" s="11">
        <f t="shared" si="1"/>
        <v>46</v>
      </c>
      <c r="B50" s="11" t="s">
        <v>8</v>
      </c>
      <c r="C50" s="17" t="s">
        <v>101</v>
      </c>
      <c r="D50" s="12" t="s">
        <v>102</v>
      </c>
      <c r="E50" s="13">
        <v>11019006.33</v>
      </c>
      <c r="F50" s="14">
        <v>0</v>
      </c>
      <c r="G50" s="14">
        <v>0</v>
      </c>
      <c r="H50" s="14"/>
      <c r="I50" s="14">
        <f t="shared" si="2"/>
        <v>11019006.33</v>
      </c>
      <c r="K50" s="11"/>
      <c r="M50" s="15"/>
    </row>
    <row r="51" spans="1:13" outlineLevel="2">
      <c r="A51" s="11">
        <f t="shared" si="1"/>
        <v>47</v>
      </c>
      <c r="B51" s="11" t="s">
        <v>8</v>
      </c>
      <c r="C51" s="17" t="s">
        <v>103</v>
      </c>
      <c r="D51" s="12" t="s">
        <v>104</v>
      </c>
      <c r="E51" s="13">
        <v>16397505.050000001</v>
      </c>
      <c r="F51" s="14">
        <v>0</v>
      </c>
      <c r="G51" s="14">
        <v>0</v>
      </c>
      <c r="H51" s="14"/>
      <c r="I51" s="14">
        <f t="shared" si="2"/>
        <v>16397505.050000001</v>
      </c>
      <c r="K51" s="11"/>
      <c r="M51" s="15"/>
    </row>
    <row r="52" spans="1:13" outlineLevel="2">
      <c r="A52" s="11">
        <f t="shared" si="1"/>
        <v>48</v>
      </c>
      <c r="B52" s="11" t="s">
        <v>8</v>
      </c>
      <c r="C52" s="17" t="s">
        <v>105</v>
      </c>
      <c r="D52" s="12" t="s">
        <v>106</v>
      </c>
      <c r="E52" s="13">
        <v>6788950.71</v>
      </c>
      <c r="F52" s="14">
        <v>0</v>
      </c>
      <c r="G52" s="14">
        <v>0</v>
      </c>
      <c r="H52" s="14"/>
      <c r="I52" s="14">
        <f t="shared" si="2"/>
        <v>6788950.71</v>
      </c>
      <c r="K52" s="11"/>
      <c r="M52" s="15"/>
    </row>
    <row r="53" spans="1:13" outlineLevel="2">
      <c r="A53" s="11">
        <f t="shared" si="1"/>
        <v>49</v>
      </c>
      <c r="B53" s="11" t="s">
        <v>8</v>
      </c>
      <c r="C53" s="17" t="s">
        <v>107</v>
      </c>
      <c r="D53" s="12" t="s">
        <v>108</v>
      </c>
      <c r="E53" s="13">
        <v>10455917.060000001</v>
      </c>
      <c r="F53" s="14">
        <v>0</v>
      </c>
      <c r="G53" s="14">
        <v>0</v>
      </c>
      <c r="H53" s="14"/>
      <c r="I53" s="14">
        <f t="shared" si="2"/>
        <v>10455917.060000001</v>
      </c>
      <c r="K53" s="11"/>
      <c r="M53" s="15"/>
    </row>
    <row r="54" spans="1:13" outlineLevel="2">
      <c r="A54" s="11">
        <f t="shared" si="1"/>
        <v>50</v>
      </c>
      <c r="B54" s="11" t="s">
        <v>8</v>
      </c>
      <c r="C54" s="17" t="s">
        <v>109</v>
      </c>
      <c r="D54" s="12" t="s">
        <v>110</v>
      </c>
      <c r="E54" s="13">
        <v>10713977.23</v>
      </c>
      <c r="F54" s="14">
        <v>0</v>
      </c>
      <c r="G54" s="14">
        <v>0</v>
      </c>
      <c r="H54" s="14"/>
      <c r="I54" s="14">
        <f t="shared" si="2"/>
        <v>10713977.23</v>
      </c>
      <c r="K54" s="11"/>
      <c r="M54" s="15"/>
    </row>
    <row r="55" spans="1:13" outlineLevel="2">
      <c r="A55" s="11">
        <f t="shared" si="1"/>
        <v>51</v>
      </c>
      <c r="B55" s="11" t="s">
        <v>8</v>
      </c>
      <c r="C55" s="17" t="s">
        <v>111</v>
      </c>
      <c r="D55" s="12" t="s">
        <v>112</v>
      </c>
      <c r="E55" s="13">
        <v>4763398.6500000004</v>
      </c>
      <c r="F55" s="14">
        <v>0</v>
      </c>
      <c r="G55" s="14">
        <v>0</v>
      </c>
      <c r="H55" s="14"/>
      <c r="I55" s="14">
        <f t="shared" si="2"/>
        <v>4763398.6500000004</v>
      </c>
      <c r="K55" s="11"/>
      <c r="M55" s="15"/>
    </row>
    <row r="56" spans="1:13" outlineLevel="2">
      <c r="A56" s="11">
        <f t="shared" si="1"/>
        <v>52</v>
      </c>
      <c r="B56" s="11" t="s">
        <v>8</v>
      </c>
      <c r="C56" s="17" t="s">
        <v>113</v>
      </c>
      <c r="D56" s="12" t="s">
        <v>114</v>
      </c>
      <c r="E56" s="13">
        <v>1948078.5</v>
      </c>
      <c r="F56" s="14">
        <v>0</v>
      </c>
      <c r="G56" s="14">
        <v>0</v>
      </c>
      <c r="H56" s="14"/>
      <c r="I56" s="14">
        <f t="shared" si="2"/>
        <v>1948078.5</v>
      </c>
      <c r="K56" s="11"/>
      <c r="M56" s="15"/>
    </row>
    <row r="57" spans="1:13" outlineLevel="2">
      <c r="A57" s="11">
        <f t="shared" si="1"/>
        <v>53</v>
      </c>
      <c r="B57" s="11" t="s">
        <v>8</v>
      </c>
      <c r="C57" s="17" t="s">
        <v>115</v>
      </c>
      <c r="D57" s="12" t="s">
        <v>116</v>
      </c>
      <c r="E57" s="13">
        <v>1521173.69</v>
      </c>
      <c r="F57" s="14">
        <v>0</v>
      </c>
      <c r="G57" s="14">
        <v>0</v>
      </c>
      <c r="H57" s="14"/>
      <c r="I57" s="14">
        <f t="shared" si="2"/>
        <v>1521173.69</v>
      </c>
      <c r="K57" s="11"/>
      <c r="M57" s="15"/>
    </row>
    <row r="58" spans="1:13" outlineLevel="2">
      <c r="A58" s="11">
        <f t="shared" si="1"/>
        <v>54</v>
      </c>
      <c r="B58" s="11" t="s">
        <v>8</v>
      </c>
      <c r="C58" s="17" t="s">
        <v>117</v>
      </c>
      <c r="D58" s="12" t="s">
        <v>118</v>
      </c>
      <c r="E58" s="13">
        <v>455727</v>
      </c>
      <c r="F58" s="14">
        <v>0</v>
      </c>
      <c r="G58" s="14">
        <v>0</v>
      </c>
      <c r="H58" s="14"/>
      <c r="I58" s="14">
        <f t="shared" si="2"/>
        <v>455727</v>
      </c>
      <c r="K58" s="11"/>
      <c r="M58" s="15"/>
    </row>
    <row r="59" spans="1:13" outlineLevel="2">
      <c r="A59" s="11">
        <f t="shared" si="1"/>
        <v>55</v>
      </c>
      <c r="B59" s="11" t="s">
        <v>8</v>
      </c>
      <c r="C59" s="17" t="s">
        <v>119</v>
      </c>
      <c r="D59" s="12" t="s">
        <v>120</v>
      </c>
      <c r="E59" s="13">
        <v>3361449.06</v>
      </c>
      <c r="F59" s="14">
        <v>0</v>
      </c>
      <c r="G59" s="14">
        <v>0</v>
      </c>
      <c r="H59" s="14"/>
      <c r="I59" s="14">
        <f t="shared" si="2"/>
        <v>3361449.06</v>
      </c>
      <c r="K59" s="11"/>
      <c r="M59" s="15"/>
    </row>
    <row r="60" spans="1:13" outlineLevel="2">
      <c r="A60" s="11">
        <f t="shared" si="1"/>
        <v>56</v>
      </c>
      <c r="B60" s="11" t="s">
        <v>8</v>
      </c>
      <c r="C60" s="17" t="s">
        <v>121</v>
      </c>
      <c r="D60" s="12" t="s">
        <v>122</v>
      </c>
      <c r="E60" s="13">
        <v>3279089.4</v>
      </c>
      <c r="F60" s="14">
        <v>0</v>
      </c>
      <c r="G60" s="14">
        <v>0</v>
      </c>
      <c r="H60" s="14"/>
      <c r="I60" s="14">
        <f t="shared" si="2"/>
        <v>3279089.4</v>
      </c>
      <c r="K60" s="11"/>
      <c r="M60" s="15"/>
    </row>
    <row r="61" spans="1:13" outlineLevel="2">
      <c r="A61" s="11">
        <f t="shared" si="1"/>
        <v>57</v>
      </c>
      <c r="B61" s="11" t="s">
        <v>8</v>
      </c>
      <c r="C61" s="17" t="s">
        <v>123</v>
      </c>
      <c r="D61" s="12" t="s">
        <v>124</v>
      </c>
      <c r="E61" s="13">
        <v>156778</v>
      </c>
      <c r="F61" s="14">
        <v>0</v>
      </c>
      <c r="G61" s="14">
        <v>0</v>
      </c>
      <c r="H61" s="14"/>
      <c r="I61" s="14">
        <f t="shared" si="2"/>
        <v>156778</v>
      </c>
      <c r="K61" s="11"/>
      <c r="M61" s="15"/>
    </row>
    <row r="62" spans="1:13" outlineLevel="2">
      <c r="A62" s="11">
        <f t="shared" si="1"/>
        <v>58</v>
      </c>
      <c r="B62" s="11" t="s">
        <v>8</v>
      </c>
      <c r="C62" s="17" t="s">
        <v>125</v>
      </c>
      <c r="D62" s="12" t="s">
        <v>126</v>
      </c>
      <c r="E62" s="13">
        <v>12744944.75</v>
      </c>
      <c r="F62" s="14">
        <v>0</v>
      </c>
      <c r="G62" s="14">
        <v>0</v>
      </c>
      <c r="H62" s="14"/>
      <c r="I62" s="14">
        <f t="shared" si="2"/>
        <v>12744944.75</v>
      </c>
      <c r="K62" s="11"/>
      <c r="M62" s="15"/>
    </row>
    <row r="63" spans="1:13" outlineLevel="2">
      <c r="A63" s="11">
        <f t="shared" si="1"/>
        <v>59</v>
      </c>
      <c r="B63" s="11" t="s">
        <v>8</v>
      </c>
      <c r="C63" s="17" t="s">
        <v>127</v>
      </c>
      <c r="D63" s="12" t="s">
        <v>128</v>
      </c>
      <c r="E63" s="13">
        <v>10110752.16</v>
      </c>
      <c r="F63" s="14">
        <v>0</v>
      </c>
      <c r="G63" s="14">
        <v>0</v>
      </c>
      <c r="H63" s="14"/>
      <c r="I63" s="14">
        <f t="shared" si="2"/>
        <v>10110752.16</v>
      </c>
      <c r="K63" s="11"/>
      <c r="M63" s="15"/>
    </row>
    <row r="64" spans="1:13" outlineLevel="2">
      <c r="A64" s="11">
        <f t="shared" si="1"/>
        <v>60</v>
      </c>
      <c r="B64" s="11" t="s">
        <v>8</v>
      </c>
      <c r="C64" s="17" t="s">
        <v>129</v>
      </c>
      <c r="D64" s="12" t="s">
        <v>130</v>
      </c>
      <c r="E64" s="13">
        <v>2869905.99</v>
      </c>
      <c r="F64" s="14">
        <v>0</v>
      </c>
      <c r="G64" s="14">
        <v>0</v>
      </c>
      <c r="H64" s="14"/>
      <c r="I64" s="14">
        <f t="shared" si="2"/>
        <v>2869905.99</v>
      </c>
      <c r="K64" s="11"/>
      <c r="M64" s="15"/>
    </row>
    <row r="65" spans="1:13" outlineLevel="2">
      <c r="A65" s="11">
        <f t="shared" si="1"/>
        <v>61</v>
      </c>
      <c r="B65" s="11" t="s">
        <v>8</v>
      </c>
      <c r="C65" s="17" t="s">
        <v>131</v>
      </c>
      <c r="D65" s="12" t="s">
        <v>132</v>
      </c>
      <c r="E65" s="13">
        <v>3255847.1</v>
      </c>
      <c r="F65" s="14">
        <v>0</v>
      </c>
      <c r="G65" s="14">
        <v>0</v>
      </c>
      <c r="H65" s="14"/>
      <c r="I65" s="14">
        <f t="shared" si="2"/>
        <v>3255847.1</v>
      </c>
      <c r="K65" s="11"/>
      <c r="M65" s="15"/>
    </row>
    <row r="66" spans="1:13" outlineLevel="2">
      <c r="A66" s="11">
        <f t="shared" si="1"/>
        <v>62</v>
      </c>
      <c r="B66" s="11" t="s">
        <v>8</v>
      </c>
      <c r="C66" s="17" t="s">
        <v>133</v>
      </c>
      <c r="D66" s="12" t="s">
        <v>134</v>
      </c>
      <c r="E66" s="13">
        <v>8681331.6699999999</v>
      </c>
      <c r="F66" s="14">
        <v>0</v>
      </c>
      <c r="G66" s="14">
        <v>0</v>
      </c>
      <c r="H66" s="14"/>
      <c r="I66" s="14">
        <f t="shared" si="2"/>
        <v>8681331.6699999999</v>
      </c>
      <c r="K66" s="11"/>
      <c r="M66" s="15"/>
    </row>
    <row r="67" spans="1:13" outlineLevel="2">
      <c r="A67" s="11">
        <f t="shared" si="1"/>
        <v>63</v>
      </c>
      <c r="B67" s="11" t="s">
        <v>8</v>
      </c>
      <c r="C67" s="17" t="s">
        <v>135</v>
      </c>
      <c r="D67" s="12" t="s">
        <v>136</v>
      </c>
      <c r="E67" s="13">
        <v>5561904.6399999997</v>
      </c>
      <c r="F67" s="14">
        <v>0</v>
      </c>
      <c r="G67" s="14">
        <v>0</v>
      </c>
      <c r="H67" s="14"/>
      <c r="I67" s="14">
        <f t="shared" si="2"/>
        <v>5561904.6399999997</v>
      </c>
      <c r="K67" s="11"/>
      <c r="M67" s="15"/>
    </row>
    <row r="68" spans="1:13" outlineLevel="2">
      <c r="A68" s="11">
        <f t="shared" si="1"/>
        <v>64</v>
      </c>
      <c r="B68" s="11" t="s">
        <v>8</v>
      </c>
      <c r="C68" s="17" t="s">
        <v>137</v>
      </c>
      <c r="D68" s="12" t="s">
        <v>138</v>
      </c>
      <c r="E68" s="13">
        <v>3647665.52</v>
      </c>
      <c r="F68" s="14">
        <v>0</v>
      </c>
      <c r="G68" s="14">
        <v>0</v>
      </c>
      <c r="H68" s="14"/>
      <c r="I68" s="14">
        <f t="shared" si="2"/>
        <v>3647665.52</v>
      </c>
      <c r="K68" s="11"/>
      <c r="M68" s="15"/>
    </row>
    <row r="69" spans="1:13" outlineLevel="2">
      <c r="A69" s="11">
        <f t="shared" si="1"/>
        <v>65</v>
      </c>
      <c r="B69" s="11" t="s">
        <v>8</v>
      </c>
      <c r="C69" s="17" t="s">
        <v>139</v>
      </c>
      <c r="D69" s="12" t="s">
        <v>140</v>
      </c>
      <c r="E69" s="13">
        <v>11263708.41</v>
      </c>
      <c r="F69" s="14">
        <v>0</v>
      </c>
      <c r="G69" s="14">
        <v>0</v>
      </c>
      <c r="H69" s="14"/>
      <c r="I69" s="14">
        <f t="shared" si="2"/>
        <v>11263708.41</v>
      </c>
      <c r="K69" s="11"/>
      <c r="M69" s="15"/>
    </row>
    <row r="70" spans="1:13" outlineLevel="2">
      <c r="A70" s="11">
        <f t="shared" ref="A70:A138" si="3">A69+1</f>
        <v>66</v>
      </c>
      <c r="B70" s="11" t="s">
        <v>8</v>
      </c>
      <c r="C70" s="17" t="s">
        <v>141</v>
      </c>
      <c r="D70" s="12" t="s">
        <v>142</v>
      </c>
      <c r="E70" s="13">
        <v>617622.68000000005</v>
      </c>
      <c r="F70" s="14">
        <v>0</v>
      </c>
      <c r="G70" s="14">
        <v>0</v>
      </c>
      <c r="H70" s="14"/>
      <c r="I70" s="14">
        <f t="shared" si="2"/>
        <v>617622.68000000005</v>
      </c>
      <c r="K70" s="11"/>
      <c r="M70" s="15"/>
    </row>
    <row r="71" spans="1:13" outlineLevel="2">
      <c r="A71" s="11">
        <f t="shared" si="3"/>
        <v>67</v>
      </c>
      <c r="B71" s="11" t="s">
        <v>8</v>
      </c>
      <c r="C71" s="17" t="s">
        <v>143</v>
      </c>
      <c r="D71" s="12" t="s">
        <v>144</v>
      </c>
      <c r="E71" s="13">
        <v>6319621.6699999999</v>
      </c>
      <c r="F71" s="14">
        <v>0</v>
      </c>
      <c r="G71" s="14">
        <v>0</v>
      </c>
      <c r="H71" s="14"/>
      <c r="I71" s="14">
        <f t="shared" si="2"/>
        <v>6319621.6699999999</v>
      </c>
      <c r="K71" s="11"/>
      <c r="M71" s="15"/>
    </row>
    <row r="72" spans="1:13" outlineLevel="2">
      <c r="A72" s="11">
        <f t="shared" si="3"/>
        <v>68</v>
      </c>
      <c r="B72" s="11" t="s">
        <v>8</v>
      </c>
      <c r="C72" s="17" t="s">
        <v>145</v>
      </c>
      <c r="D72" s="12" t="s">
        <v>146</v>
      </c>
      <c r="E72" s="13">
        <v>1189519.96</v>
      </c>
      <c r="F72" s="14">
        <v>0</v>
      </c>
      <c r="G72" s="14">
        <v>0</v>
      </c>
      <c r="H72" s="14"/>
      <c r="I72" s="14">
        <f t="shared" si="2"/>
        <v>1189519.96</v>
      </c>
      <c r="K72" s="11"/>
      <c r="M72" s="15"/>
    </row>
    <row r="73" spans="1:13" outlineLevel="2">
      <c r="A73" s="11">
        <f t="shared" si="3"/>
        <v>69</v>
      </c>
      <c r="B73" s="11" t="s">
        <v>8</v>
      </c>
      <c r="C73" s="17" t="s">
        <v>147</v>
      </c>
      <c r="D73" s="12" t="s">
        <v>148</v>
      </c>
      <c r="E73" s="13">
        <v>4941648.6100000003</v>
      </c>
      <c r="F73" s="14">
        <v>0</v>
      </c>
      <c r="G73" s="14">
        <v>0</v>
      </c>
      <c r="H73" s="14"/>
      <c r="I73" s="14">
        <f t="shared" si="2"/>
        <v>4941648.6100000003</v>
      </c>
      <c r="K73" s="11"/>
      <c r="M73" s="15"/>
    </row>
    <row r="74" spans="1:13" outlineLevel="2">
      <c r="A74" s="11">
        <f t="shared" si="3"/>
        <v>70</v>
      </c>
      <c r="B74" s="11" t="s">
        <v>8</v>
      </c>
      <c r="C74" s="17" t="s">
        <v>149</v>
      </c>
      <c r="D74" s="12" t="s">
        <v>150</v>
      </c>
      <c r="E74" s="13">
        <v>3155849.87</v>
      </c>
      <c r="F74" s="14">
        <v>0</v>
      </c>
      <c r="G74" s="14">
        <v>0</v>
      </c>
      <c r="H74" s="14"/>
      <c r="I74" s="14">
        <f t="shared" si="2"/>
        <v>3155849.87</v>
      </c>
      <c r="K74" s="11"/>
      <c r="M74" s="15"/>
    </row>
    <row r="75" spans="1:13" outlineLevel="2">
      <c r="A75" s="11">
        <f t="shared" si="3"/>
        <v>71</v>
      </c>
      <c r="B75" s="11" t="s">
        <v>8</v>
      </c>
      <c r="C75" s="17" t="s">
        <v>151</v>
      </c>
      <c r="D75" s="12" t="s">
        <v>152</v>
      </c>
      <c r="E75" s="13">
        <v>28751576.699999999</v>
      </c>
      <c r="F75" s="14">
        <v>0</v>
      </c>
      <c r="G75" s="14">
        <v>0</v>
      </c>
      <c r="H75" s="14"/>
      <c r="I75" s="14">
        <f t="shared" si="2"/>
        <v>28751576.699999999</v>
      </c>
      <c r="K75" s="11"/>
      <c r="M75" s="15"/>
    </row>
    <row r="76" spans="1:13" outlineLevel="2">
      <c r="A76" s="11">
        <f t="shared" si="3"/>
        <v>72</v>
      </c>
      <c r="B76" s="11" t="s">
        <v>8</v>
      </c>
      <c r="C76" s="17" t="s">
        <v>153</v>
      </c>
      <c r="D76" s="12" t="s">
        <v>154</v>
      </c>
      <c r="E76" s="13">
        <v>1055414.43</v>
      </c>
      <c r="F76" s="14">
        <v>0</v>
      </c>
      <c r="G76" s="14">
        <v>0</v>
      </c>
      <c r="H76" s="14"/>
      <c r="I76" s="14">
        <f t="shared" si="2"/>
        <v>1055414.43</v>
      </c>
      <c r="K76" s="11"/>
      <c r="M76" s="15"/>
    </row>
    <row r="77" spans="1:13" outlineLevel="2">
      <c r="A77" s="11">
        <f t="shared" si="3"/>
        <v>73</v>
      </c>
      <c r="B77" s="11" t="s">
        <v>8</v>
      </c>
      <c r="C77" s="17" t="s">
        <v>155</v>
      </c>
      <c r="D77" s="12" t="s">
        <v>156</v>
      </c>
      <c r="E77" s="13">
        <v>8982947.9100000001</v>
      </c>
      <c r="F77" s="14">
        <v>0</v>
      </c>
      <c r="G77" s="14">
        <v>0</v>
      </c>
      <c r="H77" s="14"/>
      <c r="I77" s="14">
        <f t="shared" si="2"/>
        <v>8982947.9100000001</v>
      </c>
      <c r="K77" s="11"/>
      <c r="M77" s="15"/>
    </row>
    <row r="78" spans="1:13" outlineLevel="2">
      <c r="A78" s="11">
        <f t="shared" si="3"/>
        <v>74</v>
      </c>
      <c r="B78" s="11" t="s">
        <v>8</v>
      </c>
      <c r="C78" s="17" t="s">
        <v>157</v>
      </c>
      <c r="D78" s="12" t="s">
        <v>158</v>
      </c>
      <c r="E78" s="13">
        <v>5274133.7300000004</v>
      </c>
      <c r="F78" s="14">
        <v>0</v>
      </c>
      <c r="G78" s="14">
        <v>0</v>
      </c>
      <c r="H78" s="14"/>
      <c r="I78" s="14">
        <f t="shared" si="2"/>
        <v>5274133.7300000004</v>
      </c>
      <c r="K78" s="11"/>
      <c r="M78" s="15"/>
    </row>
    <row r="79" spans="1:13" outlineLevel="2">
      <c r="A79" s="11">
        <f t="shared" si="3"/>
        <v>75</v>
      </c>
      <c r="B79" s="11" t="s">
        <v>8</v>
      </c>
      <c r="C79" s="17" t="s">
        <v>159</v>
      </c>
      <c r="D79" s="12" t="s">
        <v>160</v>
      </c>
      <c r="E79" s="13">
        <v>1089083.24</v>
      </c>
      <c r="F79" s="14">
        <v>0</v>
      </c>
      <c r="G79" s="14">
        <v>0</v>
      </c>
      <c r="H79" s="14"/>
      <c r="I79" s="14">
        <f t="shared" si="2"/>
        <v>1089083.24</v>
      </c>
      <c r="K79" s="11"/>
      <c r="M79" s="15"/>
    </row>
    <row r="80" spans="1:13" outlineLevel="2">
      <c r="A80" s="11">
        <f t="shared" si="3"/>
        <v>76</v>
      </c>
      <c r="B80" s="11" t="s">
        <v>8</v>
      </c>
      <c r="C80" s="17" t="s">
        <v>161</v>
      </c>
      <c r="D80" s="12" t="s">
        <v>162</v>
      </c>
      <c r="E80" s="13">
        <v>1816903.7</v>
      </c>
      <c r="F80" s="14">
        <v>0</v>
      </c>
      <c r="G80" s="14">
        <v>0</v>
      </c>
      <c r="H80" s="14"/>
      <c r="I80" s="14">
        <f t="shared" si="2"/>
        <v>1816903.7</v>
      </c>
      <c r="K80" s="11"/>
      <c r="M80" s="15"/>
    </row>
    <row r="81" spans="1:13" outlineLevel="2">
      <c r="A81" s="11">
        <f t="shared" si="3"/>
        <v>77</v>
      </c>
      <c r="B81" s="11" t="s">
        <v>8</v>
      </c>
      <c r="C81" s="17" t="s">
        <v>163</v>
      </c>
      <c r="D81" s="12" t="s">
        <v>164</v>
      </c>
      <c r="E81" s="13">
        <v>1790107.66</v>
      </c>
      <c r="F81" s="14">
        <v>0</v>
      </c>
      <c r="G81" s="14">
        <v>0</v>
      </c>
      <c r="H81" s="14"/>
      <c r="I81" s="14">
        <f t="shared" si="2"/>
        <v>1790107.66</v>
      </c>
      <c r="K81" s="11"/>
      <c r="M81" s="15"/>
    </row>
    <row r="82" spans="1:13" outlineLevel="2">
      <c r="A82" s="11">
        <f t="shared" si="3"/>
        <v>78</v>
      </c>
      <c r="B82" s="11" t="s">
        <v>8</v>
      </c>
      <c r="C82" s="17" t="s">
        <v>165</v>
      </c>
      <c r="D82" s="12" t="s">
        <v>166</v>
      </c>
      <c r="E82" s="13">
        <v>6346264.54</v>
      </c>
      <c r="F82" s="14">
        <v>0</v>
      </c>
      <c r="G82" s="14">
        <v>0</v>
      </c>
      <c r="H82" s="14"/>
      <c r="I82" s="14">
        <f t="shared" si="2"/>
        <v>6346264.54</v>
      </c>
      <c r="K82" s="11"/>
      <c r="M82" s="15"/>
    </row>
    <row r="83" spans="1:13" outlineLevel="2">
      <c r="A83" s="11">
        <f t="shared" si="3"/>
        <v>79</v>
      </c>
      <c r="B83" s="11" t="s">
        <v>8</v>
      </c>
      <c r="C83" s="17" t="s">
        <v>167</v>
      </c>
      <c r="D83" s="12" t="s">
        <v>168</v>
      </c>
      <c r="E83" s="13">
        <v>10569337.84</v>
      </c>
      <c r="F83" s="14">
        <v>0</v>
      </c>
      <c r="G83" s="14">
        <v>0</v>
      </c>
      <c r="H83" s="14"/>
      <c r="I83" s="14">
        <f t="shared" si="2"/>
        <v>10569337.84</v>
      </c>
      <c r="K83" s="11"/>
      <c r="M83" s="15"/>
    </row>
    <row r="84" spans="1:13" outlineLevel="2">
      <c r="A84" s="11">
        <f t="shared" si="3"/>
        <v>80</v>
      </c>
      <c r="B84" s="11" t="s">
        <v>8</v>
      </c>
      <c r="C84" s="17" t="s">
        <v>169</v>
      </c>
      <c r="D84" s="12" t="s">
        <v>170</v>
      </c>
      <c r="E84" s="13">
        <v>3750704.04</v>
      </c>
      <c r="F84" s="14">
        <v>0</v>
      </c>
      <c r="G84" s="14">
        <v>0</v>
      </c>
      <c r="H84" s="14"/>
      <c r="I84" s="14">
        <f t="shared" si="2"/>
        <v>3750704.04</v>
      </c>
      <c r="K84" s="11"/>
      <c r="M84" s="15"/>
    </row>
    <row r="85" spans="1:13" outlineLevel="2">
      <c r="A85" s="11">
        <f t="shared" si="3"/>
        <v>81</v>
      </c>
      <c r="B85" s="11" t="s">
        <v>8</v>
      </c>
      <c r="C85" s="17" t="s">
        <v>171</v>
      </c>
      <c r="D85" s="12" t="s">
        <v>172</v>
      </c>
      <c r="E85" s="13">
        <v>2915316.01</v>
      </c>
      <c r="F85" s="14">
        <v>0</v>
      </c>
      <c r="G85" s="14">
        <v>0</v>
      </c>
      <c r="H85" s="14"/>
      <c r="I85" s="14">
        <f t="shared" si="2"/>
        <v>2915316.01</v>
      </c>
      <c r="K85" s="11"/>
      <c r="M85" s="15"/>
    </row>
    <row r="86" spans="1:13" outlineLevel="2">
      <c r="A86" s="11">
        <f t="shared" si="3"/>
        <v>82</v>
      </c>
      <c r="B86" s="11" t="s">
        <v>8</v>
      </c>
      <c r="C86" s="17" t="s">
        <v>173</v>
      </c>
      <c r="D86" s="12" t="s">
        <v>174</v>
      </c>
      <c r="E86" s="13">
        <v>1132485.8600000001</v>
      </c>
      <c r="F86" s="14">
        <v>0</v>
      </c>
      <c r="G86" s="14">
        <v>0</v>
      </c>
      <c r="H86" s="14"/>
      <c r="I86" s="14">
        <f t="shared" si="2"/>
        <v>1132485.8600000001</v>
      </c>
      <c r="K86" s="11"/>
      <c r="M86" s="15"/>
    </row>
    <row r="87" spans="1:13" outlineLevel="2">
      <c r="A87" s="11">
        <f t="shared" si="3"/>
        <v>83</v>
      </c>
      <c r="B87" s="11" t="s">
        <v>8</v>
      </c>
      <c r="C87" s="17" t="s">
        <v>175</v>
      </c>
      <c r="D87" s="12" t="s">
        <v>176</v>
      </c>
      <c r="E87" s="13">
        <v>309991</v>
      </c>
      <c r="F87" s="14">
        <v>0</v>
      </c>
      <c r="G87" s="14">
        <v>0</v>
      </c>
      <c r="H87" s="14"/>
      <c r="I87" s="14">
        <f t="shared" si="2"/>
        <v>309991</v>
      </c>
      <c r="K87" s="11"/>
      <c r="M87" s="15"/>
    </row>
    <row r="88" spans="1:13" outlineLevel="2">
      <c r="A88" s="11">
        <f t="shared" si="3"/>
        <v>84</v>
      </c>
      <c r="B88" s="11" t="s">
        <v>8</v>
      </c>
      <c r="C88" s="17" t="s">
        <v>177</v>
      </c>
      <c r="D88" s="12" t="s">
        <v>178</v>
      </c>
      <c r="E88" s="13">
        <v>2651859.84</v>
      </c>
      <c r="F88" s="14">
        <v>0</v>
      </c>
      <c r="G88" s="14">
        <v>0</v>
      </c>
      <c r="H88" s="14"/>
      <c r="I88" s="14">
        <f t="shared" si="2"/>
        <v>2651859.84</v>
      </c>
      <c r="K88" s="11"/>
      <c r="M88" s="15"/>
    </row>
    <row r="89" spans="1:13" ht="13.5" customHeight="1" outlineLevel="2">
      <c r="A89" s="11">
        <f t="shared" si="3"/>
        <v>85</v>
      </c>
      <c r="B89" s="11" t="s">
        <v>8</v>
      </c>
      <c r="C89" s="17" t="s">
        <v>179</v>
      </c>
      <c r="D89" s="12" t="s">
        <v>180</v>
      </c>
      <c r="E89" s="13">
        <v>3973415.92</v>
      </c>
      <c r="F89" s="14">
        <v>0</v>
      </c>
      <c r="G89" s="14">
        <v>0</v>
      </c>
      <c r="H89" s="14"/>
      <c r="I89" s="14">
        <f t="shared" si="2"/>
        <v>3973415.92</v>
      </c>
      <c r="K89" s="11"/>
      <c r="M89" s="15"/>
    </row>
    <row r="90" spans="1:13" outlineLevel="2">
      <c r="A90" s="11">
        <f t="shared" si="3"/>
        <v>86</v>
      </c>
      <c r="B90" s="11" t="s">
        <v>8</v>
      </c>
      <c r="C90" s="17" t="s">
        <v>181</v>
      </c>
      <c r="D90" s="12" t="s">
        <v>182</v>
      </c>
      <c r="E90" s="13">
        <v>5563295.5999999996</v>
      </c>
      <c r="F90" s="14">
        <v>0</v>
      </c>
      <c r="G90" s="14">
        <v>0</v>
      </c>
      <c r="H90" s="14"/>
      <c r="I90" s="14">
        <f t="shared" si="2"/>
        <v>5563295.5999999996</v>
      </c>
      <c r="K90" s="11"/>
      <c r="M90" s="15"/>
    </row>
    <row r="91" spans="1:13" outlineLevel="2">
      <c r="A91" s="11">
        <f t="shared" si="3"/>
        <v>87</v>
      </c>
      <c r="B91" s="11" t="s">
        <v>8</v>
      </c>
      <c r="C91" s="17" t="s">
        <v>183</v>
      </c>
      <c r="D91" s="12" t="s">
        <v>184</v>
      </c>
      <c r="E91" s="13">
        <v>5949647.5099999998</v>
      </c>
      <c r="F91" s="14">
        <v>0</v>
      </c>
      <c r="G91" s="14">
        <v>0</v>
      </c>
      <c r="H91" s="14"/>
      <c r="I91" s="14">
        <f t="shared" si="2"/>
        <v>5949647.5099999998</v>
      </c>
      <c r="K91" s="11"/>
      <c r="M91" s="15"/>
    </row>
    <row r="92" spans="1:13" outlineLevel="2">
      <c r="A92" s="11">
        <f t="shared" si="3"/>
        <v>88</v>
      </c>
      <c r="B92" s="11" t="s">
        <v>8</v>
      </c>
      <c r="C92" s="17" t="s">
        <v>185</v>
      </c>
      <c r="D92" s="12" t="s">
        <v>186</v>
      </c>
      <c r="E92" s="13">
        <v>1967901.35</v>
      </c>
      <c r="F92" s="14">
        <v>0</v>
      </c>
      <c r="G92" s="14">
        <v>0</v>
      </c>
      <c r="H92" s="14"/>
      <c r="I92" s="14">
        <f t="shared" si="2"/>
        <v>1967901.35</v>
      </c>
      <c r="K92" s="11"/>
      <c r="M92" s="15"/>
    </row>
    <row r="93" spans="1:13" outlineLevel="2">
      <c r="A93" s="11">
        <f t="shared" si="3"/>
        <v>89</v>
      </c>
      <c r="B93" s="11" t="s">
        <v>8</v>
      </c>
      <c r="C93" s="17" t="s">
        <v>187</v>
      </c>
      <c r="D93" s="12" t="s">
        <v>188</v>
      </c>
      <c r="E93" s="13">
        <v>6683770.3600000003</v>
      </c>
      <c r="F93" s="14">
        <v>0</v>
      </c>
      <c r="G93" s="14">
        <v>0</v>
      </c>
      <c r="H93" s="14"/>
      <c r="I93" s="14">
        <f t="shared" si="2"/>
        <v>6683770.3600000003</v>
      </c>
      <c r="K93" s="11"/>
      <c r="M93" s="15"/>
    </row>
    <row r="94" spans="1:13" outlineLevel="2">
      <c r="A94" s="11">
        <f t="shared" si="3"/>
        <v>90</v>
      </c>
      <c r="B94" s="11" t="s">
        <v>8</v>
      </c>
      <c r="C94" s="17" t="s">
        <v>189</v>
      </c>
      <c r="D94" s="12" t="s">
        <v>190</v>
      </c>
      <c r="E94" s="13">
        <v>388816.19</v>
      </c>
      <c r="F94" s="14">
        <v>0</v>
      </c>
      <c r="G94" s="14">
        <v>0</v>
      </c>
      <c r="H94" s="14"/>
      <c r="I94" s="14">
        <f t="shared" si="2"/>
        <v>388816.19</v>
      </c>
      <c r="K94" s="11"/>
      <c r="M94" s="15"/>
    </row>
    <row r="95" spans="1:13" outlineLevel="2">
      <c r="A95" s="11">
        <f t="shared" si="3"/>
        <v>91</v>
      </c>
      <c r="B95" s="11" t="s">
        <v>8</v>
      </c>
      <c r="C95" s="17" t="s">
        <v>191</v>
      </c>
      <c r="D95" s="12" t="s">
        <v>192</v>
      </c>
      <c r="E95" s="13">
        <v>2488318.48</v>
      </c>
      <c r="F95" s="14">
        <v>0</v>
      </c>
      <c r="G95" s="14">
        <v>0</v>
      </c>
      <c r="H95" s="14"/>
      <c r="I95" s="14">
        <f t="shared" si="2"/>
        <v>2488318.48</v>
      </c>
      <c r="K95" s="11"/>
      <c r="M95" s="15"/>
    </row>
    <row r="96" spans="1:13" outlineLevel="2">
      <c r="A96" s="11">
        <f t="shared" si="3"/>
        <v>92</v>
      </c>
      <c r="B96" s="11" t="s">
        <v>8</v>
      </c>
      <c r="C96" s="17" t="s">
        <v>193</v>
      </c>
      <c r="D96" s="12" t="s">
        <v>194</v>
      </c>
      <c r="E96" s="13">
        <v>2140435.5299999998</v>
      </c>
      <c r="F96" s="14">
        <v>0</v>
      </c>
      <c r="G96" s="14">
        <v>0</v>
      </c>
      <c r="H96" s="14"/>
      <c r="I96" s="14">
        <f t="shared" si="2"/>
        <v>2140435.5299999998</v>
      </c>
      <c r="K96" s="11"/>
      <c r="M96" s="15"/>
    </row>
    <row r="97" spans="1:13" outlineLevel="2">
      <c r="A97" s="11">
        <f t="shared" si="3"/>
        <v>93</v>
      </c>
      <c r="B97" s="11" t="s">
        <v>8</v>
      </c>
      <c r="C97" s="17" t="s">
        <v>2327</v>
      </c>
      <c r="D97" s="12" t="s">
        <v>2017</v>
      </c>
      <c r="E97" s="13">
        <v>9269194.1600000001</v>
      </c>
      <c r="F97" s="14"/>
      <c r="G97" s="14"/>
      <c r="H97" s="14"/>
      <c r="I97" s="14">
        <f t="shared" si="2"/>
        <v>9269194.1600000001</v>
      </c>
      <c r="K97" s="11"/>
      <c r="M97" s="15"/>
    </row>
    <row r="98" spans="1:13" outlineLevel="2">
      <c r="A98" s="11">
        <f t="shared" si="3"/>
        <v>94</v>
      </c>
      <c r="B98" s="11" t="s">
        <v>8</v>
      </c>
      <c r="C98" s="17" t="s">
        <v>195</v>
      </c>
      <c r="D98" s="12" t="s">
        <v>196</v>
      </c>
      <c r="E98" s="13">
        <v>52063.76</v>
      </c>
      <c r="F98" s="14">
        <v>0</v>
      </c>
      <c r="G98" s="14">
        <v>0</v>
      </c>
      <c r="H98" s="14"/>
      <c r="I98" s="14">
        <f t="shared" si="2"/>
        <v>52063.76</v>
      </c>
      <c r="K98" s="11"/>
      <c r="M98" s="15"/>
    </row>
    <row r="99" spans="1:13" outlineLevel="2">
      <c r="A99" s="11">
        <f t="shared" si="3"/>
        <v>95</v>
      </c>
      <c r="B99" s="11" t="s">
        <v>8</v>
      </c>
      <c r="C99" s="17" t="s">
        <v>197</v>
      </c>
      <c r="D99" s="12" t="s">
        <v>198</v>
      </c>
      <c r="E99" s="13">
        <v>2235654.88</v>
      </c>
      <c r="F99" s="14">
        <v>0</v>
      </c>
      <c r="G99" s="14">
        <v>0</v>
      </c>
      <c r="H99" s="14"/>
      <c r="I99" s="14">
        <f t="shared" si="2"/>
        <v>2235654.88</v>
      </c>
      <c r="K99" s="11"/>
      <c r="M99" s="15"/>
    </row>
    <row r="100" spans="1:13" outlineLevel="2">
      <c r="A100" s="11">
        <f t="shared" si="3"/>
        <v>96</v>
      </c>
      <c r="B100" s="11" t="s">
        <v>8</v>
      </c>
      <c r="C100" s="17" t="s">
        <v>2316</v>
      </c>
      <c r="D100" s="12" t="s">
        <v>199</v>
      </c>
      <c r="E100" s="13">
        <v>576089.67000000004</v>
      </c>
      <c r="F100" s="14">
        <v>-576090</v>
      </c>
      <c r="G100" s="14"/>
      <c r="H100" s="14"/>
      <c r="I100" s="14">
        <f t="shared" si="2"/>
        <v>-0.32999999995809048</v>
      </c>
      <c r="K100" s="11"/>
      <c r="M100" s="15"/>
    </row>
    <row r="101" spans="1:13" outlineLevel="2">
      <c r="A101" s="11">
        <f t="shared" si="3"/>
        <v>97</v>
      </c>
      <c r="B101" s="11" t="s">
        <v>8</v>
      </c>
      <c r="C101" s="17" t="s">
        <v>200</v>
      </c>
      <c r="D101" s="12" t="s">
        <v>201</v>
      </c>
      <c r="E101" s="13">
        <v>7485605.7400000002</v>
      </c>
      <c r="F101" s="14">
        <v>0</v>
      </c>
      <c r="G101" s="14">
        <v>0</v>
      </c>
      <c r="H101" s="14"/>
      <c r="I101" s="14">
        <f t="shared" si="2"/>
        <v>7485605.7400000002</v>
      </c>
      <c r="K101" s="11"/>
      <c r="M101" s="15"/>
    </row>
    <row r="102" spans="1:13" outlineLevel="2">
      <c r="A102" s="11">
        <f t="shared" si="3"/>
        <v>98</v>
      </c>
      <c r="B102" s="11" t="s">
        <v>8</v>
      </c>
      <c r="C102" s="17" t="s">
        <v>202</v>
      </c>
      <c r="D102" s="12" t="s">
        <v>203</v>
      </c>
      <c r="E102" s="13">
        <v>1938352.95</v>
      </c>
      <c r="F102" s="14">
        <v>0</v>
      </c>
      <c r="G102" s="14">
        <v>0</v>
      </c>
      <c r="H102" s="14"/>
      <c r="I102" s="14">
        <f t="shared" ref="I102:I117" si="4">SUM(E102:G102)</f>
        <v>1938352.95</v>
      </c>
      <c r="K102" s="11"/>
      <c r="M102" s="15"/>
    </row>
    <row r="103" spans="1:13" outlineLevel="2">
      <c r="A103" s="11">
        <f t="shared" si="3"/>
        <v>99</v>
      </c>
      <c r="B103" s="11" t="s">
        <v>8</v>
      </c>
      <c r="C103" s="17" t="s">
        <v>204</v>
      </c>
      <c r="D103" s="12" t="s">
        <v>205</v>
      </c>
      <c r="E103" s="13">
        <v>3217192.17</v>
      </c>
      <c r="F103" s="14">
        <v>0</v>
      </c>
      <c r="G103" s="14">
        <v>0</v>
      </c>
      <c r="H103" s="14"/>
      <c r="I103" s="14">
        <f t="shared" si="4"/>
        <v>3217192.17</v>
      </c>
      <c r="K103" s="11"/>
      <c r="M103" s="15"/>
    </row>
    <row r="104" spans="1:13" outlineLevel="2">
      <c r="A104" s="11">
        <f t="shared" si="3"/>
        <v>100</v>
      </c>
      <c r="B104" s="11" t="s">
        <v>8</v>
      </c>
      <c r="C104" s="17" t="s">
        <v>206</v>
      </c>
      <c r="D104" s="12" t="s">
        <v>207</v>
      </c>
      <c r="E104" s="13">
        <v>277896.62</v>
      </c>
      <c r="F104" s="14">
        <v>0</v>
      </c>
      <c r="G104" s="14">
        <v>0</v>
      </c>
      <c r="H104" s="14"/>
      <c r="I104" s="14">
        <f t="shared" si="4"/>
        <v>277896.62</v>
      </c>
      <c r="K104" s="11"/>
    </row>
    <row r="105" spans="1:13" outlineLevel="2">
      <c r="A105" s="11">
        <f t="shared" si="3"/>
        <v>101</v>
      </c>
      <c r="B105" s="11" t="s">
        <v>8</v>
      </c>
      <c r="C105" s="17" t="s">
        <v>208</v>
      </c>
      <c r="D105" s="12" t="s">
        <v>209</v>
      </c>
      <c r="E105" s="13">
        <v>6743203.0499999998</v>
      </c>
      <c r="F105" s="14">
        <v>0</v>
      </c>
      <c r="G105" s="14">
        <v>0</v>
      </c>
      <c r="H105" s="14"/>
      <c r="I105" s="14">
        <f t="shared" si="4"/>
        <v>6743203.0499999998</v>
      </c>
      <c r="K105" s="11"/>
      <c r="M105" s="15"/>
    </row>
    <row r="106" spans="1:13" outlineLevel="2">
      <c r="A106" s="11">
        <f t="shared" si="3"/>
        <v>102</v>
      </c>
      <c r="B106" s="11" t="s">
        <v>8</v>
      </c>
      <c r="C106" s="17" t="s">
        <v>210</v>
      </c>
      <c r="D106" s="12" t="s">
        <v>211</v>
      </c>
      <c r="E106" s="13">
        <v>1084857.5</v>
      </c>
      <c r="F106" s="14">
        <v>0</v>
      </c>
      <c r="G106" s="14">
        <v>0</v>
      </c>
      <c r="H106" s="14"/>
      <c r="I106" s="14">
        <f t="shared" si="4"/>
        <v>1084857.5</v>
      </c>
      <c r="K106" s="11"/>
    </row>
    <row r="107" spans="1:13" outlineLevel="2">
      <c r="A107" s="11">
        <f t="shared" si="3"/>
        <v>103</v>
      </c>
      <c r="B107" s="11" t="s">
        <v>8</v>
      </c>
      <c r="C107" s="17" t="s">
        <v>212</v>
      </c>
      <c r="D107" s="12" t="s">
        <v>213</v>
      </c>
      <c r="E107" s="13">
        <v>3485236.01</v>
      </c>
      <c r="F107" s="14">
        <v>0</v>
      </c>
      <c r="G107" s="14">
        <v>0</v>
      </c>
      <c r="H107" s="14"/>
      <c r="I107" s="14">
        <f t="shared" si="4"/>
        <v>3485236.01</v>
      </c>
      <c r="K107" s="11"/>
      <c r="M107" s="15"/>
    </row>
    <row r="108" spans="1:13" outlineLevel="2">
      <c r="A108" s="11">
        <f t="shared" si="3"/>
        <v>104</v>
      </c>
      <c r="B108" s="11" t="s">
        <v>8</v>
      </c>
      <c r="C108" s="17" t="s">
        <v>214</v>
      </c>
      <c r="D108" s="12" t="s">
        <v>215</v>
      </c>
      <c r="E108" s="13">
        <v>1527895.21</v>
      </c>
      <c r="F108" s="14">
        <v>0</v>
      </c>
      <c r="G108" s="14">
        <v>0</v>
      </c>
      <c r="H108" s="14"/>
      <c r="I108" s="14">
        <f t="shared" si="4"/>
        <v>1527895.21</v>
      </c>
      <c r="K108" s="11"/>
      <c r="M108" s="15"/>
    </row>
    <row r="109" spans="1:13" ht="13.5" customHeight="1" outlineLevel="2">
      <c r="A109" s="11">
        <f t="shared" si="3"/>
        <v>105</v>
      </c>
      <c r="B109" s="11" t="s">
        <v>8</v>
      </c>
      <c r="C109" s="17" t="s">
        <v>216</v>
      </c>
      <c r="D109" s="12" t="s">
        <v>217</v>
      </c>
      <c r="E109" s="13">
        <v>5110115.21</v>
      </c>
      <c r="F109" s="14">
        <v>0</v>
      </c>
      <c r="G109" s="14">
        <v>0</v>
      </c>
      <c r="H109" s="14"/>
      <c r="I109" s="14">
        <f t="shared" si="4"/>
        <v>5110115.21</v>
      </c>
      <c r="K109" s="11"/>
      <c r="M109" s="15"/>
    </row>
    <row r="110" spans="1:13" outlineLevel="2">
      <c r="A110" s="11">
        <f t="shared" si="3"/>
        <v>106</v>
      </c>
      <c r="B110" s="11" t="s">
        <v>8</v>
      </c>
      <c r="C110" s="17" t="s">
        <v>218</v>
      </c>
      <c r="D110" s="12" t="s">
        <v>219</v>
      </c>
      <c r="E110" s="13">
        <v>312931.03999999998</v>
      </c>
      <c r="F110" s="14">
        <v>0</v>
      </c>
      <c r="G110" s="14">
        <v>0</v>
      </c>
      <c r="H110" s="14"/>
      <c r="I110" s="14">
        <f t="shared" si="4"/>
        <v>312931.03999999998</v>
      </c>
      <c r="K110" s="11"/>
      <c r="M110" s="15"/>
    </row>
    <row r="111" spans="1:13" outlineLevel="2">
      <c r="A111" s="11">
        <f t="shared" si="3"/>
        <v>107</v>
      </c>
      <c r="B111" s="11" t="s">
        <v>8</v>
      </c>
      <c r="C111" s="17" t="s">
        <v>220</v>
      </c>
      <c r="D111" s="12" t="s">
        <v>221</v>
      </c>
      <c r="E111" s="13">
        <v>7488153.7300000004</v>
      </c>
      <c r="F111" s="14">
        <v>0</v>
      </c>
      <c r="G111" s="14">
        <v>0</v>
      </c>
      <c r="H111" s="14"/>
      <c r="I111" s="14">
        <f t="shared" si="4"/>
        <v>7488153.7300000004</v>
      </c>
      <c r="K111" s="11"/>
      <c r="M111" s="15"/>
    </row>
    <row r="112" spans="1:13" outlineLevel="2">
      <c r="A112" s="11">
        <f t="shared" si="3"/>
        <v>108</v>
      </c>
      <c r="B112" s="11" t="s">
        <v>8</v>
      </c>
      <c r="C112" s="17" t="s">
        <v>222</v>
      </c>
      <c r="D112" s="12" t="s">
        <v>223</v>
      </c>
      <c r="E112" s="13">
        <v>26924889.420000002</v>
      </c>
      <c r="F112" s="14">
        <v>0</v>
      </c>
      <c r="G112" s="14">
        <v>0</v>
      </c>
      <c r="H112" s="14"/>
      <c r="I112" s="14">
        <f t="shared" si="4"/>
        <v>26924889.420000002</v>
      </c>
      <c r="K112" s="11"/>
      <c r="M112" s="15"/>
    </row>
    <row r="113" spans="1:13" outlineLevel="2">
      <c r="A113" s="11">
        <f t="shared" si="3"/>
        <v>109</v>
      </c>
      <c r="B113" s="11" t="s">
        <v>8</v>
      </c>
      <c r="C113" s="17" t="s">
        <v>41</v>
      </c>
      <c r="D113" s="12" t="s">
        <v>224</v>
      </c>
      <c r="E113" s="13">
        <v>349954</v>
      </c>
      <c r="F113" s="14">
        <v>0</v>
      </c>
      <c r="G113" s="14">
        <v>0</v>
      </c>
      <c r="H113" s="14"/>
      <c r="I113" s="14">
        <f t="shared" si="4"/>
        <v>349954</v>
      </c>
      <c r="K113" s="11"/>
      <c r="M113" s="15"/>
    </row>
    <row r="114" spans="1:13" outlineLevel="2">
      <c r="A114" s="11">
        <f t="shared" si="3"/>
        <v>110</v>
      </c>
      <c r="B114" s="11" t="s">
        <v>8</v>
      </c>
      <c r="C114" s="17" t="s">
        <v>225</v>
      </c>
      <c r="D114" s="12" t="s">
        <v>226</v>
      </c>
      <c r="E114" s="13">
        <v>17627867.68</v>
      </c>
      <c r="F114" s="14">
        <v>0</v>
      </c>
      <c r="G114" s="14">
        <v>0</v>
      </c>
      <c r="H114" s="14"/>
      <c r="I114" s="14">
        <f t="shared" si="4"/>
        <v>17627867.68</v>
      </c>
      <c r="K114" s="11"/>
      <c r="M114" s="15"/>
    </row>
    <row r="115" spans="1:13" outlineLevel="2">
      <c r="A115" s="11">
        <f t="shared" si="3"/>
        <v>111</v>
      </c>
      <c r="B115" s="11" t="s">
        <v>8</v>
      </c>
      <c r="C115" s="17" t="s">
        <v>227</v>
      </c>
      <c r="D115" s="12" t="s">
        <v>228</v>
      </c>
      <c r="E115" s="13">
        <v>11035513.970000001</v>
      </c>
      <c r="F115" s="14">
        <v>0</v>
      </c>
      <c r="G115" s="14">
        <v>0</v>
      </c>
      <c r="H115" s="14"/>
      <c r="I115" s="14">
        <f t="shared" si="4"/>
        <v>11035513.970000001</v>
      </c>
      <c r="K115" s="11"/>
      <c r="M115" s="15"/>
    </row>
    <row r="116" spans="1:13" outlineLevel="2">
      <c r="A116" s="11">
        <f t="shared" si="3"/>
        <v>112</v>
      </c>
      <c r="B116" s="11" t="s">
        <v>8</v>
      </c>
      <c r="C116" s="17" t="s">
        <v>229</v>
      </c>
      <c r="D116" s="12" t="s">
        <v>230</v>
      </c>
      <c r="E116" s="13">
        <v>4629315.97</v>
      </c>
      <c r="F116" s="14">
        <v>0</v>
      </c>
      <c r="G116" s="14">
        <v>0</v>
      </c>
      <c r="H116" s="14"/>
      <c r="I116" s="14">
        <f t="shared" si="4"/>
        <v>4629315.97</v>
      </c>
      <c r="K116" s="11"/>
      <c r="M116" s="15"/>
    </row>
    <row r="117" spans="1:13" outlineLevel="2">
      <c r="A117" s="11">
        <f t="shared" si="3"/>
        <v>113</v>
      </c>
      <c r="B117" s="11" t="s">
        <v>8</v>
      </c>
      <c r="C117" s="17" t="s">
        <v>231</v>
      </c>
      <c r="D117" s="12" t="s">
        <v>232</v>
      </c>
      <c r="E117" s="13">
        <v>2265163.38</v>
      </c>
      <c r="F117" s="14">
        <v>0</v>
      </c>
      <c r="G117" s="14">
        <v>0</v>
      </c>
      <c r="H117" s="14"/>
      <c r="I117" s="14">
        <f t="shared" si="4"/>
        <v>2265163.38</v>
      </c>
      <c r="K117" s="11"/>
      <c r="M117" s="15"/>
    </row>
    <row r="118" spans="1:13" s="6" customFormat="1" ht="13.5" outlineLevel="1" thickBot="1">
      <c r="A118" s="11">
        <f t="shared" si="3"/>
        <v>114</v>
      </c>
      <c r="B118" s="19" t="s">
        <v>233</v>
      </c>
      <c r="C118" s="20"/>
      <c r="D118" s="21" t="s">
        <v>234</v>
      </c>
      <c r="E118" s="22">
        <f>SUBTOTAL(9,E5:E117)</f>
        <v>568215935.25000024</v>
      </c>
      <c r="F118" s="22">
        <f>SUBTOTAL(9,F5:F117)</f>
        <v>-576090</v>
      </c>
      <c r="G118" s="22">
        <f>SUBTOTAL(9,G5:G117)</f>
        <v>0</v>
      </c>
      <c r="H118" s="22"/>
      <c r="I118" s="23">
        <f>SUBTOTAL(9,I5:I117)</f>
        <v>567639845.25000024</v>
      </c>
      <c r="J118" s="24"/>
      <c r="K118" s="3"/>
      <c r="L118" s="3"/>
      <c r="M118" s="8"/>
    </row>
    <row r="119" spans="1:13" s="6" customFormat="1" ht="13.5" outlineLevel="1" thickTop="1">
      <c r="A119" s="11">
        <f t="shared" si="3"/>
        <v>115</v>
      </c>
      <c r="B119" s="11" t="s">
        <v>235</v>
      </c>
      <c r="C119" s="17" t="s">
        <v>459</v>
      </c>
      <c r="D119" s="12" t="s">
        <v>460</v>
      </c>
      <c r="E119" s="13">
        <v>6259.21</v>
      </c>
      <c r="F119" s="13">
        <v>0</v>
      </c>
      <c r="G119" s="13">
        <v>0</v>
      </c>
      <c r="H119" s="13"/>
      <c r="I119" s="14">
        <f t="shared" ref="I119:I160" si="5">SUM(E119:G119)</f>
        <v>6259.21</v>
      </c>
      <c r="J119" s="24"/>
      <c r="K119" s="3"/>
      <c r="L119" s="3"/>
      <c r="M119" s="8"/>
    </row>
    <row r="120" spans="1:13" outlineLevel="2">
      <c r="A120" s="11">
        <f t="shared" si="3"/>
        <v>116</v>
      </c>
      <c r="B120" s="11" t="s">
        <v>235</v>
      </c>
      <c r="C120" s="17" t="s">
        <v>236</v>
      </c>
      <c r="D120" s="1" t="s">
        <v>237</v>
      </c>
      <c r="E120" s="13">
        <v>5878984.1399999997</v>
      </c>
      <c r="F120" s="13">
        <v>0</v>
      </c>
      <c r="G120" s="13">
        <v>0</v>
      </c>
      <c r="I120" s="14">
        <f t="shared" si="5"/>
        <v>5878984.1399999997</v>
      </c>
      <c r="K120" s="11"/>
      <c r="M120" s="15"/>
    </row>
    <row r="121" spans="1:13" outlineLevel="2">
      <c r="A121" s="11">
        <f t="shared" si="3"/>
        <v>117</v>
      </c>
      <c r="B121" s="11" t="s">
        <v>235</v>
      </c>
      <c r="C121" s="17" t="s">
        <v>238</v>
      </c>
      <c r="D121" s="12" t="s">
        <v>239</v>
      </c>
      <c r="E121" s="13">
        <v>2318295.1</v>
      </c>
      <c r="F121" s="13">
        <v>-800023.53</v>
      </c>
      <c r="G121" s="13">
        <v>0</v>
      </c>
      <c r="I121" s="14">
        <f t="shared" si="5"/>
        <v>1518271.57</v>
      </c>
      <c r="K121" s="11"/>
      <c r="M121" s="15"/>
    </row>
    <row r="122" spans="1:13" outlineLevel="2">
      <c r="A122" s="11">
        <f t="shared" si="3"/>
        <v>118</v>
      </c>
      <c r="B122" s="11" t="s">
        <v>235</v>
      </c>
      <c r="C122" s="17" t="s">
        <v>241</v>
      </c>
      <c r="D122" s="12" t="s">
        <v>242</v>
      </c>
      <c r="E122" s="13">
        <v>63325.31</v>
      </c>
      <c r="F122" s="13">
        <v>0</v>
      </c>
      <c r="G122" s="13">
        <v>0</v>
      </c>
      <c r="I122" s="14">
        <f t="shared" si="5"/>
        <v>63325.31</v>
      </c>
      <c r="K122" s="11"/>
    </row>
    <row r="123" spans="1:13" outlineLevel="2">
      <c r="A123" s="11">
        <f t="shared" si="3"/>
        <v>119</v>
      </c>
      <c r="B123" s="11" t="s">
        <v>235</v>
      </c>
      <c r="C123" s="17" t="s">
        <v>461</v>
      </c>
      <c r="D123" s="12" t="s">
        <v>462</v>
      </c>
      <c r="E123" s="13">
        <v>35004.78</v>
      </c>
      <c r="F123" s="13">
        <v>-35004.78</v>
      </c>
      <c r="G123" s="13">
        <v>0</v>
      </c>
      <c r="I123" s="14">
        <f t="shared" si="5"/>
        <v>0</v>
      </c>
      <c r="K123" s="11"/>
    </row>
    <row r="124" spans="1:13" outlineLevel="2">
      <c r="A124" s="11">
        <f t="shared" si="3"/>
        <v>120</v>
      </c>
      <c r="B124" s="11" t="s">
        <v>235</v>
      </c>
      <c r="C124" s="17" t="s">
        <v>243</v>
      </c>
      <c r="D124" s="12" t="s">
        <v>244</v>
      </c>
      <c r="E124" s="13">
        <v>2899880.73</v>
      </c>
      <c r="F124" s="13">
        <v>-124344</v>
      </c>
      <c r="G124" s="13">
        <v>0</v>
      </c>
      <c r="I124" s="14">
        <f t="shared" si="5"/>
        <v>2775536.73</v>
      </c>
      <c r="K124" s="11"/>
    </row>
    <row r="125" spans="1:13" outlineLevel="2">
      <c r="A125" s="11">
        <f t="shared" si="3"/>
        <v>121</v>
      </c>
      <c r="B125" s="11" t="s">
        <v>235</v>
      </c>
      <c r="C125" s="17" t="s">
        <v>463</v>
      </c>
      <c r="D125" s="12" t="s">
        <v>464</v>
      </c>
      <c r="E125" s="13">
        <v>279691.27</v>
      </c>
      <c r="F125" s="13">
        <v>0</v>
      </c>
      <c r="G125" s="13">
        <v>0</v>
      </c>
      <c r="I125" s="14">
        <f t="shared" si="5"/>
        <v>279691.27</v>
      </c>
      <c r="K125" s="11"/>
    </row>
    <row r="126" spans="1:13" outlineLevel="2">
      <c r="A126" s="11">
        <f t="shared" si="3"/>
        <v>122</v>
      </c>
      <c r="B126" s="11" t="s">
        <v>235</v>
      </c>
      <c r="C126" s="17" t="s">
        <v>245</v>
      </c>
      <c r="D126" s="12" t="s">
        <v>246</v>
      </c>
      <c r="E126" s="13">
        <v>309700.65000000002</v>
      </c>
      <c r="F126" s="13">
        <v>0</v>
      </c>
      <c r="G126" s="13">
        <v>0</v>
      </c>
      <c r="I126" s="14">
        <f t="shared" si="5"/>
        <v>309700.65000000002</v>
      </c>
      <c r="K126" s="11"/>
      <c r="M126" s="15"/>
    </row>
    <row r="127" spans="1:13" outlineLevel="2">
      <c r="A127" s="11">
        <f t="shared" si="3"/>
        <v>123</v>
      </c>
      <c r="B127" s="11" t="s">
        <v>235</v>
      </c>
      <c r="C127" s="17" t="s">
        <v>247</v>
      </c>
      <c r="D127" s="12" t="s">
        <v>248</v>
      </c>
      <c r="E127" s="13">
        <v>13779308.23</v>
      </c>
      <c r="F127" s="13">
        <v>-163836</v>
      </c>
      <c r="G127" s="13">
        <v>0</v>
      </c>
      <c r="I127" s="14">
        <f t="shared" si="5"/>
        <v>13615472.23</v>
      </c>
      <c r="J127" s="12"/>
      <c r="K127" s="11"/>
      <c r="M127" s="15"/>
    </row>
    <row r="128" spans="1:13" outlineLevel="2">
      <c r="A128" s="11">
        <f t="shared" si="3"/>
        <v>124</v>
      </c>
      <c r="B128" s="11" t="s">
        <v>235</v>
      </c>
      <c r="C128" s="17" t="s">
        <v>249</v>
      </c>
      <c r="D128" s="12" t="s">
        <v>250</v>
      </c>
      <c r="E128" s="13">
        <v>4706446.99</v>
      </c>
      <c r="F128" s="13">
        <v>-231321.2</v>
      </c>
      <c r="G128" s="13">
        <v>0</v>
      </c>
      <c r="I128" s="14">
        <f t="shared" si="5"/>
        <v>4475125.79</v>
      </c>
      <c r="J128" s="12"/>
      <c r="K128" s="11"/>
      <c r="M128" s="15"/>
    </row>
    <row r="129" spans="1:16" outlineLevel="2">
      <c r="A129" s="11">
        <f t="shared" si="3"/>
        <v>125</v>
      </c>
      <c r="B129" s="11" t="s">
        <v>235</v>
      </c>
      <c r="C129" s="17" t="s">
        <v>251</v>
      </c>
      <c r="D129" s="12" t="s">
        <v>252</v>
      </c>
      <c r="E129" s="13">
        <v>272529.27</v>
      </c>
      <c r="F129" s="13">
        <v>-218121.74</v>
      </c>
      <c r="G129" s="13">
        <v>0</v>
      </c>
      <c r="I129" s="14">
        <f t="shared" si="5"/>
        <v>54407.530000000028</v>
      </c>
      <c r="J129" s="12"/>
      <c r="K129" s="11"/>
      <c r="M129" s="15"/>
    </row>
    <row r="130" spans="1:16" outlineLevel="2">
      <c r="A130" s="11">
        <f t="shared" si="3"/>
        <v>126</v>
      </c>
      <c r="B130" s="11" t="s">
        <v>235</v>
      </c>
      <c r="C130" s="17" t="s">
        <v>253</v>
      </c>
      <c r="D130" s="12" t="s">
        <v>254</v>
      </c>
      <c r="E130" s="13">
        <v>17751914.77</v>
      </c>
      <c r="F130" s="13">
        <v>-187217.77</v>
      </c>
      <c r="G130" s="13">
        <v>0</v>
      </c>
      <c r="I130" s="14">
        <f t="shared" si="5"/>
        <v>17564697</v>
      </c>
      <c r="J130" s="12"/>
      <c r="K130" s="11"/>
      <c r="M130" s="15"/>
    </row>
    <row r="131" spans="1:16" outlineLevel="2">
      <c r="A131" s="11">
        <f t="shared" si="3"/>
        <v>127</v>
      </c>
      <c r="B131" s="11" t="s">
        <v>235</v>
      </c>
      <c r="C131" s="17" t="s">
        <v>255</v>
      </c>
      <c r="D131" s="12" t="s">
        <v>256</v>
      </c>
      <c r="E131" s="13">
        <v>12472.19</v>
      </c>
      <c r="F131" s="13">
        <v>0</v>
      </c>
      <c r="G131" s="13">
        <v>0</v>
      </c>
      <c r="I131" s="14">
        <f t="shared" si="5"/>
        <v>12472.19</v>
      </c>
      <c r="K131" s="11"/>
      <c r="M131" s="15"/>
    </row>
    <row r="132" spans="1:16" outlineLevel="2">
      <c r="A132" s="11">
        <f t="shared" si="3"/>
        <v>128</v>
      </c>
      <c r="B132" s="11" t="s">
        <v>235</v>
      </c>
      <c r="C132" s="17" t="s">
        <v>257</v>
      </c>
      <c r="D132" s="12" t="s">
        <v>258</v>
      </c>
      <c r="E132" s="13">
        <v>2997082.15</v>
      </c>
      <c r="F132" s="13">
        <v>-630455</v>
      </c>
      <c r="G132" s="13">
        <v>0</v>
      </c>
      <c r="I132" s="14">
        <f t="shared" si="5"/>
        <v>2366627.15</v>
      </c>
      <c r="J132" s="12"/>
      <c r="K132" s="11"/>
      <c r="M132" s="15"/>
    </row>
    <row r="133" spans="1:16" outlineLevel="2">
      <c r="A133" s="11">
        <f t="shared" si="3"/>
        <v>129</v>
      </c>
      <c r="B133" s="11" t="s">
        <v>235</v>
      </c>
      <c r="C133" s="17" t="s">
        <v>259</v>
      </c>
      <c r="D133" s="12" t="s">
        <v>260</v>
      </c>
      <c r="E133" s="13">
        <v>3398445.6</v>
      </c>
      <c r="F133" s="13">
        <v>-1226623.06</v>
      </c>
      <c r="G133" s="13">
        <v>0</v>
      </c>
      <c r="I133" s="14">
        <f t="shared" si="5"/>
        <v>2171822.54</v>
      </c>
      <c r="J133" s="12"/>
      <c r="K133" s="11"/>
      <c r="M133" s="15"/>
    </row>
    <row r="134" spans="1:16" outlineLevel="2">
      <c r="A134" s="11">
        <f t="shared" si="3"/>
        <v>130</v>
      </c>
      <c r="B134" s="11" t="s">
        <v>235</v>
      </c>
      <c r="C134" s="17" t="s">
        <v>261</v>
      </c>
      <c r="D134" s="12" t="s">
        <v>262</v>
      </c>
      <c r="E134" s="13">
        <v>4460377.1900000004</v>
      </c>
      <c r="F134" s="13">
        <v>0</v>
      </c>
      <c r="G134" s="13">
        <v>0</v>
      </c>
      <c r="I134" s="14">
        <f t="shared" si="5"/>
        <v>4460377.1900000004</v>
      </c>
      <c r="K134" s="11"/>
      <c r="M134" s="15"/>
    </row>
    <row r="135" spans="1:16" outlineLevel="2">
      <c r="A135" s="11">
        <f t="shared" si="3"/>
        <v>131</v>
      </c>
      <c r="B135" s="11" t="s">
        <v>235</v>
      </c>
      <c r="C135" s="17" t="s">
        <v>2302</v>
      </c>
      <c r="D135" s="12" t="s">
        <v>2313</v>
      </c>
      <c r="E135" s="13">
        <f>4765825.66-4765825.66</f>
        <v>0</v>
      </c>
      <c r="F135" s="13">
        <v>0</v>
      </c>
      <c r="G135" s="13">
        <v>0</v>
      </c>
      <c r="I135" s="14">
        <f t="shared" si="5"/>
        <v>0</v>
      </c>
      <c r="K135" s="11"/>
      <c r="M135" s="15"/>
    </row>
    <row r="136" spans="1:16" outlineLevel="2">
      <c r="A136" s="11">
        <f t="shared" si="3"/>
        <v>132</v>
      </c>
      <c r="B136" s="11" t="s">
        <v>235</v>
      </c>
      <c r="C136" s="17" t="s">
        <v>465</v>
      </c>
      <c r="D136" s="12" t="s">
        <v>466</v>
      </c>
      <c r="E136" s="13">
        <v>45210.14</v>
      </c>
      <c r="I136" s="14">
        <f t="shared" si="5"/>
        <v>45210.14</v>
      </c>
      <c r="K136" s="11"/>
      <c r="M136" s="15"/>
    </row>
    <row r="137" spans="1:16" outlineLevel="2">
      <c r="A137" s="11">
        <f t="shared" si="3"/>
        <v>133</v>
      </c>
      <c r="B137" s="11" t="s">
        <v>235</v>
      </c>
      <c r="C137" s="17" t="s">
        <v>263</v>
      </c>
      <c r="D137" s="12" t="s">
        <v>264</v>
      </c>
      <c r="E137" s="13">
        <v>2463312.04</v>
      </c>
      <c r="F137" s="13">
        <v>0</v>
      </c>
      <c r="G137" s="13">
        <v>0</v>
      </c>
      <c r="I137" s="14">
        <f t="shared" si="5"/>
        <v>2463312.04</v>
      </c>
      <c r="K137" s="11"/>
      <c r="M137" s="15"/>
    </row>
    <row r="138" spans="1:16" outlineLevel="2">
      <c r="A138" s="11">
        <f t="shared" si="3"/>
        <v>134</v>
      </c>
      <c r="B138" s="11" t="s">
        <v>235</v>
      </c>
      <c r="C138" s="17" t="s">
        <v>265</v>
      </c>
      <c r="D138" s="12" t="s">
        <v>266</v>
      </c>
      <c r="E138" s="13">
        <v>3819872.91</v>
      </c>
      <c r="F138" s="13">
        <v>-1007873.07</v>
      </c>
      <c r="G138" s="13">
        <v>0</v>
      </c>
      <c r="I138" s="14">
        <f t="shared" si="5"/>
        <v>2811999.8400000003</v>
      </c>
      <c r="J138" s="12"/>
      <c r="K138" s="11"/>
      <c r="M138" s="15"/>
    </row>
    <row r="139" spans="1:16" outlineLevel="2">
      <c r="A139" s="11">
        <f t="shared" ref="A139:A141" si="6">A138+1</f>
        <v>135</v>
      </c>
      <c r="B139" s="11" t="s">
        <v>235</v>
      </c>
      <c r="C139" s="17" t="s">
        <v>467</v>
      </c>
      <c r="D139" s="12" t="s">
        <v>468</v>
      </c>
      <c r="E139" s="13">
        <v>1376075.86</v>
      </c>
      <c r="F139" s="13">
        <v>0</v>
      </c>
      <c r="G139" s="13">
        <v>0</v>
      </c>
      <c r="I139" s="14">
        <f t="shared" si="5"/>
        <v>1376075.86</v>
      </c>
      <c r="J139" s="12"/>
      <c r="K139" s="11"/>
      <c r="M139" s="15"/>
    </row>
    <row r="140" spans="1:16" outlineLevel="2">
      <c r="A140" s="11">
        <f t="shared" si="6"/>
        <v>136</v>
      </c>
      <c r="B140" s="11" t="s">
        <v>235</v>
      </c>
      <c r="C140" s="17" t="s">
        <v>267</v>
      </c>
      <c r="D140" s="12" t="s">
        <v>268</v>
      </c>
      <c r="E140" s="13">
        <v>9139053.5299999993</v>
      </c>
      <c r="F140" s="13">
        <v>-2140669.77</v>
      </c>
      <c r="G140" s="13">
        <v>0</v>
      </c>
      <c r="I140" s="14">
        <f t="shared" si="5"/>
        <v>6998383.7599999998</v>
      </c>
      <c r="J140" s="12"/>
      <c r="K140" s="11"/>
      <c r="M140" s="15"/>
    </row>
    <row r="141" spans="1:16" outlineLevel="2">
      <c r="A141" s="11">
        <f t="shared" si="6"/>
        <v>137</v>
      </c>
      <c r="B141" s="11" t="s">
        <v>235</v>
      </c>
      <c r="C141" s="17" t="s">
        <v>269</v>
      </c>
      <c r="D141" s="12" t="s">
        <v>270</v>
      </c>
      <c r="E141" s="13">
        <v>5986123.4699999997</v>
      </c>
      <c r="F141" s="13">
        <v>-315045</v>
      </c>
      <c r="G141" s="13">
        <v>0</v>
      </c>
      <c r="I141" s="14">
        <f t="shared" si="5"/>
        <v>5671078.4699999997</v>
      </c>
      <c r="J141" s="12"/>
      <c r="K141" s="11"/>
      <c r="M141" s="15"/>
    </row>
    <row r="142" spans="1:16" outlineLevel="2">
      <c r="A142" s="11">
        <f t="shared" ref="A142:A222" si="7">A141+1</f>
        <v>138</v>
      </c>
      <c r="B142" s="11" t="s">
        <v>235</v>
      </c>
      <c r="C142" s="17" t="s">
        <v>271</v>
      </c>
      <c r="D142" s="12" t="s">
        <v>272</v>
      </c>
      <c r="E142" s="13">
        <v>8453083.7100000009</v>
      </c>
      <c r="F142" s="13">
        <v>0</v>
      </c>
      <c r="G142" s="13">
        <v>0</v>
      </c>
      <c r="I142" s="14">
        <f t="shared" si="5"/>
        <v>8453083.7100000009</v>
      </c>
      <c r="K142" s="11"/>
      <c r="M142" s="15"/>
    </row>
    <row r="143" spans="1:16" outlineLevel="2">
      <c r="A143" s="11">
        <f t="shared" si="7"/>
        <v>139</v>
      </c>
      <c r="B143" s="11" t="s">
        <v>235</v>
      </c>
      <c r="C143" s="17" t="s">
        <v>273</v>
      </c>
      <c r="D143" s="12" t="s">
        <v>274</v>
      </c>
      <c r="E143" s="13">
        <v>11630045.17</v>
      </c>
      <c r="F143" s="13">
        <v>0</v>
      </c>
      <c r="G143" s="13">
        <v>0</v>
      </c>
      <c r="I143" s="14">
        <f t="shared" si="5"/>
        <v>11630045.17</v>
      </c>
      <c r="K143" s="11"/>
      <c r="M143" s="15"/>
    </row>
    <row r="144" spans="1:16" outlineLevel="2">
      <c r="A144" s="11">
        <f t="shared" si="7"/>
        <v>140</v>
      </c>
      <c r="B144" s="11" t="s">
        <v>235</v>
      </c>
      <c r="C144" s="17" t="s">
        <v>275</v>
      </c>
      <c r="D144" s="12" t="s">
        <v>276</v>
      </c>
      <c r="E144" s="13">
        <v>2390851.2200000002</v>
      </c>
      <c r="F144" s="13">
        <v>0</v>
      </c>
      <c r="G144" s="13">
        <v>0</v>
      </c>
      <c r="I144" s="14">
        <f t="shared" si="5"/>
        <v>2390851.2200000002</v>
      </c>
      <c r="K144" s="11"/>
      <c r="M144" s="15"/>
      <c r="P144" s="25"/>
    </row>
    <row r="145" spans="1:16" outlineLevel="2">
      <c r="A145" s="11">
        <f t="shared" si="7"/>
        <v>141</v>
      </c>
      <c r="B145" s="11" t="s">
        <v>235</v>
      </c>
      <c r="C145" s="17" t="s">
        <v>277</v>
      </c>
      <c r="D145" s="12" t="s">
        <v>278</v>
      </c>
      <c r="E145" s="13">
        <v>4633608.43</v>
      </c>
      <c r="F145" s="13">
        <v>-346141.75</v>
      </c>
      <c r="G145" s="13">
        <v>0</v>
      </c>
      <c r="I145" s="14">
        <f t="shared" si="5"/>
        <v>4287466.68</v>
      </c>
      <c r="J145" s="12"/>
      <c r="K145" s="11"/>
      <c r="M145" s="15"/>
      <c r="P145" s="26"/>
    </row>
    <row r="146" spans="1:16" outlineLevel="2">
      <c r="A146" s="11">
        <f t="shared" si="7"/>
        <v>142</v>
      </c>
      <c r="B146" s="11" t="s">
        <v>235</v>
      </c>
      <c r="C146" s="17" t="s">
        <v>279</v>
      </c>
      <c r="D146" s="12" t="s">
        <v>280</v>
      </c>
      <c r="E146" s="13">
        <v>1484722.33</v>
      </c>
      <c r="F146" s="13">
        <v>-1484722</v>
      </c>
      <c r="G146" s="13">
        <v>0</v>
      </c>
      <c r="I146" s="14">
        <f t="shared" si="5"/>
        <v>0.33000000007450581</v>
      </c>
      <c r="J146" s="12"/>
      <c r="K146" s="11"/>
      <c r="M146" s="15"/>
      <c r="P146" s="26"/>
    </row>
    <row r="147" spans="1:16" outlineLevel="2">
      <c r="A147" s="11">
        <f t="shared" si="7"/>
        <v>143</v>
      </c>
      <c r="B147" s="11" t="s">
        <v>235</v>
      </c>
      <c r="C147" s="17" t="s">
        <v>281</v>
      </c>
      <c r="D147" s="12" t="s">
        <v>282</v>
      </c>
      <c r="E147" s="13">
        <v>10478271.449999999</v>
      </c>
      <c r="F147" s="13">
        <v>-2304.9</v>
      </c>
      <c r="G147" s="13">
        <v>0</v>
      </c>
      <c r="I147" s="14">
        <f t="shared" si="5"/>
        <v>10475966.549999999</v>
      </c>
      <c r="J147" s="12"/>
      <c r="K147" s="11"/>
      <c r="M147" s="15"/>
    </row>
    <row r="148" spans="1:16" outlineLevel="2">
      <c r="A148" s="11">
        <f t="shared" si="7"/>
        <v>144</v>
      </c>
      <c r="B148" s="11" t="s">
        <v>235</v>
      </c>
      <c r="C148" s="17" t="s">
        <v>469</v>
      </c>
      <c r="D148" s="12" t="s">
        <v>470</v>
      </c>
      <c r="E148" s="13">
        <v>848872.14</v>
      </c>
      <c r="F148" s="13">
        <v>-109672.64</v>
      </c>
      <c r="I148" s="14">
        <f t="shared" si="5"/>
        <v>739199.5</v>
      </c>
      <c r="J148" s="12"/>
      <c r="K148" s="11"/>
      <c r="M148" s="15"/>
    </row>
    <row r="149" spans="1:16" outlineLevel="2">
      <c r="A149" s="11">
        <f t="shared" si="7"/>
        <v>145</v>
      </c>
      <c r="B149" s="11" t="s">
        <v>235</v>
      </c>
      <c r="C149" s="17" t="s">
        <v>283</v>
      </c>
      <c r="D149" s="12" t="s">
        <v>284</v>
      </c>
      <c r="E149" s="13">
        <v>16188021.15</v>
      </c>
      <c r="F149" s="13">
        <v>-183385</v>
      </c>
      <c r="G149" s="13">
        <v>0</v>
      </c>
      <c r="I149" s="14">
        <f t="shared" si="5"/>
        <v>16004636.15</v>
      </c>
      <c r="J149" s="12"/>
      <c r="K149" s="11"/>
      <c r="M149" s="15"/>
    </row>
    <row r="150" spans="1:16" outlineLevel="2">
      <c r="A150" s="11">
        <f t="shared" si="7"/>
        <v>146</v>
      </c>
      <c r="B150" s="11" t="s">
        <v>235</v>
      </c>
      <c r="C150" s="17" t="s">
        <v>285</v>
      </c>
      <c r="D150" s="12" t="s">
        <v>286</v>
      </c>
      <c r="E150" s="13">
        <v>1602554.49</v>
      </c>
      <c r="F150" s="13">
        <v>-1602554</v>
      </c>
      <c r="G150" s="13">
        <v>0</v>
      </c>
      <c r="I150" s="14">
        <f t="shared" si="5"/>
        <v>0.48999999999068677</v>
      </c>
      <c r="J150" s="12"/>
      <c r="K150" s="11"/>
      <c r="M150" s="15"/>
    </row>
    <row r="151" spans="1:16" outlineLevel="2">
      <c r="A151" s="11">
        <f t="shared" si="7"/>
        <v>147</v>
      </c>
      <c r="B151" s="11" t="s">
        <v>235</v>
      </c>
      <c r="C151" s="17" t="s">
        <v>287</v>
      </c>
      <c r="D151" s="12" t="s">
        <v>288</v>
      </c>
      <c r="E151" s="13">
        <v>2918979.13</v>
      </c>
      <c r="F151" s="13">
        <v>-81504.12</v>
      </c>
      <c r="G151" s="13">
        <v>0</v>
      </c>
      <c r="I151" s="14">
        <f t="shared" si="5"/>
        <v>2837475.01</v>
      </c>
      <c r="J151" s="12"/>
      <c r="K151" s="11"/>
      <c r="M151" s="15"/>
    </row>
    <row r="152" spans="1:16" outlineLevel="2">
      <c r="A152" s="11">
        <f t="shared" si="7"/>
        <v>148</v>
      </c>
      <c r="B152" s="11" t="s">
        <v>235</v>
      </c>
      <c r="C152" s="17" t="s">
        <v>471</v>
      </c>
      <c r="D152" s="12" t="s">
        <v>472</v>
      </c>
      <c r="E152" s="13">
        <v>23704.42</v>
      </c>
      <c r="F152" s="13">
        <v>0</v>
      </c>
      <c r="G152" s="13">
        <v>0</v>
      </c>
      <c r="I152" s="14">
        <f t="shared" si="5"/>
        <v>23704.42</v>
      </c>
      <c r="J152" s="12"/>
      <c r="K152" s="11"/>
      <c r="M152" s="15"/>
    </row>
    <row r="153" spans="1:16" outlineLevel="2">
      <c r="A153" s="11">
        <f t="shared" si="7"/>
        <v>149</v>
      </c>
      <c r="B153" s="11" t="s">
        <v>235</v>
      </c>
      <c r="C153" s="17" t="s">
        <v>473</v>
      </c>
      <c r="D153" s="12" t="s">
        <v>474</v>
      </c>
      <c r="E153" s="13">
        <v>49112.160000000003</v>
      </c>
      <c r="F153" s="13">
        <v>0</v>
      </c>
      <c r="G153" s="13">
        <v>0</v>
      </c>
      <c r="I153" s="14">
        <f t="shared" si="5"/>
        <v>49112.160000000003</v>
      </c>
      <c r="J153" s="12"/>
      <c r="K153" s="11"/>
      <c r="M153" s="15"/>
    </row>
    <row r="154" spans="1:16" outlineLevel="2">
      <c r="A154" s="11">
        <f t="shared" si="7"/>
        <v>150</v>
      </c>
      <c r="B154" s="11" t="s">
        <v>235</v>
      </c>
      <c r="C154" s="17" t="s">
        <v>475</v>
      </c>
      <c r="D154" s="12" t="s">
        <v>476</v>
      </c>
      <c r="E154" s="13">
        <v>66107.63</v>
      </c>
      <c r="F154" s="13">
        <v>0</v>
      </c>
      <c r="G154" s="13">
        <v>0</v>
      </c>
      <c r="I154" s="14">
        <f t="shared" si="5"/>
        <v>66107.63</v>
      </c>
      <c r="J154" s="12"/>
      <c r="K154" s="11"/>
      <c r="M154" s="15"/>
    </row>
    <row r="155" spans="1:16" outlineLevel="2">
      <c r="A155" s="11">
        <f t="shared" si="7"/>
        <v>151</v>
      </c>
      <c r="B155" s="11" t="s">
        <v>235</v>
      </c>
      <c r="C155" s="17" t="s">
        <v>289</v>
      </c>
      <c r="D155" s="12" t="s">
        <v>290</v>
      </c>
      <c r="E155" s="13">
        <v>1347433.28</v>
      </c>
      <c r="F155" s="13">
        <v>-351322.52</v>
      </c>
      <c r="G155" s="13">
        <v>0</v>
      </c>
      <c r="I155" s="14">
        <f t="shared" si="5"/>
        <v>996110.76</v>
      </c>
      <c r="J155" s="12"/>
      <c r="K155" s="11"/>
      <c r="M155" s="15"/>
    </row>
    <row r="156" spans="1:16" outlineLevel="2">
      <c r="A156" s="11">
        <f t="shared" si="7"/>
        <v>152</v>
      </c>
      <c r="B156" s="11" t="s">
        <v>235</v>
      </c>
      <c r="C156" s="17" t="s">
        <v>291</v>
      </c>
      <c r="D156" s="12" t="s">
        <v>292</v>
      </c>
      <c r="E156" s="13">
        <v>6878146.0300000003</v>
      </c>
      <c r="F156" s="13">
        <v>-1197121.81</v>
      </c>
      <c r="G156" s="13">
        <v>0</v>
      </c>
      <c r="I156" s="14">
        <f t="shared" si="5"/>
        <v>5681024.2200000007</v>
      </c>
      <c r="J156" s="12"/>
      <c r="K156" s="11"/>
      <c r="M156" s="15"/>
    </row>
    <row r="157" spans="1:16" outlineLevel="2">
      <c r="A157" s="11">
        <f t="shared" si="7"/>
        <v>153</v>
      </c>
      <c r="B157" s="11" t="s">
        <v>235</v>
      </c>
      <c r="C157" s="17" t="s">
        <v>293</v>
      </c>
      <c r="D157" s="12" t="s">
        <v>294</v>
      </c>
      <c r="E157" s="13">
        <v>2099906.66</v>
      </c>
      <c r="F157" s="13">
        <v>-17146.990000000002</v>
      </c>
      <c r="G157" s="13">
        <v>0</v>
      </c>
      <c r="I157" s="14">
        <f t="shared" si="5"/>
        <v>2082759.6700000002</v>
      </c>
      <c r="J157" s="12"/>
      <c r="K157" s="11"/>
      <c r="M157" s="15"/>
    </row>
    <row r="158" spans="1:16" outlineLevel="2">
      <c r="A158" s="11">
        <f t="shared" si="7"/>
        <v>154</v>
      </c>
      <c r="B158" s="11" t="s">
        <v>235</v>
      </c>
      <c r="C158" s="17" t="s">
        <v>295</v>
      </c>
      <c r="D158" s="12" t="s">
        <v>296</v>
      </c>
      <c r="E158" s="13">
        <v>579.42999999999995</v>
      </c>
      <c r="F158" s="13">
        <v>-579</v>
      </c>
      <c r="G158" s="13">
        <v>0</v>
      </c>
      <c r="I158" s="14">
        <f t="shared" si="5"/>
        <v>0.42999999999994998</v>
      </c>
      <c r="J158" s="12"/>
      <c r="K158" s="11"/>
      <c r="M158" s="15"/>
    </row>
    <row r="159" spans="1:16" outlineLevel="2">
      <c r="A159" s="11">
        <f t="shared" si="7"/>
        <v>155</v>
      </c>
      <c r="B159" s="11" t="s">
        <v>235</v>
      </c>
      <c r="C159" s="17" t="s">
        <v>297</v>
      </c>
      <c r="D159" s="12" t="s">
        <v>298</v>
      </c>
      <c r="E159" s="13">
        <v>3507128.62</v>
      </c>
      <c r="F159" s="13">
        <v>-41652.43</v>
      </c>
      <c r="G159" s="13">
        <v>0</v>
      </c>
      <c r="I159" s="14">
        <f t="shared" si="5"/>
        <v>3465476.19</v>
      </c>
      <c r="J159" s="12"/>
      <c r="K159" s="11"/>
      <c r="M159" s="15"/>
    </row>
    <row r="160" spans="1:16" outlineLevel="2">
      <c r="A160" s="11">
        <f t="shared" si="7"/>
        <v>156</v>
      </c>
      <c r="B160" s="11" t="s">
        <v>235</v>
      </c>
      <c r="C160" s="17" t="s">
        <v>299</v>
      </c>
      <c r="D160" s="12" t="s">
        <v>300</v>
      </c>
      <c r="E160" s="13">
        <v>749767.78</v>
      </c>
      <c r="F160" s="13">
        <v>-247423.37</v>
      </c>
      <c r="G160" s="13">
        <v>0</v>
      </c>
      <c r="I160" s="14">
        <f t="shared" si="5"/>
        <v>502344.41000000003</v>
      </c>
      <c r="K160" s="11"/>
      <c r="M160" s="15"/>
    </row>
    <row r="161" spans="1:13" outlineLevel="2">
      <c r="A161" s="11">
        <f t="shared" si="7"/>
        <v>157</v>
      </c>
      <c r="B161" s="11" t="s">
        <v>235</v>
      </c>
      <c r="C161" s="17" t="s">
        <v>301</v>
      </c>
      <c r="D161" s="12" t="s">
        <v>302</v>
      </c>
      <c r="E161" s="13">
        <v>5530495.0199999996</v>
      </c>
      <c r="F161" s="13">
        <v>-164228.81</v>
      </c>
      <c r="G161" s="13">
        <v>0</v>
      </c>
      <c r="I161" s="14">
        <f t="shared" ref="I161:I243" si="8">SUM(E161:G161)</f>
        <v>5366266.21</v>
      </c>
      <c r="J161" s="12"/>
      <c r="K161" s="11"/>
      <c r="M161" s="15"/>
    </row>
    <row r="162" spans="1:13" outlineLevel="2">
      <c r="A162" s="11">
        <f t="shared" si="7"/>
        <v>158</v>
      </c>
      <c r="B162" s="11" t="s">
        <v>235</v>
      </c>
      <c r="C162" s="17" t="s">
        <v>303</v>
      </c>
      <c r="D162" s="12" t="s">
        <v>304</v>
      </c>
      <c r="E162" s="13">
        <v>4296872.84</v>
      </c>
      <c r="F162" s="13">
        <v>0</v>
      </c>
      <c r="G162" s="13">
        <v>0</v>
      </c>
      <c r="I162" s="14">
        <f t="shared" si="8"/>
        <v>4296872.84</v>
      </c>
      <c r="J162" s="12"/>
      <c r="K162" s="11"/>
      <c r="M162" s="15"/>
    </row>
    <row r="163" spans="1:13" ht="12.75" customHeight="1" outlineLevel="2">
      <c r="A163" s="11">
        <f t="shared" si="7"/>
        <v>159</v>
      </c>
      <c r="B163" s="11" t="s">
        <v>235</v>
      </c>
      <c r="C163" s="17" t="s">
        <v>305</v>
      </c>
      <c r="D163" s="12" t="s">
        <v>306</v>
      </c>
      <c r="E163" s="13">
        <v>1270127.44</v>
      </c>
      <c r="F163" s="13">
        <v>-572275.19999999995</v>
      </c>
      <c r="G163" s="13">
        <v>0</v>
      </c>
      <c r="I163" s="14">
        <f t="shared" si="8"/>
        <v>697852.24</v>
      </c>
      <c r="J163" s="12"/>
      <c r="K163" s="11"/>
      <c r="M163" s="15"/>
    </row>
    <row r="164" spans="1:13" outlineLevel="2">
      <c r="A164" s="11">
        <f t="shared" si="7"/>
        <v>160</v>
      </c>
      <c r="B164" s="11" t="s">
        <v>235</v>
      </c>
      <c r="C164" s="17" t="s">
        <v>307</v>
      </c>
      <c r="D164" s="12" t="s">
        <v>308</v>
      </c>
      <c r="E164" s="13">
        <v>27656157.329999998</v>
      </c>
      <c r="F164" s="13">
        <v>0</v>
      </c>
      <c r="G164" s="13">
        <v>0</v>
      </c>
      <c r="I164" s="14">
        <f t="shared" si="8"/>
        <v>27656157.329999998</v>
      </c>
      <c r="J164" s="12"/>
      <c r="K164" s="11"/>
      <c r="M164" s="15"/>
    </row>
    <row r="165" spans="1:13" outlineLevel="2">
      <c r="A165" s="11">
        <f t="shared" si="7"/>
        <v>161</v>
      </c>
      <c r="B165" s="11" t="s">
        <v>235</v>
      </c>
      <c r="C165" s="17" t="s">
        <v>309</v>
      </c>
      <c r="D165" s="12" t="s">
        <v>310</v>
      </c>
      <c r="E165" s="13">
        <v>4266040.32</v>
      </c>
      <c r="F165" s="13">
        <v>-40435</v>
      </c>
      <c r="G165" s="13">
        <v>0</v>
      </c>
      <c r="I165" s="14">
        <f t="shared" si="8"/>
        <v>4225605.32</v>
      </c>
      <c r="J165" s="12"/>
      <c r="K165" s="11"/>
      <c r="M165" s="15"/>
    </row>
    <row r="166" spans="1:13" outlineLevel="2">
      <c r="A166" s="11">
        <f t="shared" si="7"/>
        <v>162</v>
      </c>
      <c r="B166" s="11" t="s">
        <v>235</v>
      </c>
      <c r="C166" s="17" t="s">
        <v>311</v>
      </c>
      <c r="D166" s="12" t="s">
        <v>312</v>
      </c>
      <c r="E166" s="13">
        <v>7744394.29</v>
      </c>
      <c r="F166" s="13">
        <v>-1030789.81</v>
      </c>
      <c r="G166" s="13">
        <v>0</v>
      </c>
      <c r="I166" s="14">
        <f t="shared" si="8"/>
        <v>6713604.4800000004</v>
      </c>
      <c r="J166" s="12"/>
      <c r="K166" s="11"/>
      <c r="M166" s="15"/>
    </row>
    <row r="167" spans="1:13" outlineLevel="2">
      <c r="A167" s="11">
        <f t="shared" si="7"/>
        <v>163</v>
      </c>
      <c r="B167" s="11" t="s">
        <v>235</v>
      </c>
      <c r="C167" s="17" t="s">
        <v>313</v>
      </c>
      <c r="D167" s="12" t="s">
        <v>314</v>
      </c>
      <c r="E167" s="13">
        <v>253710.27</v>
      </c>
      <c r="F167" s="13">
        <v>0</v>
      </c>
      <c r="G167" s="13">
        <v>0</v>
      </c>
      <c r="I167" s="14">
        <f t="shared" si="8"/>
        <v>253710.27</v>
      </c>
      <c r="J167" s="12"/>
      <c r="K167" s="11"/>
      <c r="M167" s="15"/>
    </row>
    <row r="168" spans="1:13" outlineLevel="2">
      <c r="A168" s="11">
        <f t="shared" si="7"/>
        <v>164</v>
      </c>
      <c r="B168" s="11" t="s">
        <v>235</v>
      </c>
      <c r="C168" s="17" t="s">
        <v>315</v>
      </c>
      <c r="D168" s="12" t="s">
        <v>316</v>
      </c>
      <c r="E168" s="13">
        <v>10832303.18</v>
      </c>
      <c r="F168" s="13">
        <v>0</v>
      </c>
      <c r="G168" s="13">
        <v>0</v>
      </c>
      <c r="I168" s="14">
        <f t="shared" si="8"/>
        <v>10832303.18</v>
      </c>
      <c r="K168" s="11"/>
      <c r="M168" s="15"/>
    </row>
    <row r="169" spans="1:13" outlineLevel="2">
      <c r="A169" s="11">
        <f t="shared" si="7"/>
        <v>165</v>
      </c>
      <c r="B169" s="11" t="s">
        <v>235</v>
      </c>
      <c r="C169" s="17" t="s">
        <v>317</v>
      </c>
      <c r="D169" s="12" t="s">
        <v>318</v>
      </c>
      <c r="E169" s="13">
        <v>17698959.530000001</v>
      </c>
      <c r="F169" s="13">
        <v>-163144</v>
      </c>
      <c r="G169" s="13">
        <v>0</v>
      </c>
      <c r="I169" s="14">
        <f t="shared" si="8"/>
        <v>17535815.530000001</v>
      </c>
      <c r="J169" s="12"/>
      <c r="K169" s="11"/>
      <c r="M169" s="15"/>
    </row>
    <row r="170" spans="1:13" outlineLevel="2">
      <c r="A170" s="11">
        <f t="shared" si="7"/>
        <v>166</v>
      </c>
      <c r="B170" s="11" t="s">
        <v>235</v>
      </c>
      <c r="C170" s="17" t="s">
        <v>319</v>
      </c>
      <c r="D170" s="12" t="s">
        <v>320</v>
      </c>
      <c r="E170" s="13">
        <v>1725310.24</v>
      </c>
      <c r="F170" s="13">
        <v>0</v>
      </c>
      <c r="G170" s="13">
        <v>0</v>
      </c>
      <c r="I170" s="14">
        <f t="shared" si="8"/>
        <v>1725310.24</v>
      </c>
      <c r="K170" s="11"/>
      <c r="M170" s="15"/>
    </row>
    <row r="171" spans="1:13" outlineLevel="2">
      <c r="A171" s="11">
        <f t="shared" si="7"/>
        <v>167</v>
      </c>
      <c r="B171" s="11" t="s">
        <v>235</v>
      </c>
      <c r="C171" s="17" t="s">
        <v>321</v>
      </c>
      <c r="D171" s="12" t="s">
        <v>322</v>
      </c>
      <c r="E171" s="13">
        <v>10645252.35</v>
      </c>
      <c r="F171" s="13">
        <v>0</v>
      </c>
      <c r="G171" s="13">
        <v>0</v>
      </c>
      <c r="I171" s="14">
        <f t="shared" si="8"/>
        <v>10645252.35</v>
      </c>
      <c r="K171" s="11"/>
      <c r="M171" s="15"/>
    </row>
    <row r="172" spans="1:13" outlineLevel="2">
      <c r="A172" s="11">
        <f t="shared" si="7"/>
        <v>168</v>
      </c>
      <c r="B172" s="11" t="s">
        <v>235</v>
      </c>
      <c r="C172" s="17" t="s">
        <v>323</v>
      </c>
      <c r="D172" s="12" t="s">
        <v>324</v>
      </c>
      <c r="E172" s="13">
        <v>17791350.989999998</v>
      </c>
      <c r="F172" s="13">
        <v>0</v>
      </c>
      <c r="G172" s="13">
        <v>0</v>
      </c>
      <c r="I172" s="14">
        <f t="shared" si="8"/>
        <v>17791350.989999998</v>
      </c>
      <c r="K172" s="11"/>
      <c r="M172" s="15"/>
    </row>
    <row r="173" spans="1:13" outlineLevel="2">
      <c r="A173" s="11">
        <f t="shared" si="7"/>
        <v>169</v>
      </c>
      <c r="B173" s="11" t="s">
        <v>235</v>
      </c>
      <c r="C173" s="17" t="s">
        <v>2303</v>
      </c>
      <c r="D173" s="12" t="s">
        <v>2312</v>
      </c>
      <c r="E173" s="13">
        <f>11966651.04+253719.57-11966651.04-253719.57</f>
        <v>2.9103830456733704E-10</v>
      </c>
      <c r="F173" s="13">
        <v>0</v>
      </c>
      <c r="G173" s="13">
        <v>0</v>
      </c>
      <c r="I173" s="14">
        <f t="shared" si="8"/>
        <v>2.9103830456733704E-10</v>
      </c>
      <c r="K173" s="11"/>
      <c r="M173" s="15"/>
    </row>
    <row r="174" spans="1:13" ht="12.75" customHeight="1" outlineLevel="2">
      <c r="A174" s="11">
        <f>A173+1</f>
        <v>170</v>
      </c>
      <c r="B174" s="11" t="s">
        <v>235</v>
      </c>
      <c r="C174" s="17" t="s">
        <v>325</v>
      </c>
      <c r="D174" s="12" t="s">
        <v>326</v>
      </c>
      <c r="E174" s="13">
        <v>23855781.239999998</v>
      </c>
      <c r="F174" s="13">
        <v>-2224202.81</v>
      </c>
      <c r="G174" s="13">
        <v>0</v>
      </c>
      <c r="I174" s="14">
        <f t="shared" si="8"/>
        <v>21631578.43</v>
      </c>
      <c r="J174" s="12"/>
      <c r="K174" s="11"/>
      <c r="M174" s="15"/>
    </row>
    <row r="175" spans="1:13" outlineLevel="2">
      <c r="A175" s="11">
        <f t="shared" si="7"/>
        <v>171</v>
      </c>
      <c r="B175" s="11" t="s">
        <v>235</v>
      </c>
      <c r="C175" s="17" t="s">
        <v>327</v>
      </c>
      <c r="D175" s="12" t="s">
        <v>328</v>
      </c>
      <c r="E175" s="13">
        <v>8439044.1799999997</v>
      </c>
      <c r="F175" s="13">
        <v>0</v>
      </c>
      <c r="G175" s="13">
        <v>0</v>
      </c>
      <c r="I175" s="14">
        <f t="shared" si="8"/>
        <v>8439044.1799999997</v>
      </c>
      <c r="K175" s="11"/>
      <c r="M175" s="15"/>
    </row>
    <row r="176" spans="1:13" outlineLevel="2">
      <c r="A176" s="11">
        <f t="shared" si="7"/>
        <v>172</v>
      </c>
      <c r="B176" s="11" t="s">
        <v>235</v>
      </c>
      <c r="C176" s="17" t="s">
        <v>329</v>
      </c>
      <c r="D176" s="12" t="s">
        <v>330</v>
      </c>
      <c r="E176" s="13">
        <v>1510561.05</v>
      </c>
      <c r="F176" s="13">
        <v>-43752</v>
      </c>
      <c r="G176" s="13">
        <v>0</v>
      </c>
      <c r="I176" s="14">
        <f t="shared" si="8"/>
        <v>1466809.05</v>
      </c>
      <c r="J176" s="12"/>
      <c r="K176" s="11"/>
      <c r="M176" s="15"/>
    </row>
    <row r="177" spans="1:13" outlineLevel="2">
      <c r="A177" s="11">
        <f t="shared" si="7"/>
        <v>173</v>
      </c>
      <c r="B177" s="11" t="s">
        <v>235</v>
      </c>
      <c r="C177" s="17" t="s">
        <v>331</v>
      </c>
      <c r="D177" s="12" t="s">
        <v>332</v>
      </c>
      <c r="E177" s="13">
        <v>5578082.3200000003</v>
      </c>
      <c r="F177" s="13">
        <v>-326876.78999999998</v>
      </c>
      <c r="G177" s="13">
        <v>0</v>
      </c>
      <c r="I177" s="14">
        <f t="shared" si="8"/>
        <v>5251205.53</v>
      </c>
      <c r="J177" s="12"/>
      <c r="K177" s="11"/>
      <c r="M177" s="15"/>
    </row>
    <row r="178" spans="1:13" outlineLevel="2">
      <c r="A178" s="11">
        <f t="shared" si="7"/>
        <v>174</v>
      </c>
      <c r="B178" s="11" t="s">
        <v>235</v>
      </c>
      <c r="C178" s="17" t="s">
        <v>2446</v>
      </c>
      <c r="D178" s="12" t="s">
        <v>2447</v>
      </c>
      <c r="E178" s="13">
        <v>9869842</v>
      </c>
      <c r="F178" s="13">
        <v>0</v>
      </c>
      <c r="G178" s="13">
        <v>0</v>
      </c>
      <c r="I178" s="14">
        <f t="shared" si="8"/>
        <v>9869842</v>
      </c>
      <c r="J178" s="12"/>
      <c r="K178" s="11"/>
      <c r="M178" s="15"/>
    </row>
    <row r="179" spans="1:13" outlineLevel="2">
      <c r="A179" s="11">
        <f t="shared" si="7"/>
        <v>175</v>
      </c>
      <c r="B179" s="11" t="s">
        <v>235</v>
      </c>
      <c r="C179" s="17" t="s">
        <v>479</v>
      </c>
      <c r="D179" s="12" t="s">
        <v>480</v>
      </c>
      <c r="E179" s="13">
        <f>82518.71+16015.17</f>
        <v>98533.88</v>
      </c>
      <c r="F179" s="13">
        <v>0</v>
      </c>
      <c r="G179" s="13">
        <v>0</v>
      </c>
      <c r="I179" s="14">
        <f t="shared" si="8"/>
        <v>98533.88</v>
      </c>
      <c r="J179" s="12"/>
      <c r="K179" s="11"/>
      <c r="M179" s="15"/>
    </row>
    <row r="180" spans="1:13" outlineLevel="2">
      <c r="A180" s="11">
        <f t="shared" si="7"/>
        <v>176</v>
      </c>
      <c r="B180" s="11" t="s">
        <v>235</v>
      </c>
      <c r="C180" s="17" t="s">
        <v>333</v>
      </c>
      <c r="D180" s="12" t="s">
        <v>334</v>
      </c>
      <c r="E180" s="13">
        <v>11868241.48</v>
      </c>
      <c r="F180" s="13">
        <v>-62475.4</v>
      </c>
      <c r="G180" s="13">
        <v>0</v>
      </c>
      <c r="I180" s="14">
        <f t="shared" si="8"/>
        <v>11805766.08</v>
      </c>
      <c r="J180" s="12"/>
      <c r="K180" s="11"/>
      <c r="M180" s="15"/>
    </row>
    <row r="181" spans="1:13" outlineLevel="2">
      <c r="A181" s="11">
        <f t="shared" si="7"/>
        <v>177</v>
      </c>
      <c r="B181" s="11" t="s">
        <v>235</v>
      </c>
      <c r="C181" s="17" t="s">
        <v>2304</v>
      </c>
      <c r="D181" s="12" t="s">
        <v>2314</v>
      </c>
      <c r="E181" s="13">
        <f>6841033.8-6841033.8</f>
        <v>0</v>
      </c>
      <c r="F181" s="13">
        <v>0</v>
      </c>
      <c r="G181" s="13">
        <v>0</v>
      </c>
      <c r="I181" s="14">
        <f t="shared" si="8"/>
        <v>0</v>
      </c>
      <c r="J181" s="12"/>
      <c r="K181" s="11"/>
      <c r="M181" s="15"/>
    </row>
    <row r="182" spans="1:13" outlineLevel="2">
      <c r="A182" s="11">
        <f t="shared" si="7"/>
        <v>178</v>
      </c>
      <c r="B182" s="11" t="s">
        <v>235</v>
      </c>
      <c r="C182" s="17" t="s">
        <v>481</v>
      </c>
      <c r="D182" s="12" t="s">
        <v>482</v>
      </c>
      <c r="E182" s="13">
        <v>10832.21</v>
      </c>
      <c r="F182" s="13">
        <v>0</v>
      </c>
      <c r="G182" s="13">
        <v>0</v>
      </c>
      <c r="I182" s="14">
        <f t="shared" si="8"/>
        <v>10832.21</v>
      </c>
      <c r="J182" s="12"/>
      <c r="K182" s="11"/>
      <c r="M182" s="15"/>
    </row>
    <row r="183" spans="1:13" outlineLevel="2">
      <c r="A183" s="11">
        <f t="shared" si="7"/>
        <v>179</v>
      </c>
      <c r="B183" s="11" t="s">
        <v>235</v>
      </c>
      <c r="C183" s="17" t="s">
        <v>335</v>
      </c>
      <c r="D183" s="12" t="s">
        <v>336</v>
      </c>
      <c r="E183" s="13">
        <v>3894019.92</v>
      </c>
      <c r="F183" s="13">
        <v>-143716.45000000001</v>
      </c>
      <c r="G183" s="13">
        <v>0</v>
      </c>
      <c r="I183" s="14">
        <f t="shared" si="8"/>
        <v>3750303.4699999997</v>
      </c>
      <c r="J183" s="12"/>
      <c r="K183" s="11"/>
      <c r="M183" s="15"/>
    </row>
    <row r="184" spans="1:13" outlineLevel="2">
      <c r="A184" s="11">
        <f t="shared" si="7"/>
        <v>180</v>
      </c>
      <c r="B184" s="11" t="s">
        <v>235</v>
      </c>
      <c r="C184" s="17" t="s">
        <v>337</v>
      </c>
      <c r="D184" s="12" t="s">
        <v>338</v>
      </c>
      <c r="E184" s="13">
        <v>11683545.109999999</v>
      </c>
      <c r="F184" s="13">
        <v>-320531.18</v>
      </c>
      <c r="G184" s="13">
        <v>0</v>
      </c>
      <c r="I184" s="14">
        <f t="shared" si="8"/>
        <v>11363013.93</v>
      </c>
      <c r="J184" s="12"/>
      <c r="K184" s="11"/>
      <c r="M184" s="15"/>
    </row>
    <row r="185" spans="1:13" outlineLevel="2">
      <c r="A185" s="11">
        <f t="shared" si="7"/>
        <v>181</v>
      </c>
      <c r="B185" s="11" t="s">
        <v>235</v>
      </c>
      <c r="C185" s="17" t="s">
        <v>339</v>
      </c>
      <c r="D185" s="12" t="s">
        <v>340</v>
      </c>
      <c r="E185" s="13">
        <v>23290587.5</v>
      </c>
      <c r="F185" s="13">
        <v>-1837674</v>
      </c>
      <c r="G185" s="13">
        <v>0</v>
      </c>
      <c r="I185" s="14">
        <f t="shared" si="8"/>
        <v>21452913.5</v>
      </c>
      <c r="J185" s="12"/>
      <c r="K185" s="11"/>
      <c r="M185" s="15"/>
    </row>
    <row r="186" spans="1:13" outlineLevel="2">
      <c r="A186" s="11">
        <f t="shared" si="7"/>
        <v>182</v>
      </c>
      <c r="B186" s="11" t="s">
        <v>235</v>
      </c>
      <c r="C186" s="17" t="s">
        <v>341</v>
      </c>
      <c r="D186" s="12" t="s">
        <v>342</v>
      </c>
      <c r="E186" s="13">
        <v>7092854.1799999997</v>
      </c>
      <c r="F186" s="13">
        <v>-1180480.01</v>
      </c>
      <c r="G186" s="13">
        <v>0</v>
      </c>
      <c r="I186" s="14">
        <f t="shared" si="8"/>
        <v>5912374.1699999999</v>
      </c>
      <c r="J186" s="12"/>
      <c r="K186" s="11"/>
      <c r="M186" s="15"/>
    </row>
    <row r="187" spans="1:13" outlineLevel="2">
      <c r="A187" s="11">
        <f t="shared" si="7"/>
        <v>183</v>
      </c>
      <c r="B187" s="11" t="s">
        <v>235</v>
      </c>
      <c r="C187" s="17" t="s">
        <v>343</v>
      </c>
      <c r="D187" s="12" t="s">
        <v>344</v>
      </c>
      <c r="E187" s="13">
        <v>2861374.78</v>
      </c>
      <c r="F187" s="13">
        <v>-1307837</v>
      </c>
      <c r="G187" s="13">
        <v>0</v>
      </c>
      <c r="I187" s="14">
        <f t="shared" si="8"/>
        <v>1553537.7799999998</v>
      </c>
      <c r="J187" s="12"/>
      <c r="K187" s="11"/>
      <c r="M187" s="15"/>
    </row>
    <row r="188" spans="1:13" outlineLevel="2">
      <c r="A188" s="11">
        <f t="shared" si="7"/>
        <v>184</v>
      </c>
      <c r="B188" s="11" t="s">
        <v>235</v>
      </c>
      <c r="C188" s="17" t="s">
        <v>345</v>
      </c>
      <c r="D188" s="12" t="s">
        <v>346</v>
      </c>
      <c r="E188" s="13">
        <v>3943916.72</v>
      </c>
      <c r="F188" s="13">
        <v>-158721.51</v>
      </c>
      <c r="G188" s="13">
        <v>0</v>
      </c>
      <c r="I188" s="14">
        <f t="shared" si="8"/>
        <v>3785195.21</v>
      </c>
      <c r="J188" s="12"/>
      <c r="K188" s="11"/>
      <c r="M188" s="15"/>
    </row>
    <row r="189" spans="1:13" outlineLevel="2">
      <c r="A189" s="11">
        <f t="shared" si="7"/>
        <v>185</v>
      </c>
      <c r="B189" s="11" t="s">
        <v>235</v>
      </c>
      <c r="C189" s="17" t="s">
        <v>347</v>
      </c>
      <c r="D189" s="12" t="s">
        <v>348</v>
      </c>
      <c r="E189" s="13">
        <v>11108747.65</v>
      </c>
      <c r="F189" s="13">
        <v>0</v>
      </c>
      <c r="G189" s="13">
        <v>0</v>
      </c>
      <c r="I189" s="14">
        <f t="shared" si="8"/>
        <v>11108747.65</v>
      </c>
      <c r="J189" s="12"/>
      <c r="K189" s="11"/>
      <c r="M189" s="15"/>
    </row>
    <row r="190" spans="1:13" outlineLevel="2">
      <c r="A190" s="11">
        <f t="shared" si="7"/>
        <v>186</v>
      </c>
      <c r="B190" s="11" t="s">
        <v>235</v>
      </c>
      <c r="C190" s="17" t="s">
        <v>483</v>
      </c>
      <c r="D190" s="12" t="s">
        <v>484</v>
      </c>
      <c r="E190" s="13">
        <v>29969.23</v>
      </c>
      <c r="F190" s="13">
        <v>0</v>
      </c>
      <c r="I190" s="14">
        <f t="shared" si="8"/>
        <v>29969.23</v>
      </c>
      <c r="J190" s="12"/>
      <c r="K190" s="11"/>
      <c r="M190" s="15"/>
    </row>
    <row r="191" spans="1:13" outlineLevel="2">
      <c r="A191" s="11">
        <f t="shared" si="7"/>
        <v>187</v>
      </c>
      <c r="B191" s="11" t="s">
        <v>235</v>
      </c>
      <c r="C191" s="17" t="s">
        <v>485</v>
      </c>
      <c r="D191" s="12" t="s">
        <v>486</v>
      </c>
      <c r="E191" s="13">
        <v>340848.27</v>
      </c>
      <c r="F191" s="13">
        <v>0</v>
      </c>
      <c r="I191" s="14">
        <f t="shared" si="8"/>
        <v>340848.27</v>
      </c>
      <c r="J191" s="12"/>
      <c r="K191" s="11"/>
      <c r="M191" s="15"/>
    </row>
    <row r="192" spans="1:13" outlineLevel="2">
      <c r="A192" s="11">
        <f t="shared" si="7"/>
        <v>188</v>
      </c>
      <c r="B192" s="11" t="s">
        <v>235</v>
      </c>
      <c r="C192" s="17" t="s">
        <v>349</v>
      </c>
      <c r="D192" s="12" t="s">
        <v>350</v>
      </c>
      <c r="E192" s="13">
        <v>19476</v>
      </c>
      <c r="F192" s="13">
        <v>0</v>
      </c>
      <c r="G192" s="13">
        <v>0</v>
      </c>
      <c r="I192" s="14">
        <f t="shared" si="8"/>
        <v>19476</v>
      </c>
      <c r="K192" s="11"/>
      <c r="M192" s="15"/>
    </row>
    <row r="193" spans="1:13" outlineLevel="2">
      <c r="A193" s="11">
        <f t="shared" si="7"/>
        <v>189</v>
      </c>
      <c r="B193" s="11" t="s">
        <v>235</v>
      </c>
      <c r="C193" s="17" t="s">
        <v>351</v>
      </c>
      <c r="D193" s="12" t="s">
        <v>352</v>
      </c>
      <c r="E193" s="13">
        <v>1829480.7</v>
      </c>
      <c r="F193" s="13">
        <v>-1134119.53</v>
      </c>
      <c r="G193" s="13">
        <v>0</v>
      </c>
      <c r="I193" s="14">
        <f t="shared" si="8"/>
        <v>695361.16999999993</v>
      </c>
      <c r="J193" s="12"/>
      <c r="K193" s="11"/>
      <c r="M193" s="15"/>
    </row>
    <row r="194" spans="1:13" outlineLevel="2">
      <c r="A194" s="11">
        <f t="shared" si="7"/>
        <v>190</v>
      </c>
      <c r="B194" s="11" t="s">
        <v>235</v>
      </c>
      <c r="C194" s="17" t="s">
        <v>353</v>
      </c>
      <c r="D194" s="12" t="s">
        <v>354</v>
      </c>
      <c r="E194" s="13">
        <v>7925435.4699999997</v>
      </c>
      <c r="F194" s="13">
        <v>-593801.27</v>
      </c>
      <c r="G194" s="13">
        <v>0</v>
      </c>
      <c r="I194" s="14">
        <f t="shared" si="8"/>
        <v>7331634.1999999993</v>
      </c>
      <c r="J194" s="12"/>
      <c r="K194" s="11"/>
      <c r="M194" s="15"/>
    </row>
    <row r="195" spans="1:13" outlineLevel="2">
      <c r="A195" s="11">
        <f t="shared" si="7"/>
        <v>191</v>
      </c>
      <c r="B195" s="11" t="s">
        <v>235</v>
      </c>
      <c r="C195" s="17" t="s">
        <v>355</v>
      </c>
      <c r="D195" s="12" t="s">
        <v>356</v>
      </c>
      <c r="E195" s="13">
        <v>838166.05</v>
      </c>
      <c r="F195" s="13">
        <v>-154097</v>
      </c>
      <c r="G195" s="13">
        <v>0</v>
      </c>
      <c r="I195" s="14">
        <f t="shared" si="8"/>
        <v>684069.05</v>
      </c>
      <c r="K195" s="11"/>
      <c r="M195" s="15"/>
    </row>
    <row r="196" spans="1:13" outlineLevel="2">
      <c r="A196" s="11">
        <f t="shared" si="7"/>
        <v>192</v>
      </c>
      <c r="B196" s="11" t="s">
        <v>235</v>
      </c>
      <c r="C196" s="17" t="s">
        <v>357</v>
      </c>
      <c r="D196" s="12" t="s">
        <v>358</v>
      </c>
      <c r="E196" s="13">
        <v>6920614.1399999997</v>
      </c>
      <c r="F196" s="13">
        <v>0</v>
      </c>
      <c r="G196" s="13">
        <v>0</v>
      </c>
      <c r="I196" s="14">
        <f t="shared" si="8"/>
        <v>6920614.1399999997</v>
      </c>
      <c r="K196" s="11"/>
      <c r="M196" s="15"/>
    </row>
    <row r="197" spans="1:13" outlineLevel="2">
      <c r="A197" s="11">
        <f t="shared" si="7"/>
        <v>193</v>
      </c>
      <c r="B197" s="11" t="s">
        <v>235</v>
      </c>
      <c r="C197" s="17" t="s">
        <v>359</v>
      </c>
      <c r="D197" s="12" t="s">
        <v>360</v>
      </c>
      <c r="E197" s="13">
        <v>1895701.8</v>
      </c>
      <c r="F197" s="13">
        <v>0</v>
      </c>
      <c r="G197" s="13">
        <v>0</v>
      </c>
      <c r="I197" s="14">
        <f t="shared" si="8"/>
        <v>1895701.8</v>
      </c>
      <c r="K197" s="11"/>
      <c r="M197" s="15"/>
    </row>
    <row r="198" spans="1:13" outlineLevel="2">
      <c r="A198" s="11">
        <f t="shared" si="7"/>
        <v>194</v>
      </c>
      <c r="B198" s="11" t="s">
        <v>235</v>
      </c>
      <c r="C198" s="17" t="s">
        <v>361</v>
      </c>
      <c r="D198" s="12" t="s">
        <v>362</v>
      </c>
      <c r="E198" s="13">
        <f>305417.9+896681.51</f>
        <v>1202099.4100000001</v>
      </c>
      <c r="F198" s="13">
        <v>0</v>
      </c>
      <c r="G198" s="13">
        <v>0</v>
      </c>
      <c r="I198" s="14">
        <f t="shared" si="8"/>
        <v>1202099.4100000001</v>
      </c>
      <c r="K198" s="11"/>
      <c r="M198" s="15"/>
    </row>
    <row r="199" spans="1:13" outlineLevel="2">
      <c r="A199" s="11">
        <f t="shared" si="7"/>
        <v>195</v>
      </c>
      <c r="B199" s="11" t="s">
        <v>235</v>
      </c>
      <c r="C199" s="17" t="s">
        <v>2329</v>
      </c>
      <c r="D199" s="12" t="s">
        <v>2328</v>
      </c>
      <c r="E199" s="13">
        <v>5351152.01</v>
      </c>
      <c r="F199" s="13">
        <v>0</v>
      </c>
      <c r="G199" s="13">
        <v>0</v>
      </c>
      <c r="I199" s="14">
        <f t="shared" si="8"/>
        <v>5351152.01</v>
      </c>
      <c r="K199" s="11"/>
      <c r="M199" s="15"/>
    </row>
    <row r="200" spans="1:13" outlineLevel="2">
      <c r="A200" s="11">
        <f t="shared" si="7"/>
        <v>196</v>
      </c>
      <c r="B200" s="11" t="s">
        <v>235</v>
      </c>
      <c r="C200" s="17" t="s">
        <v>363</v>
      </c>
      <c r="D200" s="12" t="s">
        <v>364</v>
      </c>
      <c r="E200" s="13">
        <v>3473709.71</v>
      </c>
      <c r="F200" s="13">
        <v>-586992</v>
      </c>
      <c r="G200" s="13">
        <v>0</v>
      </c>
      <c r="I200" s="14">
        <f t="shared" si="8"/>
        <v>2886717.71</v>
      </c>
      <c r="J200" s="12"/>
      <c r="K200" s="11"/>
      <c r="M200" s="15"/>
    </row>
    <row r="201" spans="1:13" outlineLevel="2">
      <c r="A201" s="11">
        <f t="shared" si="7"/>
        <v>197</v>
      </c>
      <c r="B201" s="11" t="s">
        <v>235</v>
      </c>
      <c r="C201" s="17" t="s">
        <v>365</v>
      </c>
      <c r="D201" s="12" t="s">
        <v>366</v>
      </c>
      <c r="E201" s="13">
        <v>7254341.0700000003</v>
      </c>
      <c r="F201" s="13">
        <v>-1095435.3600000001</v>
      </c>
      <c r="G201" s="13">
        <v>0</v>
      </c>
      <c r="I201" s="14">
        <f t="shared" si="8"/>
        <v>6158905.71</v>
      </c>
      <c r="K201" s="11"/>
      <c r="M201" s="15"/>
    </row>
    <row r="202" spans="1:13" outlineLevel="2">
      <c r="A202" s="11">
        <f t="shared" si="7"/>
        <v>198</v>
      </c>
      <c r="B202" s="11" t="s">
        <v>235</v>
      </c>
      <c r="C202" s="17" t="s">
        <v>367</v>
      </c>
      <c r="D202" s="12" t="s">
        <v>368</v>
      </c>
      <c r="E202" s="13">
        <v>2030823.76</v>
      </c>
      <c r="F202" s="13">
        <v>-139236</v>
      </c>
      <c r="G202" s="13">
        <v>0</v>
      </c>
      <c r="I202" s="14">
        <f t="shared" si="8"/>
        <v>1891587.76</v>
      </c>
      <c r="J202" s="12"/>
      <c r="K202" s="11"/>
      <c r="M202" s="15"/>
    </row>
    <row r="203" spans="1:13" outlineLevel="2">
      <c r="A203" s="11">
        <f t="shared" si="7"/>
        <v>199</v>
      </c>
      <c r="B203" s="11" t="s">
        <v>235</v>
      </c>
      <c r="C203" s="17" t="s">
        <v>487</v>
      </c>
      <c r="D203" s="12" t="s">
        <v>488</v>
      </c>
      <c r="E203" s="13">
        <v>72367.83</v>
      </c>
      <c r="F203" s="13">
        <v>-72368</v>
      </c>
      <c r="G203" s="13">
        <v>0</v>
      </c>
      <c r="I203" s="14">
        <f t="shared" si="8"/>
        <v>-0.16999999999825377</v>
      </c>
      <c r="J203" s="12"/>
      <c r="K203" s="11"/>
      <c r="M203" s="15"/>
    </row>
    <row r="204" spans="1:13" outlineLevel="2">
      <c r="A204" s="11">
        <f t="shared" si="7"/>
        <v>200</v>
      </c>
      <c r="B204" s="11" t="s">
        <v>235</v>
      </c>
      <c r="C204" s="17" t="s">
        <v>369</v>
      </c>
      <c r="D204" s="12" t="s">
        <v>370</v>
      </c>
      <c r="E204" s="13">
        <v>1944816.97</v>
      </c>
      <c r="F204" s="13">
        <v>-33744</v>
      </c>
      <c r="G204" s="13">
        <v>0</v>
      </c>
      <c r="I204" s="14">
        <f t="shared" si="8"/>
        <v>1911072.97</v>
      </c>
      <c r="J204" s="12"/>
      <c r="K204" s="11"/>
      <c r="M204" s="15"/>
    </row>
    <row r="205" spans="1:13" ht="13.5" customHeight="1" outlineLevel="2">
      <c r="A205" s="11">
        <f t="shared" si="7"/>
        <v>201</v>
      </c>
      <c r="B205" s="11" t="s">
        <v>235</v>
      </c>
      <c r="C205" s="17" t="s">
        <v>371</v>
      </c>
      <c r="D205" s="12" t="s">
        <v>372</v>
      </c>
      <c r="E205" s="13">
        <v>18333139.199999999</v>
      </c>
      <c r="F205" s="13">
        <v>0</v>
      </c>
      <c r="G205" s="13">
        <v>0</v>
      </c>
      <c r="I205" s="14">
        <f t="shared" si="8"/>
        <v>18333139.199999999</v>
      </c>
      <c r="K205" s="11"/>
      <c r="M205" s="15"/>
    </row>
    <row r="206" spans="1:13" outlineLevel="2">
      <c r="A206" s="11">
        <f t="shared" si="7"/>
        <v>202</v>
      </c>
      <c r="B206" s="11" t="s">
        <v>235</v>
      </c>
      <c r="C206" s="17" t="s">
        <v>373</v>
      </c>
      <c r="D206" s="12" t="s">
        <v>374</v>
      </c>
      <c r="E206" s="13">
        <v>1152964.03</v>
      </c>
      <c r="F206" s="13">
        <v>-287496.89</v>
      </c>
      <c r="G206" s="13">
        <v>0</v>
      </c>
      <c r="I206" s="14">
        <f t="shared" si="8"/>
        <v>865467.14</v>
      </c>
      <c r="J206" s="12"/>
      <c r="K206" s="11"/>
      <c r="M206" s="15"/>
    </row>
    <row r="207" spans="1:13" outlineLevel="2">
      <c r="A207" s="11">
        <f t="shared" si="7"/>
        <v>203</v>
      </c>
      <c r="B207" s="11" t="s">
        <v>235</v>
      </c>
      <c r="C207" s="17" t="s">
        <v>375</v>
      </c>
      <c r="D207" s="12" t="s">
        <v>376</v>
      </c>
      <c r="E207" s="13">
        <v>3242234.29</v>
      </c>
      <c r="F207" s="13">
        <v>-58595.199999999997</v>
      </c>
      <c r="G207" s="13">
        <v>0</v>
      </c>
      <c r="I207" s="14">
        <f t="shared" si="8"/>
        <v>3183639.09</v>
      </c>
      <c r="J207" s="12"/>
      <c r="K207" s="11"/>
      <c r="M207" s="15"/>
    </row>
    <row r="208" spans="1:13" outlineLevel="2">
      <c r="A208" s="11">
        <f t="shared" si="7"/>
        <v>204</v>
      </c>
      <c r="B208" s="11" t="s">
        <v>235</v>
      </c>
      <c r="C208" s="17" t="s">
        <v>489</v>
      </c>
      <c r="D208" s="12" t="s">
        <v>490</v>
      </c>
      <c r="E208" s="13">
        <v>180660.37</v>
      </c>
      <c r="F208" s="13">
        <v>0</v>
      </c>
      <c r="G208" s="13">
        <v>0</v>
      </c>
      <c r="I208" s="14">
        <f t="shared" si="8"/>
        <v>180660.37</v>
      </c>
      <c r="J208" s="12"/>
      <c r="K208" s="11"/>
      <c r="M208" s="15"/>
    </row>
    <row r="209" spans="1:13" outlineLevel="2">
      <c r="A209" s="11">
        <f t="shared" si="7"/>
        <v>205</v>
      </c>
      <c r="B209" s="11" t="s">
        <v>235</v>
      </c>
      <c r="C209" s="17" t="s">
        <v>491</v>
      </c>
      <c r="D209" s="12" t="s">
        <v>492</v>
      </c>
      <c r="E209" s="13">
        <v>890606.75</v>
      </c>
      <c r="F209" s="13">
        <v>-108484.95</v>
      </c>
      <c r="G209" s="13">
        <v>0</v>
      </c>
      <c r="I209" s="14">
        <f t="shared" si="8"/>
        <v>782121.8</v>
      </c>
      <c r="J209" s="12"/>
      <c r="K209" s="11"/>
      <c r="M209" s="15"/>
    </row>
    <row r="210" spans="1:13" outlineLevel="2">
      <c r="A210" s="11">
        <f t="shared" si="7"/>
        <v>206</v>
      </c>
      <c r="B210" s="11" t="s">
        <v>235</v>
      </c>
      <c r="C210" s="17" t="s">
        <v>377</v>
      </c>
      <c r="D210" s="12" t="s">
        <v>378</v>
      </c>
      <c r="E210" s="13">
        <v>2037147.6</v>
      </c>
      <c r="F210" s="13">
        <v>-209290</v>
      </c>
      <c r="G210" s="13">
        <v>0</v>
      </c>
      <c r="I210" s="14">
        <f t="shared" si="8"/>
        <v>1827857.6</v>
      </c>
      <c r="J210" s="12"/>
      <c r="K210" s="11"/>
      <c r="M210" s="15"/>
    </row>
    <row r="211" spans="1:13" outlineLevel="2">
      <c r="A211" s="11">
        <f t="shared" si="7"/>
        <v>207</v>
      </c>
      <c r="B211" s="11" t="s">
        <v>235</v>
      </c>
      <c r="C211" s="17" t="s">
        <v>379</v>
      </c>
      <c r="D211" s="12" t="s">
        <v>380</v>
      </c>
      <c r="E211" s="13">
        <v>4284663.8099999996</v>
      </c>
      <c r="F211" s="13">
        <v>-699890</v>
      </c>
      <c r="G211" s="13">
        <v>0</v>
      </c>
      <c r="I211" s="14">
        <f t="shared" si="8"/>
        <v>3584773.8099999996</v>
      </c>
      <c r="J211" s="12"/>
      <c r="K211" s="11"/>
      <c r="M211" s="15"/>
    </row>
    <row r="212" spans="1:13" outlineLevel="2">
      <c r="A212" s="11">
        <f t="shared" si="7"/>
        <v>208</v>
      </c>
      <c r="B212" s="11" t="s">
        <v>235</v>
      </c>
      <c r="C212" s="17" t="s">
        <v>493</v>
      </c>
      <c r="D212" s="12" t="s">
        <v>494</v>
      </c>
      <c r="E212" s="13">
        <v>992414.68</v>
      </c>
      <c r="F212" s="13">
        <v>-101191.22</v>
      </c>
      <c r="G212" s="13">
        <v>0</v>
      </c>
      <c r="I212" s="14">
        <f t="shared" si="8"/>
        <v>891223.46000000008</v>
      </c>
      <c r="J212" s="12"/>
      <c r="K212" s="11"/>
      <c r="M212" s="15"/>
    </row>
    <row r="213" spans="1:13" outlineLevel="2">
      <c r="A213" s="11">
        <f t="shared" si="7"/>
        <v>209</v>
      </c>
      <c r="B213" s="11" t="s">
        <v>235</v>
      </c>
      <c r="C213" s="17" t="s">
        <v>381</v>
      </c>
      <c r="D213" s="12" t="s">
        <v>382</v>
      </c>
      <c r="E213" s="13">
        <v>250628.78</v>
      </c>
      <c r="F213" s="13">
        <v>-250629</v>
      </c>
      <c r="G213" s="13">
        <v>0</v>
      </c>
      <c r="I213" s="14">
        <f t="shared" si="8"/>
        <v>-0.22000000000116415</v>
      </c>
      <c r="J213" s="12"/>
      <c r="K213" s="11"/>
      <c r="M213" s="15"/>
    </row>
    <row r="214" spans="1:13" outlineLevel="2">
      <c r="A214" s="11">
        <f t="shared" si="7"/>
        <v>210</v>
      </c>
      <c r="B214" s="11" t="s">
        <v>235</v>
      </c>
      <c r="C214" s="17" t="s">
        <v>383</v>
      </c>
      <c r="D214" s="12" t="s">
        <v>384</v>
      </c>
      <c r="E214" s="13">
        <f>5739050.59</f>
        <v>5739050.5899999999</v>
      </c>
      <c r="F214" s="13">
        <v>-556793.17000000004</v>
      </c>
      <c r="G214" s="13">
        <v>0</v>
      </c>
      <c r="I214" s="14">
        <f t="shared" si="8"/>
        <v>5182257.42</v>
      </c>
      <c r="J214" s="12"/>
      <c r="K214" s="11"/>
      <c r="M214" s="15"/>
    </row>
    <row r="215" spans="1:13" outlineLevel="2">
      <c r="A215" s="11">
        <f t="shared" si="7"/>
        <v>211</v>
      </c>
      <c r="B215" s="11" t="s">
        <v>235</v>
      </c>
      <c r="C215" s="17" t="s">
        <v>385</v>
      </c>
      <c r="D215" s="12" t="s">
        <v>386</v>
      </c>
      <c r="E215" s="13">
        <v>1733527.61</v>
      </c>
      <c r="F215" s="13">
        <v>-1733528</v>
      </c>
      <c r="G215" s="13">
        <v>0</v>
      </c>
      <c r="I215" s="14">
        <f t="shared" si="8"/>
        <v>-0.38999999989755452</v>
      </c>
      <c r="K215" s="11"/>
      <c r="M215" s="15"/>
    </row>
    <row r="216" spans="1:13" outlineLevel="2">
      <c r="A216" s="11">
        <f t="shared" si="7"/>
        <v>212</v>
      </c>
      <c r="B216" s="11" t="s">
        <v>235</v>
      </c>
      <c r="C216" s="17" t="s">
        <v>387</v>
      </c>
      <c r="D216" s="12" t="s">
        <v>388</v>
      </c>
      <c r="E216" s="13">
        <v>623512.97</v>
      </c>
      <c r="F216" s="13">
        <v>0</v>
      </c>
      <c r="G216" s="13">
        <v>0</v>
      </c>
      <c r="I216" s="14">
        <f t="shared" si="8"/>
        <v>623512.97</v>
      </c>
      <c r="K216" s="11"/>
      <c r="M216" s="15"/>
    </row>
    <row r="217" spans="1:13" outlineLevel="2">
      <c r="A217" s="11">
        <f t="shared" si="7"/>
        <v>213</v>
      </c>
      <c r="B217" s="11" t="s">
        <v>235</v>
      </c>
      <c r="C217" s="17" t="s">
        <v>389</v>
      </c>
      <c r="D217" s="12" t="s">
        <v>390</v>
      </c>
      <c r="E217" s="13">
        <v>3193683.23</v>
      </c>
      <c r="F217" s="13">
        <v>-1380449</v>
      </c>
      <c r="G217" s="13">
        <v>0</v>
      </c>
      <c r="I217" s="14">
        <f t="shared" si="8"/>
        <v>1813234.23</v>
      </c>
      <c r="J217" s="12"/>
      <c r="K217" s="11"/>
      <c r="M217" s="15"/>
    </row>
    <row r="218" spans="1:13" outlineLevel="2">
      <c r="A218" s="11">
        <f t="shared" si="7"/>
        <v>214</v>
      </c>
      <c r="B218" s="11" t="s">
        <v>235</v>
      </c>
      <c r="C218" s="17" t="s">
        <v>391</v>
      </c>
      <c r="D218" s="12" t="s">
        <v>392</v>
      </c>
      <c r="E218" s="13">
        <v>8722780.4299999997</v>
      </c>
      <c r="F218" s="13">
        <v>-570711.76</v>
      </c>
      <c r="G218" s="13">
        <v>0</v>
      </c>
      <c r="I218" s="14">
        <f t="shared" si="8"/>
        <v>8152068.6699999999</v>
      </c>
      <c r="J218" s="12"/>
      <c r="K218" s="11"/>
      <c r="M218" s="15"/>
    </row>
    <row r="219" spans="1:13" outlineLevel="2">
      <c r="A219" s="11">
        <f t="shared" si="7"/>
        <v>215</v>
      </c>
      <c r="B219" s="11" t="s">
        <v>235</v>
      </c>
      <c r="C219" s="17" t="s">
        <v>393</v>
      </c>
      <c r="D219" s="12" t="s">
        <v>394</v>
      </c>
      <c r="E219" s="13">
        <v>74402.89</v>
      </c>
      <c r="F219" s="13">
        <v>0</v>
      </c>
      <c r="G219" s="13">
        <v>0</v>
      </c>
      <c r="I219" s="14">
        <f t="shared" si="8"/>
        <v>74402.89</v>
      </c>
      <c r="K219" s="11"/>
      <c r="M219" s="15"/>
    </row>
    <row r="220" spans="1:13" outlineLevel="2">
      <c r="A220" s="11">
        <f t="shared" si="7"/>
        <v>216</v>
      </c>
      <c r="B220" s="11" t="s">
        <v>235</v>
      </c>
      <c r="C220" s="17" t="s">
        <v>395</v>
      </c>
      <c r="D220" s="12" t="s">
        <v>396</v>
      </c>
      <c r="E220" s="13">
        <v>861699.29</v>
      </c>
      <c r="F220" s="13">
        <v>-861699</v>
      </c>
      <c r="G220" s="13">
        <v>0</v>
      </c>
      <c r="I220" s="14">
        <f t="shared" si="8"/>
        <v>0.2900000000372529</v>
      </c>
      <c r="J220" s="12"/>
      <c r="K220" s="11"/>
      <c r="M220" s="15"/>
    </row>
    <row r="221" spans="1:13" outlineLevel="2">
      <c r="A221" s="11">
        <f t="shared" ref="A221" si="9">A220+1</f>
        <v>217</v>
      </c>
      <c r="B221" s="11" t="s">
        <v>235</v>
      </c>
      <c r="C221" s="17" t="s">
        <v>397</v>
      </c>
      <c r="D221" s="12" t="s">
        <v>398</v>
      </c>
      <c r="E221" s="13">
        <v>5490901.8799999999</v>
      </c>
      <c r="F221" s="13">
        <v>-169696</v>
      </c>
      <c r="G221" s="13">
        <v>0</v>
      </c>
      <c r="I221" s="14">
        <f t="shared" si="8"/>
        <v>5321205.88</v>
      </c>
      <c r="J221" s="12"/>
      <c r="K221" s="11"/>
      <c r="M221" s="15"/>
    </row>
    <row r="222" spans="1:13" outlineLevel="2">
      <c r="A222" s="11">
        <f t="shared" si="7"/>
        <v>218</v>
      </c>
      <c r="B222" s="11" t="s">
        <v>235</v>
      </c>
      <c r="C222" s="17" t="s">
        <v>495</v>
      </c>
      <c r="D222" s="12" t="s">
        <v>496</v>
      </c>
      <c r="E222" s="13">
        <v>22102.23</v>
      </c>
      <c r="F222" s="13">
        <v>0</v>
      </c>
      <c r="G222" s="13">
        <v>0</v>
      </c>
      <c r="I222" s="14">
        <f t="shared" si="8"/>
        <v>22102.23</v>
      </c>
      <c r="J222" s="12"/>
      <c r="K222" s="11"/>
      <c r="M222" s="15"/>
    </row>
    <row r="223" spans="1:13" outlineLevel="2">
      <c r="A223" s="11">
        <f t="shared" ref="A223:A274" si="10">A222+1</f>
        <v>219</v>
      </c>
      <c r="B223" s="11" t="s">
        <v>235</v>
      </c>
      <c r="C223" s="17" t="s">
        <v>399</v>
      </c>
      <c r="D223" s="12" t="s">
        <v>400</v>
      </c>
      <c r="E223" s="13">
        <v>13019488.130000001</v>
      </c>
      <c r="F223" s="13">
        <v>0</v>
      </c>
      <c r="G223" s="13">
        <v>0</v>
      </c>
      <c r="I223" s="14">
        <f t="shared" si="8"/>
        <v>13019488.130000001</v>
      </c>
      <c r="K223" s="11"/>
      <c r="M223" s="15"/>
    </row>
    <row r="224" spans="1:13" outlineLevel="2">
      <c r="A224" s="11">
        <f t="shared" si="10"/>
        <v>220</v>
      </c>
      <c r="B224" s="11" t="s">
        <v>235</v>
      </c>
      <c r="C224" s="17" t="s">
        <v>401</v>
      </c>
      <c r="D224" s="12" t="s">
        <v>402</v>
      </c>
      <c r="E224" s="13">
        <v>17196540.600000001</v>
      </c>
      <c r="F224" s="13">
        <v>0</v>
      </c>
      <c r="G224" s="13">
        <v>0</v>
      </c>
      <c r="I224" s="14">
        <f t="shared" si="8"/>
        <v>17196540.600000001</v>
      </c>
      <c r="K224" s="11"/>
      <c r="M224" s="15"/>
    </row>
    <row r="225" spans="1:13" outlineLevel="2">
      <c r="A225" s="11">
        <f t="shared" si="10"/>
        <v>221</v>
      </c>
      <c r="B225" s="11" t="s">
        <v>235</v>
      </c>
      <c r="C225" s="17" t="s">
        <v>403</v>
      </c>
      <c r="D225" s="12" t="s">
        <v>404</v>
      </c>
      <c r="E225" s="13">
        <v>14952320.199999999</v>
      </c>
      <c r="F225" s="13">
        <v>-516513.16</v>
      </c>
      <c r="G225" s="13">
        <v>0</v>
      </c>
      <c r="I225" s="14">
        <f t="shared" si="8"/>
        <v>14435807.039999999</v>
      </c>
      <c r="J225" s="12"/>
      <c r="K225" s="11"/>
      <c r="M225" s="15"/>
    </row>
    <row r="226" spans="1:13" outlineLevel="2">
      <c r="A226" s="11">
        <f t="shared" si="10"/>
        <v>222</v>
      </c>
      <c r="B226" s="11" t="s">
        <v>235</v>
      </c>
      <c r="C226" s="17" t="s">
        <v>405</v>
      </c>
      <c r="D226" s="12" t="s">
        <v>406</v>
      </c>
      <c r="E226" s="13">
        <v>8021788.9400000004</v>
      </c>
      <c r="F226" s="13">
        <v>-245264</v>
      </c>
      <c r="G226" s="13">
        <v>0</v>
      </c>
      <c r="I226" s="14">
        <f t="shared" si="8"/>
        <v>7776524.9400000004</v>
      </c>
      <c r="K226" s="11"/>
      <c r="M226" s="15"/>
    </row>
    <row r="227" spans="1:13" outlineLevel="2">
      <c r="A227" s="11">
        <f t="shared" si="10"/>
        <v>223</v>
      </c>
      <c r="B227" s="11" t="s">
        <v>235</v>
      </c>
      <c r="C227" s="17" t="s">
        <v>497</v>
      </c>
      <c r="D227" s="12" t="s">
        <v>498</v>
      </c>
      <c r="E227" s="13">
        <v>49735.05</v>
      </c>
      <c r="F227" s="13">
        <v>0</v>
      </c>
      <c r="G227" s="13">
        <v>0</v>
      </c>
      <c r="I227" s="14">
        <f t="shared" si="8"/>
        <v>49735.05</v>
      </c>
      <c r="K227" s="11"/>
      <c r="M227" s="15"/>
    </row>
    <row r="228" spans="1:13" outlineLevel="2">
      <c r="A228" s="11">
        <f t="shared" si="10"/>
        <v>224</v>
      </c>
      <c r="B228" s="11" t="s">
        <v>235</v>
      </c>
      <c r="C228" s="17" t="s">
        <v>407</v>
      </c>
      <c r="D228" s="12" t="s">
        <v>408</v>
      </c>
      <c r="E228" s="13">
        <v>74427.83</v>
      </c>
      <c r="F228" s="13">
        <v>0</v>
      </c>
      <c r="G228" s="13">
        <v>0</v>
      </c>
      <c r="I228" s="14">
        <f t="shared" si="8"/>
        <v>74427.83</v>
      </c>
      <c r="K228" s="11"/>
      <c r="M228" s="15"/>
    </row>
    <row r="229" spans="1:13" outlineLevel="2">
      <c r="A229" s="11">
        <f t="shared" si="10"/>
        <v>225</v>
      </c>
      <c r="B229" s="11" t="s">
        <v>235</v>
      </c>
      <c r="C229" s="17" t="s">
        <v>409</v>
      </c>
      <c r="D229" s="12" t="s">
        <v>410</v>
      </c>
      <c r="E229" s="13">
        <v>2881761.04</v>
      </c>
      <c r="F229" s="13">
        <v>-373848</v>
      </c>
      <c r="G229" s="13">
        <v>0</v>
      </c>
      <c r="I229" s="14">
        <f t="shared" si="8"/>
        <v>2507913.04</v>
      </c>
      <c r="K229" s="11"/>
      <c r="M229" s="15"/>
    </row>
    <row r="230" spans="1:13" outlineLevel="2">
      <c r="A230" s="11">
        <f t="shared" si="10"/>
        <v>226</v>
      </c>
      <c r="B230" s="11" t="s">
        <v>235</v>
      </c>
      <c r="C230" s="17" t="s">
        <v>499</v>
      </c>
      <c r="D230" s="12" t="s">
        <v>500</v>
      </c>
      <c r="E230" s="13">
        <v>606043.92000000004</v>
      </c>
      <c r="F230" s="13">
        <v>-103120.76</v>
      </c>
      <c r="I230" s="14">
        <f t="shared" si="8"/>
        <v>502923.16000000003</v>
      </c>
      <c r="K230" s="11"/>
      <c r="M230" s="15"/>
    </row>
    <row r="231" spans="1:13" outlineLevel="2">
      <c r="A231" s="11">
        <f t="shared" si="10"/>
        <v>227</v>
      </c>
      <c r="B231" s="11" t="s">
        <v>235</v>
      </c>
      <c r="C231" s="17" t="s">
        <v>501</v>
      </c>
      <c r="D231" s="12" t="s">
        <v>502</v>
      </c>
      <c r="E231" s="13">
        <v>166305.57999999999</v>
      </c>
      <c r="F231" s="13">
        <v>0</v>
      </c>
      <c r="G231" s="13">
        <v>0</v>
      </c>
      <c r="I231" s="14">
        <f t="shared" si="8"/>
        <v>166305.57999999999</v>
      </c>
      <c r="K231" s="11"/>
      <c r="M231" s="15"/>
    </row>
    <row r="232" spans="1:13" outlineLevel="2">
      <c r="A232" s="11">
        <f t="shared" si="10"/>
        <v>228</v>
      </c>
      <c r="B232" s="11" t="s">
        <v>235</v>
      </c>
      <c r="C232" s="17" t="s">
        <v>2448</v>
      </c>
      <c r="D232" s="12" t="s">
        <v>2449</v>
      </c>
      <c r="E232" s="13">
        <v>5187463.4800000004</v>
      </c>
      <c r="F232" s="13">
        <v>0</v>
      </c>
      <c r="G232" s="13">
        <v>0</v>
      </c>
      <c r="I232" s="14">
        <f t="shared" si="8"/>
        <v>5187463.4800000004</v>
      </c>
      <c r="K232" s="11"/>
      <c r="M232" s="15"/>
    </row>
    <row r="233" spans="1:13" outlineLevel="2">
      <c r="A233" s="11">
        <f t="shared" si="10"/>
        <v>229</v>
      </c>
      <c r="B233" s="11" t="s">
        <v>235</v>
      </c>
      <c r="C233" s="17" t="s">
        <v>411</v>
      </c>
      <c r="D233" s="12" t="s">
        <v>412</v>
      </c>
      <c r="E233" s="13">
        <v>948489.72</v>
      </c>
      <c r="F233" s="13">
        <v>-125594.13</v>
      </c>
      <c r="G233" s="13">
        <v>0</v>
      </c>
      <c r="I233" s="14">
        <f t="shared" si="8"/>
        <v>822895.59</v>
      </c>
      <c r="J233" s="12"/>
      <c r="K233" s="11"/>
      <c r="M233" s="15"/>
    </row>
    <row r="234" spans="1:13" outlineLevel="2">
      <c r="A234" s="11">
        <f t="shared" si="10"/>
        <v>230</v>
      </c>
      <c r="B234" s="11" t="s">
        <v>235</v>
      </c>
      <c r="C234" s="17" t="s">
        <v>413</v>
      </c>
      <c r="D234" s="12" t="s">
        <v>414</v>
      </c>
      <c r="E234" s="13">
        <v>12974149.65</v>
      </c>
      <c r="F234" s="13">
        <v>0</v>
      </c>
      <c r="G234" s="13">
        <v>0</v>
      </c>
      <c r="I234" s="14">
        <f t="shared" si="8"/>
        <v>12974149.65</v>
      </c>
      <c r="K234" s="11"/>
      <c r="M234" s="15"/>
    </row>
    <row r="235" spans="1:13" outlineLevel="2">
      <c r="A235" s="11">
        <f t="shared" si="10"/>
        <v>231</v>
      </c>
      <c r="B235" s="11" t="s">
        <v>235</v>
      </c>
      <c r="C235" s="17" t="s">
        <v>505</v>
      </c>
      <c r="D235" s="12" t="s">
        <v>506</v>
      </c>
      <c r="E235" s="13">
        <v>12390930.82</v>
      </c>
      <c r="F235" s="13">
        <v>0</v>
      </c>
      <c r="G235" s="13">
        <v>0</v>
      </c>
      <c r="I235" s="14">
        <f t="shared" si="8"/>
        <v>12390930.82</v>
      </c>
      <c r="K235" s="11"/>
      <c r="M235" s="15"/>
    </row>
    <row r="236" spans="1:13" outlineLevel="2">
      <c r="A236" s="11">
        <f t="shared" si="10"/>
        <v>232</v>
      </c>
      <c r="B236" s="11" t="s">
        <v>235</v>
      </c>
      <c r="C236" s="17" t="s">
        <v>415</v>
      </c>
      <c r="D236" s="12" t="s">
        <v>416</v>
      </c>
      <c r="E236" s="13">
        <v>6819467.9199999999</v>
      </c>
      <c r="F236" s="13">
        <v>-176541.41</v>
      </c>
      <c r="G236" s="13">
        <v>0</v>
      </c>
      <c r="I236" s="14">
        <f t="shared" si="8"/>
        <v>6642926.5099999998</v>
      </c>
      <c r="J236" s="12"/>
      <c r="K236" s="11"/>
      <c r="M236" s="15"/>
    </row>
    <row r="237" spans="1:13" outlineLevel="2">
      <c r="A237" s="11">
        <f t="shared" si="10"/>
        <v>233</v>
      </c>
      <c r="B237" s="11" t="s">
        <v>235</v>
      </c>
      <c r="C237" s="17" t="s">
        <v>417</v>
      </c>
      <c r="D237" s="12" t="s">
        <v>418</v>
      </c>
      <c r="E237" s="13">
        <v>108751.28</v>
      </c>
      <c r="F237" s="13">
        <v>0</v>
      </c>
      <c r="G237" s="13">
        <v>0</v>
      </c>
      <c r="I237" s="14">
        <f t="shared" si="8"/>
        <v>108751.28</v>
      </c>
      <c r="K237" s="11"/>
      <c r="M237" s="15"/>
    </row>
    <row r="238" spans="1:13" outlineLevel="2">
      <c r="A238" s="11">
        <f t="shared" si="10"/>
        <v>234</v>
      </c>
      <c r="B238" s="11" t="s">
        <v>235</v>
      </c>
      <c r="C238" s="17" t="s">
        <v>503</v>
      </c>
      <c r="D238" s="12" t="s">
        <v>504</v>
      </c>
      <c r="E238" s="13">
        <v>232375.26</v>
      </c>
      <c r="F238" s="13">
        <v>0</v>
      </c>
      <c r="G238" s="13">
        <v>0</v>
      </c>
      <c r="I238" s="14">
        <f t="shared" si="8"/>
        <v>232375.26</v>
      </c>
      <c r="K238" s="11"/>
      <c r="M238" s="15"/>
    </row>
    <row r="239" spans="1:13" outlineLevel="2">
      <c r="A239" s="11">
        <f t="shared" si="10"/>
        <v>235</v>
      </c>
      <c r="B239" s="11" t="s">
        <v>235</v>
      </c>
      <c r="C239" s="17" t="s">
        <v>419</v>
      </c>
      <c r="D239" s="12" t="s">
        <v>420</v>
      </c>
      <c r="E239" s="13">
        <v>3206763.26</v>
      </c>
      <c r="F239" s="13">
        <v>0</v>
      </c>
      <c r="G239" s="13">
        <v>0</v>
      </c>
      <c r="I239" s="14">
        <f t="shared" si="8"/>
        <v>3206763.26</v>
      </c>
      <c r="K239" s="11"/>
      <c r="M239" s="15"/>
    </row>
    <row r="240" spans="1:13" outlineLevel="2">
      <c r="A240" s="11">
        <f t="shared" si="10"/>
        <v>236</v>
      </c>
      <c r="B240" s="11" t="s">
        <v>235</v>
      </c>
      <c r="C240" s="17" t="s">
        <v>421</v>
      </c>
      <c r="D240" s="12" t="s">
        <v>422</v>
      </c>
      <c r="E240" s="13">
        <v>1571437.2</v>
      </c>
      <c r="F240" s="13">
        <v>-654299</v>
      </c>
      <c r="G240" s="13">
        <v>0</v>
      </c>
      <c r="I240" s="14">
        <f t="shared" si="8"/>
        <v>917138.2</v>
      </c>
      <c r="J240" s="12"/>
      <c r="K240" s="11"/>
      <c r="M240" s="15"/>
    </row>
    <row r="241" spans="1:13" outlineLevel="2">
      <c r="A241" s="11">
        <f t="shared" si="10"/>
        <v>237</v>
      </c>
      <c r="B241" s="11" t="s">
        <v>235</v>
      </c>
      <c r="C241" s="17" t="s">
        <v>423</v>
      </c>
      <c r="D241" s="12" t="s">
        <v>424</v>
      </c>
      <c r="E241" s="13">
        <v>3453847.29</v>
      </c>
      <c r="F241" s="13">
        <v>-45361</v>
      </c>
      <c r="G241" s="13">
        <v>0</v>
      </c>
      <c r="I241" s="14">
        <f t="shared" si="8"/>
        <v>3408486.29</v>
      </c>
      <c r="J241" s="12"/>
      <c r="K241" s="11"/>
      <c r="M241" s="15"/>
    </row>
    <row r="242" spans="1:13" outlineLevel="2">
      <c r="A242" s="11">
        <f t="shared" si="10"/>
        <v>238</v>
      </c>
      <c r="B242" s="11" t="s">
        <v>235</v>
      </c>
      <c r="C242" s="17" t="s">
        <v>425</v>
      </c>
      <c r="D242" s="12" t="s">
        <v>426</v>
      </c>
      <c r="E242" s="13">
        <v>2075908.82</v>
      </c>
      <c r="F242" s="13">
        <v>-938019.87</v>
      </c>
      <c r="G242" s="13">
        <v>0</v>
      </c>
      <c r="I242" s="14">
        <f t="shared" si="8"/>
        <v>1137888.9500000002</v>
      </c>
      <c r="J242" s="12"/>
      <c r="K242" s="11"/>
      <c r="M242" s="15"/>
    </row>
    <row r="243" spans="1:13" outlineLevel="2">
      <c r="A243" s="11">
        <f t="shared" si="10"/>
        <v>239</v>
      </c>
      <c r="B243" s="11" t="s">
        <v>235</v>
      </c>
      <c r="C243" s="17" t="s">
        <v>427</v>
      </c>
      <c r="D243" s="12" t="s">
        <v>428</v>
      </c>
      <c r="E243" s="13">
        <v>3609306.24</v>
      </c>
      <c r="F243" s="13">
        <v>0</v>
      </c>
      <c r="G243" s="13">
        <v>0</v>
      </c>
      <c r="I243" s="14">
        <f t="shared" si="8"/>
        <v>3609306.24</v>
      </c>
      <c r="K243" s="11"/>
      <c r="M243" s="15"/>
    </row>
    <row r="244" spans="1:13" outlineLevel="2">
      <c r="A244" s="11">
        <f t="shared" si="10"/>
        <v>240</v>
      </c>
      <c r="B244" s="11" t="s">
        <v>235</v>
      </c>
      <c r="C244" s="17" t="s">
        <v>429</v>
      </c>
      <c r="D244" s="12" t="s">
        <v>430</v>
      </c>
      <c r="E244" s="13">
        <v>11778774.810000001</v>
      </c>
      <c r="F244" s="13">
        <v>0</v>
      </c>
      <c r="G244" s="13">
        <v>0</v>
      </c>
      <c r="I244" s="14">
        <f t="shared" ref="I244:I259" si="11">SUM(E244:G244)</f>
        <v>11778774.810000001</v>
      </c>
      <c r="K244" s="11"/>
      <c r="M244" s="15"/>
    </row>
    <row r="245" spans="1:13" outlineLevel="2">
      <c r="A245" s="11">
        <f t="shared" si="10"/>
        <v>241</v>
      </c>
      <c r="B245" s="11" t="s">
        <v>235</v>
      </c>
      <c r="C245" s="17" t="s">
        <v>431</v>
      </c>
      <c r="D245" s="12" t="s">
        <v>432</v>
      </c>
      <c r="E245" s="13">
        <v>16007532.51</v>
      </c>
      <c r="F245" s="13">
        <v>0</v>
      </c>
      <c r="G245" s="13">
        <v>0</v>
      </c>
      <c r="I245" s="14">
        <f t="shared" si="11"/>
        <v>16007532.51</v>
      </c>
      <c r="J245" s="12"/>
      <c r="K245" s="11"/>
      <c r="M245" s="15"/>
    </row>
    <row r="246" spans="1:13" outlineLevel="2">
      <c r="A246" s="11">
        <f t="shared" si="10"/>
        <v>242</v>
      </c>
      <c r="B246" s="11" t="s">
        <v>235</v>
      </c>
      <c r="C246" s="17" t="s">
        <v>433</v>
      </c>
      <c r="D246" s="12" t="s">
        <v>434</v>
      </c>
      <c r="E246" s="13">
        <v>7600293.54</v>
      </c>
      <c r="F246" s="13">
        <v>-108365.37</v>
      </c>
      <c r="G246" s="13">
        <v>0</v>
      </c>
      <c r="I246" s="14">
        <f t="shared" si="11"/>
        <v>7491928.1699999999</v>
      </c>
      <c r="J246" s="12"/>
      <c r="K246" s="11"/>
      <c r="M246" s="15"/>
    </row>
    <row r="247" spans="1:13" outlineLevel="2">
      <c r="A247" s="11">
        <f t="shared" si="10"/>
        <v>243</v>
      </c>
      <c r="B247" s="11" t="s">
        <v>235</v>
      </c>
      <c r="C247" s="17" t="s">
        <v>435</v>
      </c>
      <c r="D247" s="12" t="s">
        <v>436</v>
      </c>
      <c r="E247" s="13">
        <v>5141440.25</v>
      </c>
      <c r="F247" s="13">
        <v>-181849</v>
      </c>
      <c r="G247" s="13">
        <v>0</v>
      </c>
      <c r="I247" s="14">
        <f t="shared" si="11"/>
        <v>4959591.25</v>
      </c>
      <c r="J247" s="12"/>
      <c r="K247" s="11"/>
      <c r="M247" s="15"/>
    </row>
    <row r="248" spans="1:13" outlineLevel="2">
      <c r="A248" s="11">
        <f t="shared" si="10"/>
        <v>244</v>
      </c>
      <c r="B248" s="11" t="s">
        <v>235</v>
      </c>
      <c r="C248" s="17" t="s">
        <v>437</v>
      </c>
      <c r="D248" s="12" t="s">
        <v>438</v>
      </c>
      <c r="E248" s="13">
        <v>40859.629999999997</v>
      </c>
      <c r="F248" s="13">
        <v>0</v>
      </c>
      <c r="G248" s="13">
        <v>0</v>
      </c>
      <c r="I248" s="14">
        <f t="shared" si="11"/>
        <v>40859.629999999997</v>
      </c>
      <c r="K248" s="11"/>
      <c r="M248" s="15"/>
    </row>
    <row r="249" spans="1:13" outlineLevel="2">
      <c r="A249" s="11">
        <f t="shared" si="10"/>
        <v>245</v>
      </c>
      <c r="B249" s="11" t="s">
        <v>235</v>
      </c>
      <c r="C249" s="17" t="s">
        <v>439</v>
      </c>
      <c r="D249" s="12" t="s">
        <v>440</v>
      </c>
      <c r="E249" s="13">
        <v>109910.18</v>
      </c>
      <c r="F249" s="13">
        <v>-54082.99</v>
      </c>
      <c r="G249" s="13">
        <v>0</v>
      </c>
      <c r="I249" s="14">
        <f t="shared" si="11"/>
        <v>55827.189999999995</v>
      </c>
      <c r="J249" s="12"/>
      <c r="K249" s="11"/>
      <c r="M249" s="15"/>
    </row>
    <row r="250" spans="1:13" outlineLevel="2">
      <c r="A250" s="11">
        <f t="shared" si="10"/>
        <v>246</v>
      </c>
      <c r="B250" s="11" t="s">
        <v>235</v>
      </c>
      <c r="C250" s="17" t="s">
        <v>441</v>
      </c>
      <c r="D250" s="12" t="s">
        <v>442</v>
      </c>
      <c r="E250" s="13">
        <v>11047497.42</v>
      </c>
      <c r="F250" s="13">
        <v>0</v>
      </c>
      <c r="G250" s="13">
        <v>0</v>
      </c>
      <c r="I250" s="14">
        <f t="shared" si="11"/>
        <v>11047497.42</v>
      </c>
      <c r="K250" s="11"/>
      <c r="M250" s="15"/>
    </row>
    <row r="251" spans="1:13" outlineLevel="2">
      <c r="A251" s="11">
        <f t="shared" si="10"/>
        <v>247</v>
      </c>
      <c r="B251" s="11" t="s">
        <v>235</v>
      </c>
      <c r="C251" s="17" t="s">
        <v>443</v>
      </c>
      <c r="D251" s="12" t="s">
        <v>444</v>
      </c>
      <c r="E251" s="13">
        <v>831303.68000000005</v>
      </c>
      <c r="F251" s="13">
        <v>-250593.49</v>
      </c>
      <c r="G251" s="13">
        <v>0</v>
      </c>
      <c r="I251" s="14">
        <f t="shared" si="11"/>
        <v>580710.19000000006</v>
      </c>
      <c r="J251" s="12"/>
      <c r="K251" s="11"/>
      <c r="M251" s="15"/>
    </row>
    <row r="252" spans="1:13" outlineLevel="2">
      <c r="A252" s="11">
        <f t="shared" si="10"/>
        <v>248</v>
      </c>
      <c r="B252" s="11" t="s">
        <v>235</v>
      </c>
      <c r="C252" s="17" t="s">
        <v>445</v>
      </c>
      <c r="D252" s="12" t="s">
        <v>446</v>
      </c>
      <c r="E252" s="13">
        <v>15594604.08</v>
      </c>
      <c r="F252" s="13">
        <v>0</v>
      </c>
      <c r="G252" s="13">
        <v>0</v>
      </c>
      <c r="I252" s="14">
        <f t="shared" si="11"/>
        <v>15594604.08</v>
      </c>
      <c r="K252" s="11"/>
      <c r="M252" s="15"/>
    </row>
    <row r="253" spans="1:13" outlineLevel="2">
      <c r="A253" s="11">
        <f t="shared" si="10"/>
        <v>249</v>
      </c>
      <c r="B253" s="11" t="s">
        <v>235</v>
      </c>
      <c r="C253" s="17" t="s">
        <v>447</v>
      </c>
      <c r="D253" s="12" t="s">
        <v>448</v>
      </c>
      <c r="E253" s="13">
        <v>8198986.5800000001</v>
      </c>
      <c r="F253" s="13">
        <v>-97320</v>
      </c>
      <c r="G253" s="13">
        <v>0</v>
      </c>
      <c r="I253" s="14">
        <f t="shared" si="11"/>
        <v>8101666.5800000001</v>
      </c>
      <c r="K253" s="11"/>
      <c r="M253" s="15"/>
    </row>
    <row r="254" spans="1:13" outlineLevel="2">
      <c r="A254" s="11">
        <f t="shared" si="10"/>
        <v>250</v>
      </c>
      <c r="B254" s="11" t="s">
        <v>235</v>
      </c>
      <c r="C254" s="17" t="s">
        <v>449</v>
      </c>
      <c r="D254" s="12" t="s">
        <v>450</v>
      </c>
      <c r="E254" s="13">
        <v>3234614.29</v>
      </c>
      <c r="F254" s="13">
        <v>-101868.59</v>
      </c>
      <c r="G254" s="13">
        <v>0</v>
      </c>
      <c r="I254" s="14">
        <f t="shared" si="11"/>
        <v>3132745.7</v>
      </c>
      <c r="J254" s="12"/>
      <c r="K254" s="11"/>
      <c r="M254" s="15"/>
    </row>
    <row r="255" spans="1:13" outlineLevel="2">
      <c r="A255" s="11">
        <f t="shared" si="10"/>
        <v>251</v>
      </c>
      <c r="B255" s="11" t="s">
        <v>235</v>
      </c>
      <c r="C255" s="17" t="s">
        <v>507</v>
      </c>
      <c r="D255" s="12" t="s">
        <v>508</v>
      </c>
      <c r="E255" s="13">
        <v>183222.22</v>
      </c>
      <c r="F255" s="13">
        <v>0</v>
      </c>
      <c r="G255" s="13">
        <v>0</v>
      </c>
      <c r="I255" s="14">
        <f t="shared" si="11"/>
        <v>183222.22</v>
      </c>
      <c r="J255" s="12"/>
      <c r="K255" s="11"/>
      <c r="M255" s="15"/>
    </row>
    <row r="256" spans="1:13" outlineLevel="2">
      <c r="A256" s="11">
        <f t="shared" si="10"/>
        <v>252</v>
      </c>
      <c r="B256" s="11" t="s">
        <v>235</v>
      </c>
      <c r="C256" s="17" t="s">
        <v>451</v>
      </c>
      <c r="D256" s="12" t="s">
        <v>452</v>
      </c>
      <c r="E256" s="13">
        <v>7181904.5999999996</v>
      </c>
      <c r="F256" s="13">
        <v>-1346899.36</v>
      </c>
      <c r="G256" s="13">
        <v>0</v>
      </c>
      <c r="I256" s="14">
        <f t="shared" si="11"/>
        <v>5835005.2399999993</v>
      </c>
      <c r="J256" s="12"/>
      <c r="K256" s="11"/>
      <c r="M256" s="15"/>
    </row>
    <row r="257" spans="1:13" outlineLevel="2">
      <c r="A257" s="11">
        <f t="shared" si="10"/>
        <v>253</v>
      </c>
      <c r="B257" s="11" t="s">
        <v>235</v>
      </c>
      <c r="C257" s="17" t="s">
        <v>453</v>
      </c>
      <c r="D257" s="12" t="s">
        <v>454</v>
      </c>
      <c r="E257" s="13">
        <v>2775992.03</v>
      </c>
      <c r="F257" s="13">
        <v>-1579680.04</v>
      </c>
      <c r="G257" s="13">
        <v>0</v>
      </c>
      <c r="I257" s="14">
        <f t="shared" si="11"/>
        <v>1196311.9899999998</v>
      </c>
      <c r="J257" s="12"/>
      <c r="K257" s="11"/>
      <c r="M257" s="15"/>
    </row>
    <row r="258" spans="1:13" outlineLevel="2">
      <c r="A258" s="11">
        <f t="shared" si="10"/>
        <v>254</v>
      </c>
      <c r="B258" s="11" t="s">
        <v>235</v>
      </c>
      <c r="C258" s="17" t="s">
        <v>509</v>
      </c>
      <c r="D258" s="12" t="s">
        <v>510</v>
      </c>
      <c r="E258" s="13">
        <v>76395.83</v>
      </c>
      <c r="F258" s="13">
        <v>0</v>
      </c>
      <c r="G258" s="13">
        <v>0</v>
      </c>
      <c r="I258" s="14">
        <f t="shared" si="11"/>
        <v>76395.83</v>
      </c>
      <c r="J258" s="12"/>
      <c r="K258" s="11"/>
      <c r="M258" s="15"/>
    </row>
    <row r="259" spans="1:13" outlineLevel="2">
      <c r="A259" s="11">
        <f t="shared" si="10"/>
        <v>255</v>
      </c>
      <c r="B259" s="11" t="s">
        <v>235</v>
      </c>
      <c r="C259" s="17" t="s">
        <v>455</v>
      </c>
      <c r="D259" s="12" t="s">
        <v>456</v>
      </c>
      <c r="E259" s="13">
        <v>2935</v>
      </c>
      <c r="F259" s="13">
        <v>0</v>
      </c>
      <c r="G259" s="13">
        <v>0</v>
      </c>
      <c r="I259" s="14">
        <f t="shared" si="11"/>
        <v>2935</v>
      </c>
      <c r="J259" s="12"/>
      <c r="K259" s="11"/>
      <c r="M259" s="15"/>
    </row>
    <row r="260" spans="1:13" s="6" customFormat="1" ht="13.5" outlineLevel="1" thickBot="1">
      <c r="A260" s="11">
        <f t="shared" si="10"/>
        <v>256</v>
      </c>
      <c r="B260" s="19" t="s">
        <v>457</v>
      </c>
      <c r="C260" s="20"/>
      <c r="D260" s="21" t="s">
        <v>458</v>
      </c>
      <c r="E260" s="22">
        <f>SUBTOTAL(9,E119:E259)</f>
        <v>690475890.71000004</v>
      </c>
      <c r="F260" s="22">
        <f>SUBTOTAL(9,F119:F259)</f>
        <v>-40020672.939999998</v>
      </c>
      <c r="G260" s="22">
        <f>SUBTOTAL(9,G119:G259)</f>
        <v>0</v>
      </c>
      <c r="H260" s="22"/>
      <c r="I260" s="23">
        <f>SUBTOTAL(9,I119:I259)</f>
        <v>650455217.77000022</v>
      </c>
      <c r="J260" s="24"/>
      <c r="K260" s="3"/>
      <c r="L260" s="3"/>
      <c r="M260" s="8"/>
    </row>
    <row r="261" spans="1:13" ht="13.5" outlineLevel="2" thickTop="1">
      <c r="A261" s="11">
        <f t="shared" si="10"/>
        <v>257</v>
      </c>
      <c r="B261" s="11" t="s">
        <v>511</v>
      </c>
      <c r="C261" s="17" t="s">
        <v>512</v>
      </c>
      <c r="D261" s="12" t="s">
        <v>513</v>
      </c>
      <c r="E261" s="13">
        <v>3488667.41</v>
      </c>
      <c r="F261" s="13">
        <v>0</v>
      </c>
      <c r="G261" s="13">
        <v>0</v>
      </c>
      <c r="I261" s="14">
        <f t="shared" ref="I261:I279" si="12">SUM(E261:G261)</f>
        <v>3488667.41</v>
      </c>
      <c r="K261" s="11"/>
      <c r="M261" s="15"/>
    </row>
    <row r="262" spans="1:13" outlineLevel="2">
      <c r="A262" s="11">
        <f t="shared" si="10"/>
        <v>258</v>
      </c>
      <c r="B262" s="11" t="s">
        <v>511</v>
      </c>
      <c r="C262" s="17" t="s">
        <v>514</v>
      </c>
      <c r="D262" s="12" t="s">
        <v>515</v>
      </c>
      <c r="E262" s="13">
        <v>9917898.5700000003</v>
      </c>
      <c r="F262" s="13">
        <v>0</v>
      </c>
      <c r="G262" s="13">
        <v>0</v>
      </c>
      <c r="I262" s="14">
        <f t="shared" si="12"/>
        <v>9917898.5700000003</v>
      </c>
      <c r="K262" s="11"/>
      <c r="M262" s="15"/>
    </row>
    <row r="263" spans="1:13" outlineLevel="2">
      <c r="A263" s="11">
        <f t="shared" si="10"/>
        <v>259</v>
      </c>
      <c r="B263" s="11" t="s">
        <v>511</v>
      </c>
      <c r="C263" s="17" t="s">
        <v>516</v>
      </c>
      <c r="D263" s="12" t="s">
        <v>517</v>
      </c>
      <c r="E263" s="13">
        <v>6845966.21</v>
      </c>
      <c r="F263" s="13">
        <v>0</v>
      </c>
      <c r="G263" s="13">
        <v>0</v>
      </c>
      <c r="I263" s="14">
        <f t="shared" si="12"/>
        <v>6845966.21</v>
      </c>
      <c r="K263" s="11"/>
      <c r="M263" s="15"/>
    </row>
    <row r="264" spans="1:13" outlineLevel="2">
      <c r="A264" s="11">
        <f t="shared" si="10"/>
        <v>260</v>
      </c>
      <c r="B264" s="11" t="s">
        <v>511</v>
      </c>
      <c r="C264" s="17" t="s">
        <v>518</v>
      </c>
      <c r="D264" s="12" t="s">
        <v>519</v>
      </c>
      <c r="E264" s="13">
        <v>3852063.84</v>
      </c>
      <c r="F264" s="13">
        <v>0</v>
      </c>
      <c r="G264" s="13">
        <v>0</v>
      </c>
      <c r="I264" s="14">
        <f t="shared" si="12"/>
        <v>3852063.84</v>
      </c>
      <c r="K264" s="11"/>
      <c r="M264" s="15"/>
    </row>
    <row r="265" spans="1:13" outlineLevel="2">
      <c r="A265" s="11">
        <f t="shared" si="10"/>
        <v>261</v>
      </c>
      <c r="B265" s="11" t="s">
        <v>511</v>
      </c>
      <c r="C265" s="17" t="s">
        <v>520</v>
      </c>
      <c r="D265" s="12" t="s">
        <v>521</v>
      </c>
      <c r="E265" s="13">
        <v>2040286.92</v>
      </c>
      <c r="F265" s="13">
        <v>0</v>
      </c>
      <c r="G265" s="13">
        <v>0</v>
      </c>
      <c r="I265" s="14">
        <f t="shared" si="12"/>
        <v>2040286.92</v>
      </c>
      <c r="K265" s="11"/>
      <c r="M265" s="15"/>
    </row>
    <row r="266" spans="1:13" outlineLevel="2">
      <c r="A266" s="11">
        <f t="shared" si="10"/>
        <v>262</v>
      </c>
      <c r="B266" s="11" t="s">
        <v>511</v>
      </c>
      <c r="C266" s="17" t="s">
        <v>522</v>
      </c>
      <c r="D266" s="12" t="s">
        <v>523</v>
      </c>
      <c r="E266" s="13">
        <v>794673.34</v>
      </c>
      <c r="F266" s="13">
        <v>0</v>
      </c>
      <c r="G266" s="13">
        <v>0</v>
      </c>
      <c r="I266" s="14">
        <f t="shared" si="12"/>
        <v>794673.34</v>
      </c>
      <c r="K266" s="11"/>
      <c r="M266" s="15"/>
    </row>
    <row r="267" spans="1:13" outlineLevel="2">
      <c r="A267" s="11">
        <f t="shared" si="10"/>
        <v>263</v>
      </c>
      <c r="B267" s="11" t="s">
        <v>511</v>
      </c>
      <c r="C267" s="17" t="s">
        <v>524</v>
      </c>
      <c r="D267" s="12" t="s">
        <v>525</v>
      </c>
      <c r="E267" s="13">
        <v>8351981.5899999999</v>
      </c>
      <c r="F267" s="13">
        <v>0</v>
      </c>
      <c r="G267" s="13">
        <v>0</v>
      </c>
      <c r="I267" s="14">
        <f t="shared" si="12"/>
        <v>8351981.5899999999</v>
      </c>
      <c r="K267" s="11"/>
      <c r="M267" s="15"/>
    </row>
    <row r="268" spans="1:13" outlineLevel="2">
      <c r="A268" s="11">
        <f t="shared" si="10"/>
        <v>264</v>
      </c>
      <c r="B268" s="11" t="s">
        <v>511</v>
      </c>
      <c r="C268" s="17" t="s">
        <v>526</v>
      </c>
      <c r="D268" s="12" t="s">
        <v>527</v>
      </c>
      <c r="E268" s="13">
        <v>2435618.58</v>
      </c>
      <c r="F268" s="13">
        <v>0</v>
      </c>
      <c r="G268" s="13">
        <v>0</v>
      </c>
      <c r="I268" s="14">
        <f t="shared" si="12"/>
        <v>2435618.58</v>
      </c>
      <c r="K268" s="11"/>
      <c r="M268" s="15"/>
    </row>
    <row r="269" spans="1:13" outlineLevel="2">
      <c r="A269" s="11">
        <f t="shared" si="10"/>
        <v>265</v>
      </c>
      <c r="B269" s="11" t="s">
        <v>511</v>
      </c>
      <c r="C269" s="17" t="s">
        <v>528</v>
      </c>
      <c r="D269" s="12" t="s">
        <v>529</v>
      </c>
      <c r="E269" s="13">
        <v>493999.14</v>
      </c>
      <c r="F269" s="13">
        <v>0</v>
      </c>
      <c r="G269" s="13">
        <v>0</v>
      </c>
      <c r="I269" s="14">
        <f t="shared" si="12"/>
        <v>493999.14</v>
      </c>
      <c r="K269" s="11"/>
      <c r="M269" s="15"/>
    </row>
    <row r="270" spans="1:13" outlineLevel="2">
      <c r="A270" s="11">
        <f t="shared" si="10"/>
        <v>266</v>
      </c>
      <c r="B270" s="11" t="s">
        <v>511</v>
      </c>
      <c r="C270" s="17" t="s">
        <v>530</v>
      </c>
      <c r="D270" s="12" t="s">
        <v>531</v>
      </c>
      <c r="E270" s="13">
        <v>2709638.83</v>
      </c>
      <c r="F270" s="13">
        <v>0</v>
      </c>
      <c r="G270" s="13">
        <v>0</v>
      </c>
      <c r="I270" s="14">
        <f t="shared" si="12"/>
        <v>2709638.83</v>
      </c>
      <c r="K270" s="11"/>
      <c r="M270" s="15"/>
    </row>
    <row r="271" spans="1:13" outlineLevel="2">
      <c r="A271" s="11">
        <f t="shared" si="10"/>
        <v>267</v>
      </c>
      <c r="B271" s="11" t="s">
        <v>511</v>
      </c>
      <c r="C271" s="17" t="s">
        <v>532</v>
      </c>
      <c r="D271" s="12" t="s">
        <v>533</v>
      </c>
      <c r="E271" s="13">
        <v>3841397.64</v>
      </c>
      <c r="F271" s="13">
        <v>0</v>
      </c>
      <c r="G271" s="13">
        <v>0</v>
      </c>
      <c r="I271" s="14">
        <f t="shared" si="12"/>
        <v>3841397.64</v>
      </c>
      <c r="K271" s="11"/>
      <c r="M271" s="15"/>
    </row>
    <row r="272" spans="1:13" outlineLevel="2">
      <c r="A272" s="11">
        <f t="shared" si="10"/>
        <v>268</v>
      </c>
      <c r="B272" s="11" t="s">
        <v>511</v>
      </c>
      <c r="C272" s="17" t="s">
        <v>534</v>
      </c>
      <c r="D272" s="12" t="s">
        <v>535</v>
      </c>
      <c r="E272" s="13">
        <v>1025254.07</v>
      </c>
      <c r="F272" s="13">
        <v>0</v>
      </c>
      <c r="G272" s="13">
        <v>0</v>
      </c>
      <c r="I272" s="14">
        <f t="shared" si="12"/>
        <v>1025254.07</v>
      </c>
      <c r="K272" s="11"/>
      <c r="M272" s="15"/>
    </row>
    <row r="273" spans="1:13" outlineLevel="2">
      <c r="A273" s="11">
        <f t="shared" si="10"/>
        <v>269</v>
      </c>
      <c r="B273" s="11" t="s">
        <v>511</v>
      </c>
      <c r="C273" s="17" t="s">
        <v>536</v>
      </c>
      <c r="D273" s="12" t="s">
        <v>537</v>
      </c>
      <c r="E273" s="13">
        <v>96884.41</v>
      </c>
      <c r="F273" s="13">
        <v>0</v>
      </c>
      <c r="G273" s="13">
        <v>0</v>
      </c>
      <c r="I273" s="14">
        <f t="shared" si="12"/>
        <v>96884.41</v>
      </c>
      <c r="K273" s="11"/>
      <c r="M273" s="15"/>
    </row>
    <row r="274" spans="1:13" outlineLevel="2">
      <c r="A274" s="11">
        <f t="shared" si="10"/>
        <v>270</v>
      </c>
      <c r="B274" s="11" t="s">
        <v>511</v>
      </c>
      <c r="C274" s="17" t="s">
        <v>538</v>
      </c>
      <c r="D274" s="12" t="s">
        <v>539</v>
      </c>
      <c r="E274" s="13">
        <v>1679673.69</v>
      </c>
      <c r="F274" s="13">
        <v>0</v>
      </c>
      <c r="G274" s="13">
        <v>0</v>
      </c>
      <c r="I274" s="14">
        <f t="shared" si="12"/>
        <v>1679673.69</v>
      </c>
      <c r="K274" s="11"/>
      <c r="M274" s="15"/>
    </row>
    <row r="275" spans="1:13" outlineLevel="2">
      <c r="A275" s="11">
        <f t="shared" ref="A275:A331" si="13">A274+1</f>
        <v>271</v>
      </c>
      <c r="B275" s="11" t="s">
        <v>511</v>
      </c>
      <c r="C275" s="17" t="s">
        <v>540</v>
      </c>
      <c r="D275" s="12" t="s">
        <v>541</v>
      </c>
      <c r="E275" s="13">
        <v>1051383.4099999999</v>
      </c>
      <c r="F275" s="13">
        <v>0</v>
      </c>
      <c r="G275" s="13">
        <v>0</v>
      </c>
      <c r="I275" s="14">
        <f t="shared" si="12"/>
        <v>1051383.4099999999</v>
      </c>
      <c r="K275" s="11"/>
      <c r="M275" s="15"/>
    </row>
    <row r="276" spans="1:13" outlineLevel="2">
      <c r="A276" s="11">
        <f t="shared" si="13"/>
        <v>272</v>
      </c>
      <c r="B276" s="11" t="s">
        <v>511</v>
      </c>
      <c r="C276" s="17" t="s">
        <v>542</v>
      </c>
      <c r="D276" s="12" t="s">
        <v>543</v>
      </c>
      <c r="E276" s="13">
        <v>2221966.7200000002</v>
      </c>
      <c r="F276" s="13">
        <v>0</v>
      </c>
      <c r="G276" s="13">
        <v>0</v>
      </c>
      <c r="I276" s="14">
        <f t="shared" si="12"/>
        <v>2221966.7200000002</v>
      </c>
      <c r="K276" s="11"/>
      <c r="M276" s="15"/>
    </row>
    <row r="277" spans="1:13" ht="12.75" customHeight="1" outlineLevel="2">
      <c r="A277" s="11">
        <f t="shared" si="13"/>
        <v>273</v>
      </c>
      <c r="B277" s="11" t="s">
        <v>511</v>
      </c>
      <c r="C277" s="679" t="s">
        <v>544</v>
      </c>
      <c r="D277" s="12" t="s">
        <v>545</v>
      </c>
      <c r="E277" s="13">
        <v>3007881.59</v>
      </c>
      <c r="F277" s="13">
        <v>0</v>
      </c>
      <c r="G277" s="13">
        <v>0</v>
      </c>
      <c r="I277" s="14">
        <f t="shared" si="12"/>
        <v>3007881.59</v>
      </c>
      <c r="J277" s="12"/>
      <c r="K277" s="11"/>
      <c r="M277" s="15"/>
    </row>
    <row r="278" spans="1:13" outlineLevel="2">
      <c r="A278" s="11">
        <f t="shared" si="13"/>
        <v>274</v>
      </c>
      <c r="B278" s="11" t="s">
        <v>511</v>
      </c>
      <c r="C278" s="17" t="s">
        <v>546</v>
      </c>
      <c r="D278" s="12" t="s">
        <v>547</v>
      </c>
      <c r="E278" s="13">
        <v>239919.86</v>
      </c>
      <c r="F278" s="13">
        <v>0</v>
      </c>
      <c r="G278" s="13">
        <v>0</v>
      </c>
      <c r="I278" s="14">
        <f t="shared" si="12"/>
        <v>239919.86</v>
      </c>
      <c r="J278" s="18"/>
      <c r="K278" s="11"/>
    </row>
    <row r="279" spans="1:13" outlineLevel="2">
      <c r="A279" s="11">
        <f t="shared" si="13"/>
        <v>275</v>
      </c>
      <c r="B279" s="11" t="s">
        <v>511</v>
      </c>
      <c r="C279" s="17" t="s">
        <v>548</v>
      </c>
      <c r="D279" s="12" t="s">
        <v>549</v>
      </c>
      <c r="E279" s="13">
        <v>7452150.5499999998</v>
      </c>
      <c r="F279" s="13">
        <v>0</v>
      </c>
      <c r="G279" s="13">
        <v>0</v>
      </c>
      <c r="I279" s="14">
        <f t="shared" si="12"/>
        <v>7452150.5499999998</v>
      </c>
      <c r="K279" s="11"/>
      <c r="M279" s="15"/>
    </row>
    <row r="280" spans="1:13" s="6" customFormat="1" ht="13.5" outlineLevel="1" thickBot="1">
      <c r="A280" s="11">
        <f t="shared" si="13"/>
        <v>276</v>
      </c>
      <c r="B280" s="19" t="s">
        <v>550</v>
      </c>
      <c r="C280" s="20"/>
      <c r="D280" s="21" t="s">
        <v>551</v>
      </c>
      <c r="E280" s="22">
        <f>SUBTOTAL(9,E261:E279)</f>
        <v>61547306.36999999</v>
      </c>
      <c r="F280" s="22">
        <f>SUBTOTAL(9,F261:F279)</f>
        <v>0</v>
      </c>
      <c r="G280" s="22">
        <f>SUBTOTAL(9,G261:G279)</f>
        <v>0</v>
      </c>
      <c r="H280" s="22"/>
      <c r="I280" s="23">
        <f>SUBTOTAL(9,I261:I279)</f>
        <v>61547306.36999999</v>
      </c>
      <c r="J280" s="24"/>
      <c r="K280" s="3"/>
      <c r="L280" s="3"/>
      <c r="M280" s="8"/>
    </row>
    <row r="281" spans="1:13" ht="13.5" outlineLevel="2" thickTop="1">
      <c r="A281" s="11">
        <f t="shared" si="13"/>
        <v>277</v>
      </c>
      <c r="B281" s="11" t="s">
        <v>552</v>
      </c>
      <c r="C281" s="17" t="s">
        <v>553</v>
      </c>
      <c r="D281" s="1" t="s">
        <v>554</v>
      </c>
      <c r="E281" s="13">
        <f>6006058.11</f>
        <v>6006058.1100000003</v>
      </c>
      <c r="F281" s="13">
        <v>0</v>
      </c>
      <c r="G281" s="13">
        <v>0</v>
      </c>
      <c r="H281" s="13">
        <f>'WS13-SSCDFac'!H5</f>
        <v>-1501514.5274999989</v>
      </c>
      <c r="I281" s="14">
        <f>SUM(E281:H281)</f>
        <v>4504543.5825000014</v>
      </c>
      <c r="J281" s="859" t="s">
        <v>1492</v>
      </c>
      <c r="K281" s="11"/>
    </row>
    <row r="282" spans="1:13" ht="12.75" customHeight="1" outlineLevel="2">
      <c r="A282" s="11">
        <f t="shared" si="13"/>
        <v>278</v>
      </c>
      <c r="B282" s="11" t="s">
        <v>552</v>
      </c>
      <c r="C282" s="17" t="s">
        <v>555</v>
      </c>
      <c r="D282" s="12" t="s">
        <v>556</v>
      </c>
      <c r="E282" s="13">
        <v>2542599.64</v>
      </c>
      <c r="F282" s="13">
        <v>0</v>
      </c>
      <c r="G282" s="13">
        <v>0</v>
      </c>
      <c r="H282" s="13">
        <f>'WS13-SSCDFac'!H6</f>
        <v>-720132.67026999965</v>
      </c>
      <c r="I282" s="14">
        <f t="shared" ref="I282:I283" si="14">SUM(E282:H282)</f>
        <v>1822466.9697300005</v>
      </c>
      <c r="J282" s="860"/>
      <c r="K282" s="11"/>
      <c r="M282" s="15"/>
    </row>
    <row r="283" spans="1:13" outlineLevel="2">
      <c r="A283" s="11">
        <f t="shared" si="13"/>
        <v>279</v>
      </c>
      <c r="B283" s="11" t="s">
        <v>552</v>
      </c>
      <c r="C283" s="17" t="s">
        <v>1421</v>
      </c>
      <c r="D283" s="12" t="s">
        <v>557</v>
      </c>
      <c r="E283" s="13">
        <v>12430495.15</v>
      </c>
      <c r="F283" s="13">
        <v>0</v>
      </c>
      <c r="G283" s="13">
        <v>0</v>
      </c>
      <c r="H283" s="13">
        <f>'WS13-SSCDFac'!H7</f>
        <v>-3854499.916824</v>
      </c>
      <c r="I283" s="14">
        <f t="shared" si="14"/>
        <v>8575995.2331760004</v>
      </c>
      <c r="J283" s="860"/>
      <c r="K283" s="11"/>
      <c r="M283" s="15"/>
    </row>
    <row r="284" spans="1:13" s="6" customFormat="1" ht="13.5" outlineLevel="1" thickBot="1">
      <c r="A284" s="11">
        <f t="shared" si="13"/>
        <v>280</v>
      </c>
      <c r="B284" s="19" t="s">
        <v>558</v>
      </c>
      <c r="C284" s="20"/>
      <c r="D284" s="21" t="s">
        <v>559</v>
      </c>
      <c r="E284" s="22">
        <f>SUBTOTAL(9,E281:E283)</f>
        <v>20979152.899999999</v>
      </c>
      <c r="F284" s="22">
        <f>SUBTOTAL(9,F281:F283)</f>
        <v>0</v>
      </c>
      <c r="G284" s="22">
        <f>SUBTOTAL(9,G281:G283)</f>
        <v>0</v>
      </c>
      <c r="H284" s="22">
        <f>SUBTOTAL(9,H281:H283)</f>
        <v>-6076147.1145939985</v>
      </c>
      <c r="I284" s="23">
        <f>SUBTOTAL(9,I281:I283)</f>
        <v>14903005.785406003</v>
      </c>
      <c r="J284" s="27"/>
      <c r="K284" s="3"/>
      <c r="L284" s="3"/>
      <c r="M284" s="8"/>
    </row>
    <row r="285" spans="1:13" ht="13.5" outlineLevel="2" thickTop="1">
      <c r="A285" s="11">
        <f t="shared" si="13"/>
        <v>281</v>
      </c>
      <c r="B285" s="11" t="s">
        <v>560</v>
      </c>
      <c r="C285" s="17" t="s">
        <v>561</v>
      </c>
      <c r="D285" s="12" t="s">
        <v>562</v>
      </c>
      <c r="E285" s="13">
        <v>69740.75</v>
      </c>
      <c r="F285" s="13">
        <v>0</v>
      </c>
      <c r="G285" s="13">
        <v>0</v>
      </c>
      <c r="I285" s="14">
        <f t="shared" ref="I285:I298" si="15">SUM(E285:G285)</f>
        <v>69740.75</v>
      </c>
      <c r="K285" s="11"/>
      <c r="M285" s="15"/>
    </row>
    <row r="286" spans="1:13" outlineLevel="2">
      <c r="A286" s="11">
        <f t="shared" si="13"/>
        <v>282</v>
      </c>
      <c r="B286" s="11" t="s">
        <v>560</v>
      </c>
      <c r="C286" s="17" t="s">
        <v>563</v>
      </c>
      <c r="D286" s="12" t="s">
        <v>564</v>
      </c>
      <c r="E286" s="13">
        <v>213000</v>
      </c>
      <c r="F286" s="13">
        <v>0</v>
      </c>
      <c r="G286" s="13">
        <v>0</v>
      </c>
      <c r="I286" s="14">
        <f t="shared" si="15"/>
        <v>213000</v>
      </c>
      <c r="K286" s="11"/>
      <c r="M286" s="15"/>
    </row>
    <row r="287" spans="1:13" outlineLevel="2">
      <c r="A287" s="11">
        <f t="shared" si="13"/>
        <v>283</v>
      </c>
      <c r="B287" s="11" t="s">
        <v>560</v>
      </c>
      <c r="C287" s="17" t="s">
        <v>565</v>
      </c>
      <c r="D287" s="12" t="s">
        <v>566</v>
      </c>
      <c r="E287" s="13">
        <v>218492.84</v>
      </c>
      <c r="F287" s="13">
        <v>0</v>
      </c>
      <c r="G287" s="13">
        <v>0</v>
      </c>
      <c r="I287" s="14">
        <f t="shared" si="15"/>
        <v>218492.84</v>
      </c>
      <c r="K287" s="11"/>
      <c r="M287" s="15"/>
    </row>
    <row r="288" spans="1:13" outlineLevel="2">
      <c r="A288" s="11">
        <f t="shared" si="13"/>
        <v>284</v>
      </c>
      <c r="B288" s="11" t="s">
        <v>560</v>
      </c>
      <c r="C288" s="17" t="s">
        <v>567</v>
      </c>
      <c r="D288" s="12" t="s">
        <v>568</v>
      </c>
      <c r="E288" s="13">
        <v>813859.77</v>
      </c>
      <c r="F288" s="13">
        <v>0</v>
      </c>
      <c r="G288" s="13">
        <v>0</v>
      </c>
      <c r="I288" s="14">
        <f t="shared" si="15"/>
        <v>813859.77</v>
      </c>
      <c r="K288" s="11"/>
      <c r="M288" s="15"/>
    </row>
    <row r="289" spans="1:13" outlineLevel="2">
      <c r="A289" s="11">
        <f t="shared" si="13"/>
        <v>285</v>
      </c>
      <c r="B289" s="11" t="s">
        <v>560</v>
      </c>
      <c r="C289" s="17" t="s">
        <v>569</v>
      </c>
      <c r="D289" s="12" t="s">
        <v>570</v>
      </c>
      <c r="E289" s="13">
        <f>519632.09+6569.16</f>
        <v>526201.25</v>
      </c>
      <c r="F289" s="13">
        <v>0</v>
      </c>
      <c r="G289" s="13">
        <v>0</v>
      </c>
      <c r="I289" s="14">
        <f t="shared" si="15"/>
        <v>526201.25</v>
      </c>
      <c r="K289" s="11"/>
      <c r="M289" s="15"/>
    </row>
    <row r="290" spans="1:13" outlineLevel="2">
      <c r="A290" s="11">
        <f t="shared" si="13"/>
        <v>286</v>
      </c>
      <c r="B290" s="11" t="s">
        <v>560</v>
      </c>
      <c r="C290" s="17" t="s">
        <v>571</v>
      </c>
      <c r="D290" s="12" t="s">
        <v>572</v>
      </c>
      <c r="E290" s="13">
        <v>170278</v>
      </c>
      <c r="F290" s="13">
        <v>0</v>
      </c>
      <c r="G290" s="13">
        <v>0</v>
      </c>
      <c r="I290" s="14">
        <f t="shared" si="15"/>
        <v>170278</v>
      </c>
      <c r="K290" s="11"/>
      <c r="M290" s="15"/>
    </row>
    <row r="291" spans="1:13" outlineLevel="2">
      <c r="A291" s="11">
        <f t="shared" si="13"/>
        <v>287</v>
      </c>
      <c r="B291" s="11" t="s">
        <v>560</v>
      </c>
      <c r="C291" s="17" t="s">
        <v>573</v>
      </c>
      <c r="D291" s="12" t="s">
        <v>574</v>
      </c>
      <c r="E291" s="13">
        <v>35070.980000000003</v>
      </c>
      <c r="F291" s="13">
        <v>0</v>
      </c>
      <c r="G291" s="13">
        <v>0</v>
      </c>
      <c r="I291" s="14">
        <f t="shared" si="15"/>
        <v>35070.980000000003</v>
      </c>
      <c r="K291" s="11"/>
      <c r="M291" s="15"/>
    </row>
    <row r="292" spans="1:13" outlineLevel="2">
      <c r="A292" s="11">
        <f t="shared" si="13"/>
        <v>288</v>
      </c>
      <c r="B292" s="11" t="s">
        <v>560</v>
      </c>
      <c r="C292" s="17" t="s">
        <v>575</v>
      </c>
      <c r="D292" s="12" t="s">
        <v>576</v>
      </c>
      <c r="E292" s="13">
        <v>163694.91</v>
      </c>
      <c r="F292" s="13">
        <v>0</v>
      </c>
      <c r="G292" s="13">
        <v>0</v>
      </c>
      <c r="I292" s="14">
        <f t="shared" si="15"/>
        <v>163694.91</v>
      </c>
      <c r="K292" s="11"/>
      <c r="M292" s="15"/>
    </row>
    <row r="293" spans="1:13" outlineLevel="2">
      <c r="A293" s="11">
        <f t="shared" si="13"/>
        <v>289</v>
      </c>
      <c r="B293" s="11" t="s">
        <v>560</v>
      </c>
      <c r="C293" s="17" t="s">
        <v>577</v>
      </c>
      <c r="D293" s="12" t="s">
        <v>578</v>
      </c>
      <c r="E293" s="13">
        <v>19074.86</v>
      </c>
      <c r="F293" s="13">
        <v>0</v>
      </c>
      <c r="G293" s="13">
        <v>0</v>
      </c>
      <c r="I293" s="14">
        <f t="shared" si="15"/>
        <v>19074.86</v>
      </c>
      <c r="K293" s="11"/>
      <c r="M293" s="15"/>
    </row>
    <row r="294" spans="1:13" outlineLevel="2">
      <c r="A294" s="11">
        <f t="shared" si="13"/>
        <v>290</v>
      </c>
      <c r="B294" s="11" t="s">
        <v>560</v>
      </c>
      <c r="C294" s="17" t="s">
        <v>579</v>
      </c>
      <c r="D294" s="12" t="s">
        <v>580</v>
      </c>
      <c r="E294" s="13">
        <v>127143.62</v>
      </c>
      <c r="F294" s="13">
        <v>0</v>
      </c>
      <c r="G294" s="13">
        <v>0</v>
      </c>
      <c r="I294" s="14">
        <f t="shared" si="15"/>
        <v>127143.62</v>
      </c>
      <c r="K294" s="11"/>
      <c r="M294" s="15"/>
    </row>
    <row r="295" spans="1:13" outlineLevel="2">
      <c r="A295" s="11">
        <f t="shared" si="13"/>
        <v>291</v>
      </c>
      <c r="B295" s="11" t="s">
        <v>560</v>
      </c>
      <c r="C295" s="17" t="s">
        <v>581</v>
      </c>
      <c r="D295" s="12" t="s">
        <v>582</v>
      </c>
      <c r="E295" s="13">
        <v>404166.08</v>
      </c>
      <c r="F295" s="13">
        <v>0</v>
      </c>
      <c r="G295" s="13">
        <v>0</v>
      </c>
      <c r="I295" s="14">
        <f t="shared" si="15"/>
        <v>404166.08</v>
      </c>
      <c r="K295" s="11"/>
      <c r="M295" s="15"/>
    </row>
    <row r="296" spans="1:13" outlineLevel="2">
      <c r="A296" s="11">
        <f t="shared" si="13"/>
        <v>292</v>
      </c>
      <c r="B296" s="11" t="s">
        <v>560</v>
      </c>
      <c r="C296" s="17" t="s">
        <v>583</v>
      </c>
      <c r="D296" s="12" t="s">
        <v>584</v>
      </c>
      <c r="E296" s="13">
        <v>192498.02</v>
      </c>
      <c r="F296" s="13">
        <v>-192498</v>
      </c>
      <c r="G296" s="13">
        <v>0</v>
      </c>
      <c r="I296" s="14">
        <f t="shared" si="15"/>
        <v>1.9999999989522621E-2</v>
      </c>
      <c r="K296" s="11"/>
      <c r="M296" s="15"/>
    </row>
    <row r="297" spans="1:13" outlineLevel="2">
      <c r="A297" s="11">
        <f t="shared" si="13"/>
        <v>293</v>
      </c>
      <c r="B297" s="11" t="s">
        <v>560</v>
      </c>
      <c r="C297" s="17" t="s">
        <v>585</v>
      </c>
      <c r="D297" s="12" t="s">
        <v>586</v>
      </c>
      <c r="E297" s="13">
        <v>71118</v>
      </c>
      <c r="F297" s="13">
        <v>0</v>
      </c>
      <c r="G297" s="13">
        <v>0</v>
      </c>
      <c r="I297" s="14">
        <f t="shared" si="15"/>
        <v>71118</v>
      </c>
      <c r="K297" s="11"/>
      <c r="M297" s="15"/>
    </row>
    <row r="298" spans="1:13" outlineLevel="2">
      <c r="A298" s="11">
        <f t="shared" si="13"/>
        <v>294</v>
      </c>
      <c r="B298" s="11" t="s">
        <v>560</v>
      </c>
      <c r="C298" s="17" t="s">
        <v>587</v>
      </c>
      <c r="D298" s="12" t="s">
        <v>588</v>
      </c>
      <c r="E298" s="13">
        <v>179327.81</v>
      </c>
      <c r="F298" s="13">
        <v>0</v>
      </c>
      <c r="G298" s="13">
        <v>0</v>
      </c>
      <c r="I298" s="14">
        <f t="shared" si="15"/>
        <v>179327.81</v>
      </c>
      <c r="K298" s="11"/>
      <c r="M298" s="15"/>
    </row>
    <row r="299" spans="1:13" s="6" customFormat="1" ht="13.5" outlineLevel="1" thickBot="1">
      <c r="A299" s="11">
        <f t="shared" si="13"/>
        <v>295</v>
      </c>
      <c r="B299" s="19" t="s">
        <v>589</v>
      </c>
      <c r="C299" s="20"/>
      <c r="D299" s="21" t="s">
        <v>590</v>
      </c>
      <c r="E299" s="22">
        <f>SUBTOTAL(9,E285:E298)</f>
        <v>3203666.89</v>
      </c>
      <c r="F299" s="22">
        <f>SUBTOTAL(9,F285:F298)</f>
        <v>-192498</v>
      </c>
      <c r="G299" s="22">
        <f>SUBTOTAL(9,G285:G298)</f>
        <v>0</v>
      </c>
      <c r="H299" s="22"/>
      <c r="I299" s="23">
        <f>SUBTOTAL(9,I285:I298)</f>
        <v>3011168.89</v>
      </c>
      <c r="J299" s="24"/>
      <c r="K299" s="3"/>
      <c r="L299" s="3"/>
      <c r="M299" s="8"/>
    </row>
    <row r="300" spans="1:13" ht="13.5" outlineLevel="2" thickTop="1">
      <c r="A300" s="11">
        <f t="shared" si="13"/>
        <v>296</v>
      </c>
      <c r="B300" s="11" t="s">
        <v>591</v>
      </c>
      <c r="C300" s="17" t="s">
        <v>592</v>
      </c>
      <c r="D300" s="12" t="s">
        <v>593</v>
      </c>
      <c r="E300" s="13">
        <v>81944</v>
      </c>
      <c r="F300" s="13">
        <v>0</v>
      </c>
      <c r="G300" s="13">
        <v>-81944</v>
      </c>
      <c r="I300" s="14">
        <f>SUM(E300:G300)</f>
        <v>0</v>
      </c>
      <c r="J300" s="12"/>
      <c r="K300" s="11"/>
      <c r="M300" s="15"/>
    </row>
    <row r="301" spans="1:13" outlineLevel="2">
      <c r="A301" s="11">
        <f t="shared" si="13"/>
        <v>297</v>
      </c>
      <c r="B301" s="11" t="s">
        <v>591</v>
      </c>
      <c r="C301" s="17" t="s">
        <v>594</v>
      </c>
      <c r="D301" s="12" t="s">
        <v>595</v>
      </c>
      <c r="E301" s="13">
        <v>64611.39</v>
      </c>
      <c r="F301" s="13">
        <v>0</v>
      </c>
      <c r="G301" s="13">
        <v>-64611</v>
      </c>
      <c r="I301" s="14">
        <f>SUM(E301:G301)</f>
        <v>0.38999999999941792</v>
      </c>
      <c r="K301" s="11"/>
      <c r="M301" s="15"/>
    </row>
    <row r="302" spans="1:13" outlineLevel="2">
      <c r="A302" s="11">
        <f t="shared" si="13"/>
        <v>298</v>
      </c>
      <c r="B302" s="11" t="s">
        <v>591</v>
      </c>
      <c r="C302" s="17" t="s">
        <v>596</v>
      </c>
      <c r="D302" s="12" t="s">
        <v>597</v>
      </c>
      <c r="E302" s="13">
        <v>922163.82</v>
      </c>
      <c r="F302" s="13">
        <v>0</v>
      </c>
      <c r="G302" s="13">
        <v>0</v>
      </c>
      <c r="I302" s="14">
        <f>SUM(E302:G302)</f>
        <v>922163.82</v>
      </c>
      <c r="K302" s="11"/>
      <c r="M302" s="15"/>
    </row>
    <row r="303" spans="1:13" outlineLevel="2">
      <c r="A303" s="11">
        <f t="shared" si="13"/>
        <v>299</v>
      </c>
      <c r="B303" s="11" t="s">
        <v>591</v>
      </c>
      <c r="C303" s="17" t="s">
        <v>598</v>
      </c>
      <c r="D303" s="12" t="s">
        <v>599</v>
      </c>
      <c r="E303" s="13">
        <v>690735.13</v>
      </c>
      <c r="F303" s="13">
        <v>0</v>
      </c>
      <c r="G303" s="13">
        <v>0</v>
      </c>
      <c r="I303" s="14">
        <f>SUM(E303:G303)</f>
        <v>690735.13</v>
      </c>
      <c r="K303" s="11"/>
      <c r="M303" s="15"/>
    </row>
    <row r="304" spans="1:13" s="6" customFormat="1" ht="13.5" outlineLevel="1" thickBot="1">
      <c r="A304" s="11">
        <f t="shared" si="13"/>
        <v>300</v>
      </c>
      <c r="B304" s="19" t="s">
        <v>600</v>
      </c>
      <c r="C304" s="20"/>
      <c r="D304" s="21" t="s">
        <v>601</v>
      </c>
      <c r="E304" s="22">
        <f>SUBTOTAL(9,E300:E303)</f>
        <v>1759454.3399999999</v>
      </c>
      <c r="F304" s="22">
        <f>SUBTOTAL(9,F300:F303)</f>
        <v>0</v>
      </c>
      <c r="G304" s="22">
        <f>SUBTOTAL(9,G300:G303)</f>
        <v>-146555</v>
      </c>
      <c r="H304" s="22"/>
      <c r="I304" s="23">
        <f>SUBTOTAL(9,I300:I303)</f>
        <v>1612899.3399999999</v>
      </c>
      <c r="J304" s="24"/>
      <c r="K304" s="3"/>
      <c r="L304" s="3"/>
      <c r="M304" s="8"/>
    </row>
    <row r="305" spans="1:13" ht="13.5" outlineLevel="2" thickTop="1">
      <c r="A305" s="11">
        <f t="shared" si="13"/>
        <v>301</v>
      </c>
      <c r="B305" s="11" t="s">
        <v>602</v>
      </c>
      <c r="C305" s="17" t="s">
        <v>603</v>
      </c>
      <c r="D305" s="12" t="s">
        <v>604</v>
      </c>
      <c r="E305" s="13">
        <v>17199.41</v>
      </c>
      <c r="F305" s="13">
        <v>0</v>
      </c>
      <c r="G305" s="13">
        <f>-(E305*$J$308)</f>
        <v>-5452.2129699999996</v>
      </c>
      <c r="I305" s="14">
        <f t="shared" ref="I305:I372" si="16">SUM(E305:G305)</f>
        <v>11747.197029999999</v>
      </c>
      <c r="J305" s="859" t="s">
        <v>2306</v>
      </c>
      <c r="K305" s="11"/>
    </row>
    <row r="306" spans="1:13" outlineLevel="2">
      <c r="A306" s="11">
        <f t="shared" si="13"/>
        <v>302</v>
      </c>
      <c r="B306" s="11" t="s">
        <v>602</v>
      </c>
      <c r="C306" s="17" t="s">
        <v>605</v>
      </c>
      <c r="D306" s="12" t="s">
        <v>606</v>
      </c>
      <c r="E306" s="13">
        <v>246174.69</v>
      </c>
      <c r="F306" s="13">
        <v>0</v>
      </c>
      <c r="G306" s="13">
        <f t="shared" ref="G306:G374" si="17">-(E306*$J$308)</f>
        <v>-78037.376730000004</v>
      </c>
      <c r="I306" s="14">
        <f t="shared" si="16"/>
        <v>168137.31326999998</v>
      </c>
      <c r="J306" s="860"/>
      <c r="K306" s="11"/>
    </row>
    <row r="307" spans="1:13" outlineLevel="2">
      <c r="A307" s="11">
        <f t="shared" si="13"/>
        <v>303</v>
      </c>
      <c r="B307" s="11" t="s">
        <v>602</v>
      </c>
      <c r="C307" s="17" t="s">
        <v>607</v>
      </c>
      <c r="D307" s="12" t="s">
        <v>608</v>
      </c>
      <c r="E307" s="13">
        <v>421019.06</v>
      </c>
      <c r="F307" s="13">
        <v>0</v>
      </c>
      <c r="G307" s="13">
        <f t="shared" si="17"/>
        <v>-133463.04201999999</v>
      </c>
      <c r="I307" s="14">
        <f t="shared" si="16"/>
        <v>287556.01798</v>
      </c>
      <c r="J307" s="860"/>
      <c r="K307" s="11"/>
    </row>
    <row r="308" spans="1:13" outlineLevel="2">
      <c r="A308" s="11">
        <f t="shared" si="13"/>
        <v>304</v>
      </c>
      <c r="B308" s="11" t="s">
        <v>602</v>
      </c>
      <c r="C308" s="17" t="s">
        <v>609</v>
      </c>
      <c r="D308" s="12" t="s">
        <v>610</v>
      </c>
      <c r="E308" s="13">
        <v>99834.58</v>
      </c>
      <c r="F308" s="13">
        <v>0</v>
      </c>
      <c r="G308" s="13">
        <f t="shared" si="17"/>
        <v>-31647.561860000002</v>
      </c>
      <c r="I308" s="14">
        <f t="shared" si="16"/>
        <v>68187.01814</v>
      </c>
      <c r="J308" s="28">
        <v>0.317</v>
      </c>
      <c r="K308" s="11"/>
      <c r="M308" s="15"/>
    </row>
    <row r="309" spans="1:13" outlineLevel="2">
      <c r="A309" s="11">
        <f t="shared" si="13"/>
        <v>305</v>
      </c>
      <c r="B309" s="11" t="s">
        <v>602</v>
      </c>
      <c r="C309" s="17" t="s">
        <v>611</v>
      </c>
      <c r="D309" s="12" t="s">
        <v>612</v>
      </c>
      <c r="E309" s="13">
        <v>324151.14</v>
      </c>
      <c r="F309" s="13">
        <v>0</v>
      </c>
      <c r="G309" s="13">
        <f t="shared" si="17"/>
        <v>-102755.91138000001</v>
      </c>
      <c r="I309" s="14">
        <f t="shared" si="16"/>
        <v>221395.22862000001</v>
      </c>
      <c r="K309" s="11"/>
      <c r="M309" s="15"/>
    </row>
    <row r="310" spans="1:13" outlineLevel="2">
      <c r="A310" s="11">
        <f t="shared" si="13"/>
        <v>306</v>
      </c>
      <c r="B310" s="11" t="s">
        <v>602</v>
      </c>
      <c r="C310" s="17" t="s">
        <v>613</v>
      </c>
      <c r="D310" s="12" t="s">
        <v>614</v>
      </c>
      <c r="E310" s="13">
        <v>255497.96</v>
      </c>
      <c r="F310" s="13">
        <v>0</v>
      </c>
      <c r="G310" s="13">
        <f t="shared" si="17"/>
        <v>-80992.853319999995</v>
      </c>
      <c r="I310" s="14">
        <f t="shared" si="16"/>
        <v>174505.10668</v>
      </c>
      <c r="K310" s="11"/>
      <c r="M310" s="15"/>
    </row>
    <row r="311" spans="1:13" outlineLevel="2">
      <c r="A311" s="11">
        <f t="shared" si="13"/>
        <v>307</v>
      </c>
      <c r="B311" s="11" t="s">
        <v>602</v>
      </c>
      <c r="C311" s="17" t="s">
        <v>615</v>
      </c>
      <c r="D311" s="12" t="s">
        <v>616</v>
      </c>
      <c r="E311" s="13">
        <v>196601.21</v>
      </c>
      <c r="F311" s="13">
        <v>0</v>
      </c>
      <c r="G311" s="13">
        <f t="shared" si="17"/>
        <v>-62322.583569999995</v>
      </c>
      <c r="I311" s="14">
        <f t="shared" si="16"/>
        <v>134278.62643</v>
      </c>
      <c r="K311" s="11"/>
      <c r="M311" s="15"/>
    </row>
    <row r="312" spans="1:13" outlineLevel="2">
      <c r="A312" s="11">
        <f t="shared" si="13"/>
        <v>308</v>
      </c>
      <c r="B312" s="11" t="s">
        <v>602</v>
      </c>
      <c r="C312" s="17" t="s">
        <v>617</v>
      </c>
      <c r="D312" s="12" t="s">
        <v>618</v>
      </c>
      <c r="E312" s="13">
        <v>10678.65</v>
      </c>
      <c r="F312" s="13">
        <v>0</v>
      </c>
      <c r="G312" s="13">
        <f t="shared" si="17"/>
        <v>-3385.1320499999997</v>
      </c>
      <c r="I312" s="14">
        <f t="shared" si="16"/>
        <v>7293.5179499999995</v>
      </c>
      <c r="K312" s="11"/>
      <c r="M312" s="15"/>
    </row>
    <row r="313" spans="1:13" outlineLevel="2">
      <c r="A313" s="11">
        <f t="shared" si="13"/>
        <v>309</v>
      </c>
      <c r="B313" s="11" t="s">
        <v>602</v>
      </c>
      <c r="C313" s="17" t="s">
        <v>619</v>
      </c>
      <c r="D313" s="12" t="s">
        <v>620</v>
      </c>
      <c r="E313" s="13">
        <v>113361.84</v>
      </c>
      <c r="F313" s="13">
        <v>0</v>
      </c>
      <c r="G313" s="13">
        <f t="shared" si="17"/>
        <v>-35935.703280000002</v>
      </c>
      <c r="I313" s="14">
        <f t="shared" si="16"/>
        <v>77426.136719999995</v>
      </c>
      <c r="K313" s="11"/>
      <c r="M313" s="15"/>
    </row>
    <row r="314" spans="1:13" outlineLevel="2">
      <c r="A314" s="11">
        <f t="shared" si="13"/>
        <v>310</v>
      </c>
      <c r="B314" s="11" t="s">
        <v>602</v>
      </c>
      <c r="C314" s="17" t="s">
        <v>621</v>
      </c>
      <c r="D314" s="12" t="s">
        <v>622</v>
      </c>
      <c r="E314" s="13">
        <v>568561.56000000006</v>
      </c>
      <c r="F314" s="13">
        <v>0</v>
      </c>
      <c r="G314" s="13">
        <f t="shared" si="17"/>
        <v>-180234.01452000003</v>
      </c>
      <c r="I314" s="14">
        <f t="shared" si="16"/>
        <v>388327.54548000003</v>
      </c>
      <c r="K314" s="11"/>
      <c r="M314" s="15"/>
    </row>
    <row r="315" spans="1:13" outlineLevel="2">
      <c r="A315" s="11">
        <f t="shared" si="13"/>
        <v>311</v>
      </c>
      <c r="B315" s="11" t="s">
        <v>602</v>
      </c>
      <c r="C315" s="17" t="s">
        <v>2336</v>
      </c>
      <c r="D315" s="12" t="s">
        <v>2337</v>
      </c>
      <c r="E315" s="13">
        <v>158945.60000000001</v>
      </c>
      <c r="G315" s="13">
        <v>-136495</v>
      </c>
      <c r="I315" s="14">
        <f t="shared" si="16"/>
        <v>22450.600000000006</v>
      </c>
      <c r="K315" s="11"/>
      <c r="M315" s="15"/>
    </row>
    <row r="316" spans="1:13" outlineLevel="2">
      <c r="A316" s="11">
        <f t="shared" si="13"/>
        <v>312</v>
      </c>
      <c r="B316" s="11" t="s">
        <v>602</v>
      </c>
      <c r="C316" s="17" t="s">
        <v>623</v>
      </c>
      <c r="D316" s="12" t="s">
        <v>624</v>
      </c>
      <c r="E316" s="13">
        <f>248434.53+148239.05</f>
        <v>396673.57999999996</v>
      </c>
      <c r="F316" s="13">
        <v>0</v>
      </c>
      <c r="G316" s="13">
        <f t="shared" si="17"/>
        <v>-125745.52485999999</v>
      </c>
      <c r="I316" s="14">
        <f t="shared" si="16"/>
        <v>270928.05513999995</v>
      </c>
      <c r="K316" s="11"/>
      <c r="M316" s="15"/>
    </row>
    <row r="317" spans="1:13" outlineLevel="2">
      <c r="A317" s="11">
        <f t="shared" si="13"/>
        <v>313</v>
      </c>
      <c r="B317" s="11" t="s">
        <v>602</v>
      </c>
      <c r="C317" s="17" t="s">
        <v>625</v>
      </c>
      <c r="D317" s="12" t="s">
        <v>626</v>
      </c>
      <c r="E317" s="13">
        <v>227955.26</v>
      </c>
      <c r="F317" s="13">
        <v>0</v>
      </c>
      <c r="G317" s="13">
        <f t="shared" si="17"/>
        <v>-72261.817420000007</v>
      </c>
      <c r="I317" s="14">
        <f t="shared" si="16"/>
        <v>155693.44258</v>
      </c>
      <c r="K317" s="11"/>
      <c r="M317" s="15"/>
    </row>
    <row r="318" spans="1:13" outlineLevel="2">
      <c r="A318" s="11">
        <f t="shared" si="13"/>
        <v>314</v>
      </c>
      <c r="B318" s="11" t="s">
        <v>602</v>
      </c>
      <c r="C318" s="17" t="s">
        <v>627</v>
      </c>
      <c r="D318" s="12" t="s">
        <v>628</v>
      </c>
      <c r="E318" s="13">
        <v>149227.87</v>
      </c>
      <c r="F318" s="13">
        <v>0</v>
      </c>
      <c r="G318" s="13">
        <f t="shared" si="17"/>
        <v>-47305.234790000002</v>
      </c>
      <c r="I318" s="14">
        <f t="shared" si="16"/>
        <v>101922.63520999999</v>
      </c>
      <c r="K318" s="11"/>
      <c r="M318" s="15"/>
    </row>
    <row r="319" spans="1:13" outlineLevel="2">
      <c r="A319" s="11">
        <f t="shared" si="13"/>
        <v>315</v>
      </c>
      <c r="B319" s="11" t="s">
        <v>602</v>
      </c>
      <c r="C319" s="17" t="s">
        <v>629</v>
      </c>
      <c r="D319" s="12" t="s">
        <v>630</v>
      </c>
      <c r="E319" s="13">
        <v>147129.10999999999</v>
      </c>
      <c r="F319" s="13">
        <v>0</v>
      </c>
      <c r="G319" s="13">
        <f t="shared" si="17"/>
        <v>-46639.92787</v>
      </c>
      <c r="I319" s="14">
        <f t="shared" si="16"/>
        <v>100489.18212999999</v>
      </c>
      <c r="K319" s="11"/>
      <c r="M319" s="15"/>
    </row>
    <row r="320" spans="1:13" outlineLevel="2">
      <c r="A320" s="11">
        <f t="shared" si="13"/>
        <v>316</v>
      </c>
      <c r="B320" s="11" t="s">
        <v>602</v>
      </c>
      <c r="C320" s="17" t="s">
        <v>631</v>
      </c>
      <c r="D320" s="12" t="s">
        <v>632</v>
      </c>
      <c r="E320" s="13">
        <v>11441.22</v>
      </c>
      <c r="F320" s="13">
        <v>0</v>
      </c>
      <c r="G320" s="13">
        <f t="shared" si="17"/>
        <v>-3626.8667399999999</v>
      </c>
      <c r="I320" s="14">
        <f t="shared" si="16"/>
        <v>7814.3532599999999</v>
      </c>
      <c r="K320" s="11"/>
      <c r="M320" s="15"/>
    </row>
    <row r="321" spans="1:13" outlineLevel="2">
      <c r="A321" s="11">
        <f t="shared" si="13"/>
        <v>317</v>
      </c>
      <c r="B321" s="11" t="s">
        <v>602</v>
      </c>
      <c r="C321" s="17" t="s">
        <v>633</v>
      </c>
      <c r="D321" s="12" t="s">
        <v>634</v>
      </c>
      <c r="E321" s="13">
        <v>92595.35</v>
      </c>
      <c r="F321" s="13">
        <v>0</v>
      </c>
      <c r="G321" s="13">
        <f t="shared" si="17"/>
        <v>-29352.725950000004</v>
      </c>
      <c r="I321" s="14">
        <f t="shared" si="16"/>
        <v>63242.624049999999</v>
      </c>
      <c r="K321" s="11"/>
      <c r="M321" s="15"/>
    </row>
    <row r="322" spans="1:13" outlineLevel="2">
      <c r="A322" s="11">
        <f t="shared" si="13"/>
        <v>318</v>
      </c>
      <c r="B322" s="11" t="s">
        <v>602</v>
      </c>
      <c r="C322" s="17" t="s">
        <v>635</v>
      </c>
      <c r="D322" s="12" t="s">
        <v>636</v>
      </c>
      <c r="E322" s="13">
        <v>107342.37</v>
      </c>
      <c r="F322" s="13">
        <v>0</v>
      </c>
      <c r="G322" s="13">
        <f>-(E322*$J$308)</f>
        <v>-34027.531289999999</v>
      </c>
      <c r="I322" s="14">
        <f t="shared" si="16"/>
        <v>73314.838709999996</v>
      </c>
      <c r="K322" s="11"/>
      <c r="M322" s="15"/>
    </row>
    <row r="323" spans="1:13" outlineLevel="2">
      <c r="A323" s="11">
        <f t="shared" si="13"/>
        <v>319</v>
      </c>
      <c r="B323" s="11" t="s">
        <v>602</v>
      </c>
      <c r="C323" s="17" t="s">
        <v>637</v>
      </c>
      <c r="D323" s="12" t="s">
        <v>638</v>
      </c>
      <c r="E323" s="13">
        <v>194708.81</v>
      </c>
      <c r="F323" s="13">
        <v>0</v>
      </c>
      <c r="G323" s="13">
        <f t="shared" si="17"/>
        <v>-61722.692770000001</v>
      </c>
      <c r="I323" s="14">
        <f t="shared" si="16"/>
        <v>132986.11723</v>
      </c>
      <c r="K323" s="11"/>
      <c r="M323" s="15"/>
    </row>
    <row r="324" spans="1:13" outlineLevel="2">
      <c r="A324" s="11">
        <f t="shared" si="13"/>
        <v>320</v>
      </c>
      <c r="B324" s="11" t="s">
        <v>602</v>
      </c>
      <c r="C324" s="17" t="s">
        <v>639</v>
      </c>
      <c r="D324" s="12" t="s">
        <v>640</v>
      </c>
      <c r="E324" s="13">
        <v>693235.96</v>
      </c>
      <c r="F324" s="13">
        <v>0</v>
      </c>
      <c r="G324" s="13">
        <f t="shared" si="17"/>
        <v>-219755.79931999999</v>
      </c>
      <c r="I324" s="14">
        <f t="shared" si="16"/>
        <v>473480.16067999997</v>
      </c>
      <c r="K324" s="11"/>
      <c r="M324" s="15"/>
    </row>
    <row r="325" spans="1:13" ht="13.5" customHeight="1" outlineLevel="2">
      <c r="A325" s="11">
        <f t="shared" si="13"/>
        <v>321</v>
      </c>
      <c r="B325" s="11" t="s">
        <v>602</v>
      </c>
      <c r="C325" s="17" t="s">
        <v>641</v>
      </c>
      <c r="D325" s="12" t="s">
        <v>642</v>
      </c>
      <c r="E325" s="13">
        <v>15666.79</v>
      </c>
      <c r="F325" s="13">
        <v>0</v>
      </c>
      <c r="G325" s="13">
        <f t="shared" si="17"/>
        <v>-4966.3724300000003</v>
      </c>
      <c r="I325" s="14">
        <f t="shared" si="16"/>
        <v>10700.417570000001</v>
      </c>
      <c r="K325" s="11"/>
      <c r="M325" s="15"/>
    </row>
    <row r="326" spans="1:13" outlineLevel="2">
      <c r="A326" s="11">
        <f t="shared" si="13"/>
        <v>322</v>
      </c>
      <c r="B326" s="11" t="s">
        <v>602</v>
      </c>
      <c r="C326" s="17" t="s">
        <v>2317</v>
      </c>
      <c r="D326" s="12" t="s">
        <v>643</v>
      </c>
      <c r="E326" s="13">
        <v>284048.28000000003</v>
      </c>
      <c r="F326" s="13">
        <v>0</v>
      </c>
      <c r="G326" s="13">
        <f t="shared" si="17"/>
        <v>-90043.304760000014</v>
      </c>
      <c r="I326" s="14">
        <f t="shared" si="16"/>
        <v>194004.97524</v>
      </c>
      <c r="K326" s="11"/>
      <c r="M326" s="15"/>
    </row>
    <row r="327" spans="1:13" outlineLevel="2">
      <c r="A327" s="11">
        <f t="shared" si="13"/>
        <v>323</v>
      </c>
      <c r="B327" s="11" t="s">
        <v>602</v>
      </c>
      <c r="C327" s="17" t="s">
        <v>644</v>
      </c>
      <c r="D327" s="12" t="s">
        <v>645</v>
      </c>
      <c r="E327" s="13">
        <v>15293.08</v>
      </c>
      <c r="F327" s="13">
        <v>0</v>
      </c>
      <c r="G327" s="13">
        <f t="shared" si="17"/>
        <v>-4847.9063599999999</v>
      </c>
      <c r="I327" s="14">
        <f t="shared" si="16"/>
        <v>10445.173640000001</v>
      </c>
      <c r="K327" s="11"/>
      <c r="M327" s="15"/>
    </row>
    <row r="328" spans="1:13" outlineLevel="2">
      <c r="A328" s="11">
        <f t="shared" si="13"/>
        <v>324</v>
      </c>
      <c r="B328" s="11" t="s">
        <v>602</v>
      </c>
      <c r="C328" s="17" t="s">
        <v>646</v>
      </c>
      <c r="D328" s="12" t="s">
        <v>647</v>
      </c>
      <c r="E328" s="13">
        <v>735399.34</v>
      </c>
      <c r="F328" s="13">
        <v>0</v>
      </c>
      <c r="G328" s="13">
        <f t="shared" si="17"/>
        <v>-233121.59078</v>
      </c>
      <c r="I328" s="14">
        <f t="shared" si="16"/>
        <v>502277.74922</v>
      </c>
      <c r="K328" s="11"/>
      <c r="M328" s="15"/>
    </row>
    <row r="329" spans="1:13" outlineLevel="2">
      <c r="A329" s="11">
        <f t="shared" si="13"/>
        <v>325</v>
      </c>
      <c r="B329" s="11" t="s">
        <v>602</v>
      </c>
      <c r="C329" s="17" t="s">
        <v>648</v>
      </c>
      <c r="D329" s="12" t="s">
        <v>649</v>
      </c>
      <c r="E329" s="13">
        <v>66872.3</v>
      </c>
      <c r="F329" s="13">
        <v>0</v>
      </c>
      <c r="G329" s="13">
        <f t="shared" si="17"/>
        <v>-21198.519100000001</v>
      </c>
      <c r="I329" s="14">
        <f t="shared" si="16"/>
        <v>45673.780899999998</v>
      </c>
      <c r="K329" s="11"/>
      <c r="M329" s="15"/>
    </row>
    <row r="330" spans="1:13" outlineLevel="2">
      <c r="A330" s="11">
        <f t="shared" si="13"/>
        <v>326</v>
      </c>
      <c r="B330" s="11" t="s">
        <v>602</v>
      </c>
      <c r="C330" s="17" t="s">
        <v>650</v>
      </c>
      <c r="D330" s="12" t="s">
        <v>651</v>
      </c>
      <c r="E330" s="13">
        <v>105280.95</v>
      </c>
      <c r="F330" s="13">
        <v>0</v>
      </c>
      <c r="G330" s="13">
        <f t="shared" si="17"/>
        <v>-33374.061150000001</v>
      </c>
      <c r="I330" s="14">
        <f t="shared" si="16"/>
        <v>71906.888849999988</v>
      </c>
      <c r="K330" s="11"/>
      <c r="M330" s="15"/>
    </row>
    <row r="331" spans="1:13" outlineLevel="2">
      <c r="A331" s="11">
        <f t="shared" si="13"/>
        <v>327</v>
      </c>
      <c r="B331" s="11" t="s">
        <v>602</v>
      </c>
      <c r="C331" s="17" t="s">
        <v>652</v>
      </c>
      <c r="D331" s="12" t="s">
        <v>653</v>
      </c>
      <c r="E331" s="13">
        <v>293101.19</v>
      </c>
      <c r="F331" s="13">
        <v>0</v>
      </c>
      <c r="G331" s="13">
        <f t="shared" si="17"/>
        <v>-92913.077229999995</v>
      </c>
      <c r="I331" s="14">
        <f t="shared" si="16"/>
        <v>200188.11277000001</v>
      </c>
      <c r="K331" s="11"/>
      <c r="M331" s="15"/>
    </row>
    <row r="332" spans="1:13" outlineLevel="2">
      <c r="A332" s="11">
        <f t="shared" ref="A332:A399" si="18">A331+1</f>
        <v>328</v>
      </c>
      <c r="B332" s="11" t="s">
        <v>602</v>
      </c>
      <c r="C332" s="17" t="s">
        <v>654</v>
      </c>
      <c r="D332" s="12" t="s">
        <v>655</v>
      </c>
      <c r="E332" s="13">
        <v>1159069.74</v>
      </c>
      <c r="F332" s="13">
        <v>0</v>
      </c>
      <c r="G332" s="13">
        <f t="shared" si="17"/>
        <v>-367425.10758000001</v>
      </c>
      <c r="I332" s="14">
        <f t="shared" si="16"/>
        <v>791644.63241999992</v>
      </c>
      <c r="K332" s="11"/>
      <c r="M332" s="15"/>
    </row>
    <row r="333" spans="1:13" outlineLevel="2">
      <c r="A333" s="11">
        <f t="shared" si="18"/>
        <v>329</v>
      </c>
      <c r="B333" s="11" t="s">
        <v>602</v>
      </c>
      <c r="C333" s="17" t="s">
        <v>656</v>
      </c>
      <c r="D333" s="12" t="s">
        <v>657</v>
      </c>
      <c r="E333" s="13">
        <v>1399.06</v>
      </c>
      <c r="F333" s="13">
        <v>0</v>
      </c>
      <c r="G333" s="13">
        <f t="shared" si="17"/>
        <v>-443.50202000000002</v>
      </c>
      <c r="I333" s="14">
        <f t="shared" si="16"/>
        <v>955.55797999999993</v>
      </c>
      <c r="K333" s="11"/>
    </row>
    <row r="334" spans="1:13" outlineLevel="2">
      <c r="A334" s="11">
        <f t="shared" si="18"/>
        <v>330</v>
      </c>
      <c r="B334" s="11" t="s">
        <v>602</v>
      </c>
      <c r="C334" s="17" t="s">
        <v>658</v>
      </c>
      <c r="D334" s="12" t="s">
        <v>659</v>
      </c>
      <c r="E334" s="13">
        <v>11106.51</v>
      </c>
      <c r="F334" s="13">
        <v>0</v>
      </c>
      <c r="G334" s="13">
        <f t="shared" si="17"/>
        <v>-3520.7636700000003</v>
      </c>
      <c r="I334" s="14">
        <f t="shared" si="16"/>
        <v>7585.7463299999999</v>
      </c>
      <c r="K334" s="11"/>
      <c r="M334" s="15"/>
    </row>
    <row r="335" spans="1:13" outlineLevel="2">
      <c r="A335" s="11">
        <f t="shared" si="18"/>
        <v>331</v>
      </c>
      <c r="B335" s="11" t="s">
        <v>602</v>
      </c>
      <c r="C335" s="17" t="s">
        <v>660</v>
      </c>
      <c r="D335" s="12" t="s">
        <v>661</v>
      </c>
      <c r="E335" s="13">
        <v>251028.92</v>
      </c>
      <c r="F335" s="13">
        <v>0</v>
      </c>
      <c r="G335" s="13">
        <f>-(E335*$J$308)</f>
        <v>-79576.16764</v>
      </c>
      <c r="I335" s="14">
        <f t="shared" si="16"/>
        <v>171452.75236000001</v>
      </c>
      <c r="K335" s="11"/>
      <c r="M335" s="15"/>
    </row>
    <row r="336" spans="1:13" outlineLevel="2">
      <c r="A336" s="11">
        <f t="shared" si="18"/>
        <v>332</v>
      </c>
      <c r="B336" s="11" t="s">
        <v>602</v>
      </c>
      <c r="C336" s="17" t="s">
        <v>662</v>
      </c>
      <c r="D336" s="12" t="s">
        <v>663</v>
      </c>
      <c r="E336" s="13">
        <v>52564.95</v>
      </c>
      <c r="F336" s="13">
        <v>0</v>
      </c>
      <c r="G336" s="13">
        <f t="shared" si="17"/>
        <v>-16663.08915</v>
      </c>
      <c r="I336" s="14">
        <f t="shared" si="16"/>
        <v>35901.860849999997</v>
      </c>
      <c r="K336" s="11"/>
      <c r="M336" s="15"/>
    </row>
    <row r="337" spans="1:13" outlineLevel="2">
      <c r="A337" s="11">
        <f t="shared" si="18"/>
        <v>333</v>
      </c>
      <c r="B337" s="11" t="s">
        <v>602</v>
      </c>
      <c r="C337" s="17" t="s">
        <v>664</v>
      </c>
      <c r="D337" s="12" t="s">
        <v>665</v>
      </c>
      <c r="E337" s="13">
        <v>1926</v>
      </c>
      <c r="F337" s="13">
        <v>0</v>
      </c>
      <c r="G337" s="13">
        <f t="shared" si="17"/>
        <v>-610.54200000000003</v>
      </c>
      <c r="I337" s="14">
        <f t="shared" si="16"/>
        <v>1315.4580000000001</v>
      </c>
      <c r="K337" s="11"/>
      <c r="M337" s="15"/>
    </row>
    <row r="338" spans="1:13" outlineLevel="2">
      <c r="A338" s="11">
        <f t="shared" si="18"/>
        <v>334</v>
      </c>
      <c r="B338" s="11" t="s">
        <v>602</v>
      </c>
      <c r="C338" s="17" t="s">
        <v>666</v>
      </c>
      <c r="D338" s="12" t="s">
        <v>667</v>
      </c>
      <c r="E338" s="13">
        <v>80620.039999999994</v>
      </c>
      <c r="F338" s="13">
        <v>0</v>
      </c>
      <c r="G338" s="13">
        <f t="shared" si="17"/>
        <v>-25556.552679999997</v>
      </c>
      <c r="I338" s="14">
        <f t="shared" si="16"/>
        <v>55063.48732</v>
      </c>
      <c r="K338" s="11"/>
      <c r="M338" s="15"/>
    </row>
    <row r="339" spans="1:13" outlineLevel="2">
      <c r="A339" s="11">
        <f t="shared" si="18"/>
        <v>335</v>
      </c>
      <c r="B339" s="11" t="s">
        <v>602</v>
      </c>
      <c r="C339" s="17" t="s">
        <v>668</v>
      </c>
      <c r="D339" s="12" t="s">
        <v>669</v>
      </c>
      <c r="E339" s="13">
        <v>63659.87</v>
      </c>
      <c r="F339" s="13">
        <v>0</v>
      </c>
      <c r="G339" s="13">
        <f t="shared" si="17"/>
        <v>-20180.178790000002</v>
      </c>
      <c r="I339" s="14">
        <f t="shared" si="16"/>
        <v>43479.691210000005</v>
      </c>
      <c r="K339" s="11"/>
      <c r="M339" s="15"/>
    </row>
    <row r="340" spans="1:13" outlineLevel="2">
      <c r="A340" s="11">
        <f t="shared" si="18"/>
        <v>336</v>
      </c>
      <c r="B340" s="11" t="s">
        <v>602</v>
      </c>
      <c r="C340" s="17" t="s">
        <v>670</v>
      </c>
      <c r="D340" s="12" t="s">
        <v>671</v>
      </c>
      <c r="E340" s="13">
        <v>273047.09999999998</v>
      </c>
      <c r="F340" s="13">
        <v>0</v>
      </c>
      <c r="G340" s="13">
        <f t="shared" si="17"/>
        <v>-86555.930699999997</v>
      </c>
      <c r="I340" s="14">
        <f t="shared" si="16"/>
        <v>186491.16929999998</v>
      </c>
      <c r="K340" s="11"/>
      <c r="M340" s="15"/>
    </row>
    <row r="341" spans="1:13" outlineLevel="2">
      <c r="A341" s="11">
        <f t="shared" si="18"/>
        <v>337</v>
      </c>
      <c r="B341" s="11" t="s">
        <v>602</v>
      </c>
      <c r="C341" s="17" t="s">
        <v>672</v>
      </c>
      <c r="D341" s="12" t="s">
        <v>673</v>
      </c>
      <c r="E341" s="13">
        <v>518897.76</v>
      </c>
      <c r="F341" s="13">
        <v>0</v>
      </c>
      <c r="G341" s="13">
        <f t="shared" si="17"/>
        <v>-164490.58992</v>
      </c>
      <c r="I341" s="14">
        <f t="shared" si="16"/>
        <v>354407.17008000001</v>
      </c>
      <c r="K341" s="11"/>
      <c r="M341" s="15"/>
    </row>
    <row r="342" spans="1:13" outlineLevel="2">
      <c r="A342" s="11">
        <f t="shared" si="18"/>
        <v>338</v>
      </c>
      <c r="B342" s="11" t="s">
        <v>602</v>
      </c>
      <c r="C342" s="17" t="s">
        <v>674</v>
      </c>
      <c r="D342" s="12" t="s">
        <v>675</v>
      </c>
      <c r="E342" s="13">
        <v>882795.2</v>
      </c>
      <c r="F342" s="13">
        <v>0</v>
      </c>
      <c r="G342" s="13">
        <f t="shared" si="17"/>
        <v>-279846.0784</v>
      </c>
      <c r="I342" s="14">
        <f t="shared" si="16"/>
        <v>602949.12159999995</v>
      </c>
      <c r="K342" s="11"/>
      <c r="M342" s="15"/>
    </row>
    <row r="343" spans="1:13" outlineLevel="2">
      <c r="A343" s="11">
        <f t="shared" si="18"/>
        <v>339</v>
      </c>
      <c r="B343" s="11" t="s">
        <v>602</v>
      </c>
      <c r="C343" s="17" t="s">
        <v>676</v>
      </c>
      <c r="D343" s="12" t="s">
        <v>677</v>
      </c>
      <c r="E343" s="13">
        <v>399366.77</v>
      </c>
      <c r="F343" s="13">
        <v>0</v>
      </c>
      <c r="G343" s="13">
        <f t="shared" si="17"/>
        <v>-126599.26609</v>
      </c>
      <c r="I343" s="14">
        <f t="shared" si="16"/>
        <v>272767.50391000003</v>
      </c>
      <c r="K343" s="11"/>
      <c r="M343" s="15"/>
    </row>
    <row r="344" spans="1:13" outlineLevel="2">
      <c r="A344" s="11">
        <f t="shared" si="18"/>
        <v>340</v>
      </c>
      <c r="B344" s="11" t="s">
        <v>602</v>
      </c>
      <c r="C344" s="17" t="s">
        <v>678</v>
      </c>
      <c r="D344" s="12" t="s">
        <v>679</v>
      </c>
      <c r="E344" s="13">
        <v>79113.22</v>
      </c>
      <c r="F344" s="13">
        <v>0</v>
      </c>
      <c r="G344" s="13">
        <f t="shared" si="17"/>
        <v>-25078.890739999999</v>
      </c>
      <c r="I344" s="14">
        <f t="shared" si="16"/>
        <v>54034.329259999999</v>
      </c>
      <c r="K344" s="11"/>
      <c r="M344" s="15"/>
    </row>
    <row r="345" spans="1:13" outlineLevel="2">
      <c r="A345" s="11">
        <f t="shared" si="18"/>
        <v>341</v>
      </c>
      <c r="B345" s="11" t="s">
        <v>602</v>
      </c>
      <c r="C345" s="17" t="s">
        <v>680</v>
      </c>
      <c r="D345" s="12" t="s">
        <v>681</v>
      </c>
      <c r="E345" s="13">
        <v>1821.43</v>
      </c>
      <c r="F345" s="13">
        <v>0</v>
      </c>
      <c r="G345" s="13">
        <f t="shared" si="17"/>
        <v>-577.39331000000004</v>
      </c>
      <c r="I345" s="14">
        <f t="shared" si="16"/>
        <v>1244.0366899999999</v>
      </c>
      <c r="K345" s="11"/>
      <c r="M345" s="15"/>
    </row>
    <row r="346" spans="1:13" outlineLevel="2">
      <c r="A346" s="11">
        <f t="shared" si="18"/>
        <v>342</v>
      </c>
      <c r="B346" s="11" t="s">
        <v>602</v>
      </c>
      <c r="C346" s="17" t="s">
        <v>682</v>
      </c>
      <c r="D346" s="12" t="s">
        <v>683</v>
      </c>
      <c r="E346" s="13">
        <v>75189.87</v>
      </c>
      <c r="F346" s="13">
        <v>0</v>
      </c>
      <c r="G346" s="13">
        <f t="shared" si="17"/>
        <v>-23835.18879</v>
      </c>
      <c r="I346" s="14">
        <f t="shared" si="16"/>
        <v>51354.681209999995</v>
      </c>
      <c r="K346" s="11"/>
      <c r="M346" s="15"/>
    </row>
    <row r="347" spans="1:13" outlineLevel="2">
      <c r="A347" s="11">
        <f t="shared" si="18"/>
        <v>343</v>
      </c>
      <c r="B347" s="11" t="s">
        <v>602</v>
      </c>
      <c r="C347" s="17" t="s">
        <v>684</v>
      </c>
      <c r="D347" s="12" t="s">
        <v>685</v>
      </c>
      <c r="E347" s="13">
        <v>147040.89000000001</v>
      </c>
      <c r="F347" s="13">
        <v>0</v>
      </c>
      <c r="G347" s="13">
        <f t="shared" si="17"/>
        <v>-46611.962130000007</v>
      </c>
      <c r="I347" s="14">
        <f t="shared" si="16"/>
        <v>100428.92787000001</v>
      </c>
      <c r="K347" s="11"/>
      <c r="M347" s="15"/>
    </row>
    <row r="348" spans="1:13" outlineLevel="2">
      <c r="A348" s="11">
        <f t="shared" si="18"/>
        <v>344</v>
      </c>
      <c r="B348" s="11" t="s">
        <v>602</v>
      </c>
      <c r="C348" s="17" t="s">
        <v>686</v>
      </c>
      <c r="D348" s="12" t="s">
        <v>687</v>
      </c>
      <c r="E348" s="13">
        <v>231893.37</v>
      </c>
      <c r="F348" s="13">
        <v>0</v>
      </c>
      <c r="G348" s="13">
        <f>-(E348*$J$308)</f>
        <v>-73510.19829</v>
      </c>
      <c r="I348" s="14">
        <f t="shared" si="16"/>
        <v>158383.17171</v>
      </c>
      <c r="K348" s="11"/>
      <c r="M348" s="15"/>
    </row>
    <row r="349" spans="1:13" outlineLevel="2">
      <c r="A349" s="11">
        <f t="shared" si="18"/>
        <v>345</v>
      </c>
      <c r="B349" s="11" t="s">
        <v>602</v>
      </c>
      <c r="C349" s="17" t="s">
        <v>688</v>
      </c>
      <c r="D349" s="12" t="s">
        <v>689</v>
      </c>
      <c r="E349" s="13">
        <v>165480.70000000001</v>
      </c>
      <c r="F349" s="13">
        <v>0</v>
      </c>
      <c r="G349" s="13">
        <f t="shared" si="17"/>
        <v>-52457.381900000008</v>
      </c>
      <c r="I349" s="14">
        <f t="shared" si="16"/>
        <v>113023.3181</v>
      </c>
      <c r="K349" s="11"/>
      <c r="M349" s="15"/>
    </row>
    <row r="350" spans="1:13" outlineLevel="2">
      <c r="A350" s="11">
        <f t="shared" si="18"/>
        <v>346</v>
      </c>
      <c r="B350" s="11" t="s">
        <v>602</v>
      </c>
      <c r="C350" s="17" t="s">
        <v>690</v>
      </c>
      <c r="D350" s="12" t="s">
        <v>691</v>
      </c>
      <c r="E350" s="13">
        <v>962213.42</v>
      </c>
      <c r="F350" s="13">
        <v>0</v>
      </c>
      <c r="G350" s="13">
        <f t="shared" si="17"/>
        <v>-305021.65414</v>
      </c>
      <c r="I350" s="14">
        <f t="shared" si="16"/>
        <v>657191.76586000004</v>
      </c>
      <c r="K350" s="11"/>
      <c r="M350" s="15"/>
    </row>
    <row r="351" spans="1:13" outlineLevel="2">
      <c r="A351" s="11">
        <f t="shared" si="18"/>
        <v>347</v>
      </c>
      <c r="B351" s="11" t="s">
        <v>602</v>
      </c>
      <c r="C351" s="17" t="s">
        <v>692</v>
      </c>
      <c r="D351" s="12" t="s">
        <v>693</v>
      </c>
      <c r="E351" s="13">
        <v>204548</v>
      </c>
      <c r="F351" s="13">
        <v>0</v>
      </c>
      <c r="G351" s="13">
        <f t="shared" si="17"/>
        <v>-64841.716</v>
      </c>
      <c r="I351" s="14">
        <f t="shared" si="16"/>
        <v>139706.28399999999</v>
      </c>
      <c r="K351" s="11"/>
      <c r="M351" s="15"/>
    </row>
    <row r="352" spans="1:13" outlineLevel="2">
      <c r="A352" s="11">
        <f t="shared" si="18"/>
        <v>348</v>
      </c>
      <c r="B352" s="11" t="s">
        <v>602</v>
      </c>
      <c r="C352" s="17" t="s">
        <v>694</v>
      </c>
      <c r="D352" s="12" t="s">
        <v>695</v>
      </c>
      <c r="E352" s="13">
        <v>99569.22</v>
      </c>
      <c r="F352" s="13">
        <v>0</v>
      </c>
      <c r="G352" s="13">
        <f t="shared" si="17"/>
        <v>-31563.442740000002</v>
      </c>
      <c r="I352" s="14">
        <f t="shared" si="16"/>
        <v>68005.777260000003</v>
      </c>
      <c r="K352" s="11"/>
      <c r="M352" s="15"/>
    </row>
    <row r="353" spans="1:13" outlineLevel="2">
      <c r="A353" s="11">
        <f t="shared" si="18"/>
        <v>349</v>
      </c>
      <c r="B353" s="11" t="s">
        <v>602</v>
      </c>
      <c r="C353" s="17" t="s">
        <v>696</v>
      </c>
      <c r="D353" s="12" t="s">
        <v>697</v>
      </c>
      <c r="E353" s="13">
        <v>2527</v>
      </c>
      <c r="F353" s="13">
        <v>0</v>
      </c>
      <c r="G353" s="13">
        <f t="shared" si="17"/>
        <v>-801.05899999999997</v>
      </c>
      <c r="I353" s="14">
        <f t="shared" si="16"/>
        <v>1725.941</v>
      </c>
      <c r="K353" s="11"/>
      <c r="M353" s="15"/>
    </row>
    <row r="354" spans="1:13" outlineLevel="2">
      <c r="A354" s="11">
        <f t="shared" si="18"/>
        <v>350</v>
      </c>
      <c r="B354" s="11" t="s">
        <v>602</v>
      </c>
      <c r="C354" s="17" t="s">
        <v>698</v>
      </c>
      <c r="D354" s="12" t="s">
        <v>699</v>
      </c>
      <c r="E354" s="13">
        <v>76407.48</v>
      </c>
      <c r="F354" s="13">
        <v>0</v>
      </c>
      <c r="G354" s="13">
        <f t="shared" si="17"/>
        <v>-24221.171159999998</v>
      </c>
      <c r="I354" s="14">
        <f t="shared" si="16"/>
        <v>52186.308839999998</v>
      </c>
      <c r="K354" s="11"/>
      <c r="M354" s="15"/>
    </row>
    <row r="355" spans="1:13" outlineLevel="2">
      <c r="A355" s="11">
        <f t="shared" si="18"/>
        <v>351</v>
      </c>
      <c r="B355" s="11" t="s">
        <v>602</v>
      </c>
      <c r="C355" s="17" t="s">
        <v>700</v>
      </c>
      <c r="D355" s="12" t="s">
        <v>701</v>
      </c>
      <c r="E355" s="13">
        <v>206549.66</v>
      </c>
      <c r="F355" s="13">
        <v>0</v>
      </c>
      <c r="G355" s="13">
        <f t="shared" si="17"/>
        <v>-65476.24222</v>
      </c>
      <c r="I355" s="14">
        <f t="shared" si="16"/>
        <v>141073.41778000002</v>
      </c>
      <c r="K355" s="11"/>
      <c r="M355" s="15"/>
    </row>
    <row r="356" spans="1:13" outlineLevel="2">
      <c r="A356" s="11">
        <f t="shared" si="18"/>
        <v>352</v>
      </c>
      <c r="B356" s="11" t="s">
        <v>602</v>
      </c>
      <c r="C356" s="17" t="s">
        <v>702</v>
      </c>
      <c r="D356" s="12" t="s">
        <v>703</v>
      </c>
      <c r="E356" s="13">
        <v>212943.86</v>
      </c>
      <c r="F356" s="13">
        <v>0</v>
      </c>
      <c r="G356" s="13">
        <f t="shared" si="17"/>
        <v>-67503.20362</v>
      </c>
      <c r="I356" s="14">
        <f t="shared" si="16"/>
        <v>145440.65638</v>
      </c>
      <c r="K356" s="11"/>
      <c r="M356" s="15"/>
    </row>
    <row r="357" spans="1:13" outlineLevel="2">
      <c r="A357" s="11">
        <f t="shared" si="18"/>
        <v>353</v>
      </c>
      <c r="B357" s="11" t="s">
        <v>602</v>
      </c>
      <c r="C357" s="17" t="s">
        <v>2442</v>
      </c>
      <c r="D357" s="12" t="s">
        <v>2443</v>
      </c>
      <c r="E357" s="13">
        <v>21003.3</v>
      </c>
      <c r="G357" s="13">
        <f t="shared" si="17"/>
        <v>-6658.0460999999996</v>
      </c>
      <c r="I357" s="14">
        <f t="shared" si="16"/>
        <v>14345.2539</v>
      </c>
      <c r="K357" s="11"/>
      <c r="M357" s="15"/>
    </row>
    <row r="358" spans="1:13" outlineLevel="2">
      <c r="A358" s="11">
        <f t="shared" si="18"/>
        <v>354</v>
      </c>
      <c r="B358" s="11" t="s">
        <v>602</v>
      </c>
      <c r="C358" s="17" t="s">
        <v>704</v>
      </c>
      <c r="D358" s="12" t="s">
        <v>705</v>
      </c>
      <c r="E358" s="13">
        <v>507269.59</v>
      </c>
      <c r="F358" s="13">
        <v>0</v>
      </c>
      <c r="G358" s="13">
        <f>-(E358*$J$308)</f>
        <v>-160804.46003000002</v>
      </c>
      <c r="I358" s="14">
        <f t="shared" si="16"/>
        <v>346465.12997000001</v>
      </c>
      <c r="K358" s="11"/>
      <c r="M358" s="15"/>
    </row>
    <row r="359" spans="1:13" outlineLevel="2">
      <c r="A359" s="11">
        <f t="shared" si="18"/>
        <v>355</v>
      </c>
      <c r="B359" s="11" t="s">
        <v>602</v>
      </c>
      <c r="C359" s="17" t="s">
        <v>706</v>
      </c>
      <c r="D359" s="12" t="s">
        <v>707</v>
      </c>
      <c r="E359" s="13">
        <v>68763.06</v>
      </c>
      <c r="F359" s="13">
        <v>0</v>
      </c>
      <c r="G359" s="13">
        <f t="shared" si="17"/>
        <v>-21797.890019999999</v>
      </c>
      <c r="I359" s="14">
        <f t="shared" si="16"/>
        <v>46965.169979999999</v>
      </c>
      <c r="K359" s="11"/>
      <c r="M359" s="15"/>
    </row>
    <row r="360" spans="1:13" outlineLevel="2">
      <c r="A360" s="11">
        <f t="shared" si="18"/>
        <v>356</v>
      </c>
      <c r="B360" s="11" t="s">
        <v>602</v>
      </c>
      <c r="C360" s="17" t="s">
        <v>708</v>
      </c>
      <c r="D360" s="12" t="s">
        <v>709</v>
      </c>
      <c r="E360" s="13">
        <v>114124.35</v>
      </c>
      <c r="F360" s="13">
        <v>0</v>
      </c>
      <c r="G360" s="13">
        <f t="shared" si="17"/>
        <v>-36177.418949999999</v>
      </c>
      <c r="I360" s="14">
        <f t="shared" si="16"/>
        <v>77946.931050000014</v>
      </c>
      <c r="K360" s="11"/>
      <c r="M360" s="15"/>
    </row>
    <row r="361" spans="1:13" outlineLevel="2">
      <c r="A361" s="11">
        <f t="shared" si="18"/>
        <v>357</v>
      </c>
      <c r="B361" s="11" t="s">
        <v>602</v>
      </c>
      <c r="C361" s="17" t="s">
        <v>477</v>
      </c>
      <c r="D361" s="12" t="s">
        <v>478</v>
      </c>
      <c r="E361" s="13">
        <v>130348.08</v>
      </c>
      <c r="F361" s="13">
        <v>0</v>
      </c>
      <c r="G361" s="13">
        <f t="shared" si="17"/>
        <v>-41320.341359999999</v>
      </c>
      <c r="I361" s="14">
        <f t="shared" si="16"/>
        <v>89027.738639999996</v>
      </c>
      <c r="K361" s="11"/>
      <c r="M361" s="15"/>
    </row>
    <row r="362" spans="1:13" outlineLevel="2">
      <c r="A362" s="11">
        <f t="shared" si="18"/>
        <v>358</v>
      </c>
      <c r="B362" s="11" t="s">
        <v>602</v>
      </c>
      <c r="C362" s="17" t="s">
        <v>710</v>
      </c>
      <c r="D362" s="12" t="s">
        <v>711</v>
      </c>
      <c r="E362" s="13">
        <v>326153.21000000002</v>
      </c>
      <c r="F362" s="13">
        <v>0</v>
      </c>
      <c r="G362" s="13">
        <f t="shared" si="17"/>
        <v>-103390.56757000001</v>
      </c>
      <c r="I362" s="14">
        <f t="shared" si="16"/>
        <v>222762.64243000001</v>
      </c>
      <c r="K362" s="11"/>
      <c r="M362" s="15"/>
    </row>
    <row r="363" spans="1:13" outlineLevel="2">
      <c r="A363" s="11">
        <f t="shared" si="18"/>
        <v>359</v>
      </c>
      <c r="B363" s="11" t="s">
        <v>602</v>
      </c>
      <c r="C363" s="17" t="s">
        <v>712</v>
      </c>
      <c r="D363" s="12" t="s">
        <v>713</v>
      </c>
      <c r="E363" s="13">
        <v>380212.21</v>
      </c>
      <c r="F363" s="13">
        <v>0</v>
      </c>
      <c r="G363" s="13">
        <f t="shared" si="17"/>
        <v>-120527.27057000001</v>
      </c>
      <c r="I363" s="14">
        <f t="shared" si="16"/>
        <v>259684.93943000003</v>
      </c>
      <c r="K363" s="11"/>
      <c r="M363" s="15"/>
    </row>
    <row r="364" spans="1:13" outlineLevel="2">
      <c r="A364" s="11">
        <f t="shared" si="18"/>
        <v>360</v>
      </c>
      <c r="B364" s="11" t="s">
        <v>602</v>
      </c>
      <c r="C364" s="17" t="s">
        <v>714</v>
      </c>
      <c r="D364" s="12" t="s">
        <v>715</v>
      </c>
      <c r="E364" s="13">
        <v>109068.74</v>
      </c>
      <c r="F364" s="13">
        <v>0</v>
      </c>
      <c r="G364" s="13">
        <f t="shared" si="17"/>
        <v>-34574.790580000001</v>
      </c>
      <c r="I364" s="14">
        <f t="shared" si="16"/>
        <v>74493.949420000004</v>
      </c>
      <c r="K364" s="11"/>
      <c r="M364" s="15"/>
    </row>
    <row r="365" spans="1:13" outlineLevel="2">
      <c r="A365" s="11">
        <f t="shared" si="18"/>
        <v>361</v>
      </c>
      <c r="B365" s="11" t="s">
        <v>602</v>
      </c>
      <c r="C365" s="17" t="s">
        <v>2444</v>
      </c>
      <c r="D365" s="12" t="s">
        <v>2445</v>
      </c>
      <c r="E365" s="13">
        <v>785698.39</v>
      </c>
      <c r="G365" s="13">
        <f t="shared" si="17"/>
        <v>-249066.38963000002</v>
      </c>
      <c r="I365" s="14">
        <f t="shared" si="16"/>
        <v>536632.00037000002</v>
      </c>
      <c r="K365" s="11"/>
      <c r="M365" s="15"/>
    </row>
    <row r="366" spans="1:13" outlineLevel="2">
      <c r="A366" s="11">
        <f t="shared" si="18"/>
        <v>362</v>
      </c>
      <c r="B366" s="11" t="s">
        <v>602</v>
      </c>
      <c r="C366" s="17" t="s">
        <v>716</v>
      </c>
      <c r="D366" s="12" t="s">
        <v>717</v>
      </c>
      <c r="E366" s="13">
        <v>99222.88</v>
      </c>
      <c r="F366" s="13">
        <v>0</v>
      </c>
      <c r="G366" s="13">
        <f t="shared" si="17"/>
        <v>-31453.652960000003</v>
      </c>
      <c r="I366" s="14">
        <f t="shared" si="16"/>
        <v>67769.227039999998</v>
      </c>
      <c r="K366" s="11"/>
      <c r="M366" s="15"/>
    </row>
    <row r="367" spans="1:13" outlineLevel="2">
      <c r="A367" s="11">
        <f t="shared" si="18"/>
        <v>363</v>
      </c>
      <c r="B367" s="11" t="s">
        <v>602</v>
      </c>
      <c r="C367" s="17" t="s">
        <v>718</v>
      </c>
      <c r="D367" s="12" t="s">
        <v>719</v>
      </c>
      <c r="E367" s="13">
        <v>301613.96999999997</v>
      </c>
      <c r="F367" s="13">
        <v>0</v>
      </c>
      <c r="G367" s="13">
        <f t="shared" si="17"/>
        <v>-95611.628489999988</v>
      </c>
      <c r="I367" s="14">
        <f t="shared" si="16"/>
        <v>206002.34151</v>
      </c>
      <c r="K367" s="11"/>
      <c r="M367" s="15"/>
    </row>
    <row r="368" spans="1:13" outlineLevel="2">
      <c r="A368" s="11">
        <f t="shared" si="18"/>
        <v>364</v>
      </c>
      <c r="B368" s="11" t="s">
        <v>602</v>
      </c>
      <c r="C368" s="17" t="s">
        <v>720</v>
      </c>
      <c r="D368" s="12" t="s">
        <v>721</v>
      </c>
      <c r="E368" s="13">
        <v>423094</v>
      </c>
      <c r="F368" s="13">
        <v>0</v>
      </c>
      <c r="G368" s="13">
        <f t="shared" si="17"/>
        <v>-134120.79800000001</v>
      </c>
      <c r="I368" s="14">
        <f t="shared" si="16"/>
        <v>288973.20199999999</v>
      </c>
      <c r="K368" s="11"/>
      <c r="M368" s="15"/>
    </row>
    <row r="369" spans="1:13" outlineLevel="2">
      <c r="A369" s="11">
        <f t="shared" si="18"/>
        <v>365</v>
      </c>
      <c r="B369" s="11" t="s">
        <v>602</v>
      </c>
      <c r="C369" s="17" t="s">
        <v>722</v>
      </c>
      <c r="D369" s="12" t="s">
        <v>723</v>
      </c>
      <c r="E369" s="13">
        <v>61203.72</v>
      </c>
      <c r="F369" s="13">
        <v>0</v>
      </c>
      <c r="G369" s="13">
        <f t="shared" si="17"/>
        <v>-19401.579239999999</v>
      </c>
      <c r="I369" s="14">
        <f t="shared" si="16"/>
        <v>41802.140760000002</v>
      </c>
      <c r="K369" s="11"/>
      <c r="M369" s="15"/>
    </row>
    <row r="370" spans="1:13" outlineLevel="2">
      <c r="A370" s="11">
        <f t="shared" si="18"/>
        <v>366</v>
      </c>
      <c r="B370" s="11" t="s">
        <v>602</v>
      </c>
      <c r="C370" s="17" t="s">
        <v>724</v>
      </c>
      <c r="D370" s="12" t="s">
        <v>725</v>
      </c>
      <c r="E370" s="13">
        <v>303953.87</v>
      </c>
      <c r="F370" s="13">
        <v>0</v>
      </c>
      <c r="G370" s="13">
        <f t="shared" si="17"/>
        <v>-96353.376789999995</v>
      </c>
      <c r="I370" s="14">
        <f t="shared" si="16"/>
        <v>207600.49320999999</v>
      </c>
      <c r="K370" s="11"/>
      <c r="M370" s="15"/>
    </row>
    <row r="371" spans="1:13" outlineLevel="2">
      <c r="A371" s="11">
        <f t="shared" si="18"/>
        <v>367</v>
      </c>
      <c r="B371" s="11" t="s">
        <v>602</v>
      </c>
      <c r="C371" s="17" t="s">
        <v>726</v>
      </c>
      <c r="D371" s="12" t="s">
        <v>727</v>
      </c>
      <c r="E371" s="13">
        <v>80798.66</v>
      </c>
      <c r="F371" s="13">
        <v>0</v>
      </c>
      <c r="G371" s="13">
        <f>-(E371*$J$308)</f>
        <v>-25613.175220000001</v>
      </c>
      <c r="I371" s="14">
        <f t="shared" si="16"/>
        <v>55185.484779999999</v>
      </c>
      <c r="K371" s="11"/>
      <c r="M371" s="15"/>
    </row>
    <row r="372" spans="1:13" outlineLevel="2">
      <c r="A372" s="11">
        <f t="shared" si="18"/>
        <v>368</v>
      </c>
      <c r="B372" s="11" t="s">
        <v>602</v>
      </c>
      <c r="C372" s="17" t="s">
        <v>728</v>
      </c>
      <c r="D372" s="12" t="s">
        <v>729</v>
      </c>
      <c r="E372" s="13">
        <v>148752.31</v>
      </c>
      <c r="F372" s="13">
        <v>0</v>
      </c>
      <c r="G372" s="13">
        <f t="shared" si="17"/>
        <v>-47154.48227</v>
      </c>
      <c r="I372" s="14">
        <f t="shared" si="16"/>
        <v>101597.82772999999</v>
      </c>
      <c r="K372" s="11"/>
      <c r="M372" s="15"/>
    </row>
    <row r="373" spans="1:13" outlineLevel="2">
      <c r="A373" s="11">
        <f t="shared" si="18"/>
        <v>369</v>
      </c>
      <c r="B373" s="11" t="s">
        <v>602</v>
      </c>
      <c r="C373" s="17" t="s">
        <v>730</v>
      </c>
      <c r="D373" s="12" t="s">
        <v>731</v>
      </c>
      <c r="E373" s="13">
        <v>315049.13</v>
      </c>
      <c r="F373" s="13">
        <v>0</v>
      </c>
      <c r="G373" s="13">
        <f t="shared" si="17"/>
        <v>-99870.574210000006</v>
      </c>
      <c r="I373" s="14">
        <f t="shared" ref="I373:I437" si="19">SUM(E373:G373)</f>
        <v>215178.55579000001</v>
      </c>
      <c r="K373" s="11"/>
      <c r="M373" s="15"/>
    </row>
    <row r="374" spans="1:13" outlineLevel="2">
      <c r="A374" s="11">
        <f t="shared" si="18"/>
        <v>370</v>
      </c>
      <c r="B374" s="11" t="s">
        <v>602</v>
      </c>
      <c r="C374" s="17" t="s">
        <v>732</v>
      </c>
      <c r="D374" s="12" t="s">
        <v>733</v>
      </c>
      <c r="E374" s="13">
        <v>368770.93</v>
      </c>
      <c r="F374" s="13">
        <v>0</v>
      </c>
      <c r="G374" s="13">
        <f t="shared" si="17"/>
        <v>-116900.38481</v>
      </c>
      <c r="I374" s="14">
        <f t="shared" si="19"/>
        <v>251870.54518999998</v>
      </c>
      <c r="K374" s="11"/>
      <c r="M374" s="15"/>
    </row>
    <row r="375" spans="1:13" outlineLevel="2">
      <c r="A375" s="11">
        <f t="shared" si="18"/>
        <v>371</v>
      </c>
      <c r="B375" s="11" t="s">
        <v>602</v>
      </c>
      <c r="C375" s="17" t="s">
        <v>734</v>
      </c>
      <c r="D375" s="12" t="s">
        <v>735</v>
      </c>
      <c r="E375" s="13">
        <v>272857.44</v>
      </c>
      <c r="F375" s="13">
        <v>0</v>
      </c>
      <c r="G375" s="13">
        <f t="shared" ref="G375:G397" si="20">-(E375*$J$308)</f>
        <v>-86495.808480000007</v>
      </c>
      <c r="I375" s="14">
        <f t="shared" si="19"/>
        <v>186361.63152</v>
      </c>
      <c r="K375" s="11"/>
      <c r="M375" s="15"/>
    </row>
    <row r="376" spans="1:13" outlineLevel="2">
      <c r="A376" s="11">
        <f t="shared" si="18"/>
        <v>372</v>
      </c>
      <c r="B376" s="11" t="s">
        <v>602</v>
      </c>
      <c r="C376" s="17" t="s">
        <v>736</v>
      </c>
      <c r="D376" s="12" t="s">
        <v>737</v>
      </c>
      <c r="E376" s="13">
        <v>23846.98</v>
      </c>
      <c r="F376" s="13">
        <v>0</v>
      </c>
      <c r="G376" s="13">
        <f t="shared" si="20"/>
        <v>-7559.4926599999999</v>
      </c>
      <c r="I376" s="14">
        <f t="shared" si="19"/>
        <v>16287.48734</v>
      </c>
      <c r="K376" s="11"/>
      <c r="M376" s="15"/>
    </row>
    <row r="377" spans="1:13" outlineLevel="2">
      <c r="A377" s="11">
        <f t="shared" si="18"/>
        <v>373</v>
      </c>
      <c r="B377" s="11" t="s">
        <v>602</v>
      </c>
      <c r="C377" s="17" t="s">
        <v>2331</v>
      </c>
      <c r="D377" s="12" t="s">
        <v>2330</v>
      </c>
      <c r="E377" s="13">
        <v>736184.44</v>
      </c>
      <c r="G377" s="13">
        <f t="shared" si="20"/>
        <v>-233370.46747999999</v>
      </c>
      <c r="I377" s="14">
        <f t="shared" si="19"/>
        <v>502813.97251999995</v>
      </c>
      <c r="K377" s="11"/>
      <c r="M377" s="15"/>
    </row>
    <row r="378" spans="1:13" outlineLevel="2">
      <c r="A378" s="11">
        <f t="shared" si="18"/>
        <v>374</v>
      </c>
      <c r="B378" s="11" t="s">
        <v>602</v>
      </c>
      <c r="C378" s="17" t="s">
        <v>738</v>
      </c>
      <c r="D378" s="12" t="s">
        <v>739</v>
      </c>
      <c r="E378" s="13">
        <v>74835.460000000006</v>
      </c>
      <c r="F378" s="13">
        <v>0</v>
      </c>
      <c r="G378" s="13">
        <f t="shared" si="20"/>
        <v>-23722.840820000001</v>
      </c>
      <c r="I378" s="14">
        <f t="shared" si="19"/>
        <v>51112.619180000009</v>
      </c>
      <c r="K378" s="11"/>
      <c r="M378" s="15"/>
    </row>
    <row r="379" spans="1:13" outlineLevel="2">
      <c r="A379" s="11">
        <f t="shared" si="18"/>
        <v>375</v>
      </c>
      <c r="B379" s="11" t="s">
        <v>602</v>
      </c>
      <c r="C379" s="17" t="s">
        <v>740</v>
      </c>
      <c r="D379" s="12" t="s">
        <v>741</v>
      </c>
      <c r="E379" s="13">
        <v>109706.08</v>
      </c>
      <c r="F379" s="13">
        <v>0</v>
      </c>
      <c r="G379" s="13">
        <f t="shared" si="20"/>
        <v>-34776.827360000003</v>
      </c>
      <c r="I379" s="14">
        <f t="shared" si="19"/>
        <v>74929.252639999992</v>
      </c>
      <c r="K379" s="11"/>
      <c r="M379" s="15"/>
    </row>
    <row r="380" spans="1:13" outlineLevel="2">
      <c r="A380" s="11">
        <f t="shared" si="18"/>
        <v>376</v>
      </c>
      <c r="B380" s="11" t="s">
        <v>602</v>
      </c>
      <c r="C380" s="17" t="s">
        <v>742</v>
      </c>
      <c r="D380" s="12" t="s">
        <v>743</v>
      </c>
      <c r="E380" s="13">
        <v>882588.11</v>
      </c>
      <c r="F380" s="13">
        <v>0</v>
      </c>
      <c r="G380" s="13">
        <f t="shared" si="20"/>
        <v>-279780.43086999998</v>
      </c>
      <c r="I380" s="14">
        <f t="shared" si="19"/>
        <v>602807.67913000006</v>
      </c>
      <c r="K380" s="11"/>
      <c r="M380" s="15"/>
    </row>
    <row r="381" spans="1:13" outlineLevel="2">
      <c r="A381" s="11">
        <f t="shared" si="18"/>
        <v>377</v>
      </c>
      <c r="B381" s="11" t="s">
        <v>602</v>
      </c>
      <c r="C381" s="17" t="s">
        <v>744</v>
      </c>
      <c r="D381" s="12" t="s">
        <v>745</v>
      </c>
      <c r="E381" s="13">
        <v>68891.070000000007</v>
      </c>
      <c r="F381" s="13">
        <v>0</v>
      </c>
      <c r="G381" s="13">
        <f t="shared" si="20"/>
        <v>-21838.469190000003</v>
      </c>
      <c r="I381" s="14">
        <f t="shared" si="19"/>
        <v>47052.600810000004</v>
      </c>
      <c r="K381" s="11"/>
      <c r="M381" s="15"/>
    </row>
    <row r="382" spans="1:13" outlineLevel="2">
      <c r="A382" s="11">
        <f t="shared" si="18"/>
        <v>378</v>
      </c>
      <c r="B382" s="11" t="s">
        <v>602</v>
      </c>
      <c r="C382" s="17" t="s">
        <v>746</v>
      </c>
      <c r="D382" s="12" t="s">
        <v>747</v>
      </c>
      <c r="E382" s="13">
        <v>302700.90999999997</v>
      </c>
      <c r="F382" s="13">
        <v>0</v>
      </c>
      <c r="G382" s="13">
        <f t="shared" si="20"/>
        <v>-95956.188469999994</v>
      </c>
      <c r="I382" s="14">
        <f t="shared" si="19"/>
        <v>206744.72152999998</v>
      </c>
      <c r="K382" s="11"/>
      <c r="M382" s="15"/>
    </row>
    <row r="383" spans="1:13" outlineLevel="2">
      <c r="A383" s="11">
        <f t="shared" si="18"/>
        <v>379</v>
      </c>
      <c r="B383" s="11" t="s">
        <v>602</v>
      </c>
      <c r="C383" s="17" t="s">
        <v>748</v>
      </c>
      <c r="D383" s="12" t="s">
        <v>749</v>
      </c>
      <c r="E383" s="13">
        <v>22883.759999999998</v>
      </c>
      <c r="F383" s="13">
        <v>0</v>
      </c>
      <c r="G383" s="13">
        <f t="shared" si="20"/>
        <v>-7254.1519199999993</v>
      </c>
      <c r="I383" s="14">
        <f t="shared" si="19"/>
        <v>15629.608079999998</v>
      </c>
      <c r="K383" s="11"/>
      <c r="M383" s="15"/>
    </row>
    <row r="384" spans="1:13" outlineLevel="2">
      <c r="A384" s="11">
        <f t="shared" si="18"/>
        <v>380</v>
      </c>
      <c r="B384" s="11" t="s">
        <v>602</v>
      </c>
      <c r="C384" s="17" t="s">
        <v>750</v>
      </c>
      <c r="D384" s="12" t="s">
        <v>751</v>
      </c>
      <c r="E384" s="13">
        <v>145723.24</v>
      </c>
      <c r="F384" s="13">
        <v>0</v>
      </c>
      <c r="G384" s="13">
        <f t="shared" si="20"/>
        <v>-46194.267079999998</v>
      </c>
      <c r="I384" s="14">
        <f t="shared" si="19"/>
        <v>99528.97292</v>
      </c>
      <c r="K384" s="11"/>
      <c r="M384" s="15"/>
    </row>
    <row r="385" spans="1:13" outlineLevel="2">
      <c r="A385" s="11">
        <f t="shared" si="18"/>
        <v>381</v>
      </c>
      <c r="B385" s="11" t="s">
        <v>602</v>
      </c>
      <c r="C385" s="17" t="s">
        <v>752</v>
      </c>
      <c r="D385" s="12" t="s">
        <v>753</v>
      </c>
      <c r="E385" s="13">
        <v>22896.21</v>
      </c>
      <c r="F385" s="13">
        <v>0</v>
      </c>
      <c r="G385" s="13">
        <f t="shared" si="20"/>
        <v>-7258.0985700000001</v>
      </c>
      <c r="I385" s="14">
        <f t="shared" si="19"/>
        <v>15638.111429999999</v>
      </c>
      <c r="K385" s="11"/>
      <c r="M385" s="15"/>
    </row>
    <row r="386" spans="1:13" outlineLevel="2">
      <c r="A386" s="11">
        <f t="shared" si="18"/>
        <v>382</v>
      </c>
      <c r="B386" s="11" t="s">
        <v>602</v>
      </c>
      <c r="C386" s="17" t="s">
        <v>754</v>
      </c>
      <c r="D386" s="12" t="s">
        <v>755</v>
      </c>
      <c r="E386" s="13">
        <v>201837.42</v>
      </c>
      <c r="F386" s="13">
        <v>0</v>
      </c>
      <c r="G386" s="13">
        <f t="shared" si="20"/>
        <v>-63982.462140000003</v>
      </c>
      <c r="I386" s="14">
        <f t="shared" si="19"/>
        <v>137854.95786000002</v>
      </c>
      <c r="K386" s="11"/>
      <c r="M386" s="15"/>
    </row>
    <row r="387" spans="1:13" outlineLevel="2">
      <c r="A387" s="11">
        <f t="shared" si="18"/>
        <v>383</v>
      </c>
      <c r="B387" s="11" t="s">
        <v>602</v>
      </c>
      <c r="C387" s="17" t="s">
        <v>756</v>
      </c>
      <c r="D387" s="12" t="s">
        <v>757</v>
      </c>
      <c r="E387" s="13">
        <v>66494.63</v>
      </c>
      <c r="F387" s="13">
        <v>0</v>
      </c>
      <c r="G387" s="13">
        <f t="shared" si="20"/>
        <v>-21078.797710000003</v>
      </c>
      <c r="I387" s="14">
        <f t="shared" si="19"/>
        <v>45415.832290000006</v>
      </c>
      <c r="K387" s="11"/>
      <c r="M387" s="15"/>
    </row>
    <row r="388" spans="1:13" outlineLevel="2">
      <c r="A388" s="11">
        <f t="shared" si="18"/>
        <v>384</v>
      </c>
      <c r="B388" s="11" t="s">
        <v>602</v>
      </c>
      <c r="C388" s="17" t="s">
        <v>758</v>
      </c>
      <c r="D388" s="12" t="s">
        <v>759</v>
      </c>
      <c r="E388" s="13">
        <v>231172.47</v>
      </c>
      <c r="F388" s="13">
        <v>0</v>
      </c>
      <c r="G388" s="13">
        <f t="shared" si="20"/>
        <v>-73281.672990000006</v>
      </c>
      <c r="I388" s="14">
        <f t="shared" si="19"/>
        <v>157890.79700999998</v>
      </c>
      <c r="K388" s="11"/>
      <c r="M388" s="15"/>
    </row>
    <row r="389" spans="1:13" outlineLevel="2">
      <c r="A389" s="11">
        <f t="shared" si="18"/>
        <v>385</v>
      </c>
      <c r="B389" s="11" t="s">
        <v>602</v>
      </c>
      <c r="C389" s="17" t="s">
        <v>760</v>
      </c>
      <c r="D389" s="12" t="s">
        <v>761</v>
      </c>
      <c r="E389" s="13">
        <v>210227.06</v>
      </c>
      <c r="F389" s="13">
        <v>0</v>
      </c>
      <c r="G389" s="13">
        <f t="shared" si="20"/>
        <v>-66641.978019999995</v>
      </c>
      <c r="I389" s="14">
        <f t="shared" si="19"/>
        <v>143585.08198000002</v>
      </c>
      <c r="K389" s="11"/>
      <c r="M389" s="15"/>
    </row>
    <row r="390" spans="1:13" outlineLevel="2">
      <c r="A390" s="11">
        <f t="shared" si="18"/>
        <v>386</v>
      </c>
      <c r="B390" s="11" t="s">
        <v>602</v>
      </c>
      <c r="C390" s="17" t="s">
        <v>762</v>
      </c>
      <c r="D390" s="12" t="s">
        <v>763</v>
      </c>
      <c r="E390" s="13">
        <v>768138.58</v>
      </c>
      <c r="F390" s="13">
        <v>0</v>
      </c>
      <c r="G390" s="13">
        <f t="shared" si="20"/>
        <v>-243499.92986</v>
      </c>
      <c r="I390" s="14">
        <f t="shared" si="19"/>
        <v>524638.65013999993</v>
      </c>
      <c r="K390" s="11"/>
      <c r="M390" s="15"/>
    </row>
    <row r="391" spans="1:13" outlineLevel="2">
      <c r="A391" s="11">
        <f t="shared" si="18"/>
        <v>387</v>
      </c>
      <c r="B391" s="11" t="s">
        <v>602</v>
      </c>
      <c r="C391" s="17" t="s">
        <v>764</v>
      </c>
      <c r="D391" s="12" t="s">
        <v>765</v>
      </c>
      <c r="E391" s="13">
        <v>90226.7</v>
      </c>
      <c r="F391" s="13">
        <v>0</v>
      </c>
      <c r="G391" s="13">
        <f t="shared" si="20"/>
        <v>-28601.8639</v>
      </c>
      <c r="I391" s="14">
        <f t="shared" si="19"/>
        <v>61624.8361</v>
      </c>
      <c r="K391" s="11"/>
      <c r="M391" s="15"/>
    </row>
    <row r="392" spans="1:13" outlineLevel="2">
      <c r="A392" s="11">
        <f t="shared" si="18"/>
        <v>388</v>
      </c>
      <c r="B392" s="11" t="s">
        <v>602</v>
      </c>
      <c r="C392" s="17" t="s">
        <v>766</v>
      </c>
      <c r="D392" s="12" t="s">
        <v>767</v>
      </c>
      <c r="E392" s="13">
        <v>46981.39</v>
      </c>
      <c r="F392" s="13">
        <v>0</v>
      </c>
      <c r="G392" s="13">
        <f t="shared" si="20"/>
        <v>-14893.100630000001</v>
      </c>
      <c r="I392" s="14">
        <f t="shared" si="19"/>
        <v>32088.289369999999</v>
      </c>
      <c r="K392" s="11"/>
      <c r="M392" s="15"/>
    </row>
    <row r="393" spans="1:13" outlineLevel="2">
      <c r="A393" s="11">
        <f t="shared" si="18"/>
        <v>389</v>
      </c>
      <c r="B393" s="11" t="s">
        <v>602</v>
      </c>
      <c r="C393" s="17" t="s">
        <v>768</v>
      </c>
      <c r="D393" s="12" t="s">
        <v>769</v>
      </c>
      <c r="E393" s="13">
        <v>267394.71999999997</v>
      </c>
      <c r="F393" s="13">
        <v>0</v>
      </c>
      <c r="G393" s="13">
        <f t="shared" si="20"/>
        <v>-84764.126239999998</v>
      </c>
      <c r="I393" s="14">
        <f t="shared" si="19"/>
        <v>182630.59375999996</v>
      </c>
      <c r="K393" s="11"/>
      <c r="M393" s="15"/>
    </row>
    <row r="394" spans="1:13" outlineLevel="2">
      <c r="A394" s="11">
        <f t="shared" si="18"/>
        <v>390</v>
      </c>
      <c r="B394" s="11" t="s">
        <v>602</v>
      </c>
      <c r="C394" s="17" t="s">
        <v>770</v>
      </c>
      <c r="D394" s="12" t="s">
        <v>771</v>
      </c>
      <c r="E394" s="13">
        <v>202225.56</v>
      </c>
      <c r="F394" s="13">
        <v>0</v>
      </c>
      <c r="G394" s="13">
        <f t="shared" si="20"/>
        <v>-64105.502520000002</v>
      </c>
      <c r="I394" s="14">
        <f t="shared" si="19"/>
        <v>138120.05747999999</v>
      </c>
      <c r="K394" s="11"/>
      <c r="M394" s="15"/>
    </row>
    <row r="395" spans="1:13" outlineLevel="2">
      <c r="A395" s="11">
        <f t="shared" si="18"/>
        <v>391</v>
      </c>
      <c r="B395" s="11" t="s">
        <v>602</v>
      </c>
      <c r="C395" s="17" t="s">
        <v>772</v>
      </c>
      <c r="D395" s="12" t="s">
        <v>773</v>
      </c>
      <c r="E395" s="13">
        <v>536504.47</v>
      </c>
      <c r="F395" s="13">
        <v>0</v>
      </c>
      <c r="G395" s="13">
        <f t="shared" si="20"/>
        <v>-170071.91699</v>
      </c>
      <c r="I395" s="14">
        <f t="shared" si="19"/>
        <v>366432.55300999997</v>
      </c>
      <c r="K395" s="11"/>
      <c r="M395" s="15"/>
    </row>
    <row r="396" spans="1:13" outlineLevel="2">
      <c r="A396" s="11">
        <f t="shared" si="18"/>
        <v>392</v>
      </c>
      <c r="B396" s="11" t="s">
        <v>602</v>
      </c>
      <c r="C396" s="17" t="s">
        <v>774</v>
      </c>
      <c r="D396" s="12" t="s">
        <v>775</v>
      </c>
      <c r="E396" s="13">
        <v>1051554.3700000001</v>
      </c>
      <c r="F396" s="13">
        <v>0</v>
      </c>
      <c r="G396" s="13">
        <f t="shared" si="20"/>
        <v>-333342.73529000004</v>
      </c>
      <c r="I396" s="14">
        <f t="shared" si="19"/>
        <v>718211.63471000013</v>
      </c>
      <c r="K396" s="11"/>
      <c r="M396" s="15"/>
    </row>
    <row r="397" spans="1:13" outlineLevel="2">
      <c r="A397" s="11">
        <f t="shared" si="18"/>
        <v>393</v>
      </c>
      <c r="B397" s="11" t="s">
        <v>602</v>
      </c>
      <c r="C397" s="17" t="s">
        <v>776</v>
      </c>
      <c r="D397" s="12" t="s">
        <v>777</v>
      </c>
      <c r="E397" s="13">
        <v>751512.5</v>
      </c>
      <c r="F397" s="13">
        <v>0</v>
      </c>
      <c r="G397" s="13">
        <f t="shared" si="20"/>
        <v>-238229.46249999999</v>
      </c>
      <c r="I397" s="14">
        <f t="shared" si="19"/>
        <v>513283.03749999998</v>
      </c>
      <c r="K397" s="11"/>
      <c r="M397" s="15"/>
    </row>
    <row r="398" spans="1:13" outlineLevel="2">
      <c r="A398" s="11">
        <f t="shared" si="18"/>
        <v>394</v>
      </c>
      <c r="B398" s="11" t="s">
        <v>602</v>
      </c>
      <c r="C398" s="17" t="s">
        <v>778</v>
      </c>
      <c r="D398" s="12" t="s">
        <v>779</v>
      </c>
      <c r="E398" s="13">
        <v>723452.46</v>
      </c>
      <c r="F398" s="13">
        <v>0</v>
      </c>
      <c r="G398" s="13">
        <f>-(E398*$J$308)</f>
        <v>-229334.42981999999</v>
      </c>
      <c r="I398" s="14">
        <f t="shared" si="19"/>
        <v>494118.03018</v>
      </c>
      <c r="K398" s="11"/>
      <c r="M398" s="15"/>
    </row>
    <row r="399" spans="1:13" outlineLevel="2">
      <c r="A399" s="11">
        <f t="shared" si="18"/>
        <v>395</v>
      </c>
      <c r="B399" s="11" t="s">
        <v>602</v>
      </c>
      <c r="C399" s="17" t="s">
        <v>780</v>
      </c>
      <c r="D399" s="12" t="s">
        <v>781</v>
      </c>
      <c r="E399" s="13">
        <v>48470.16</v>
      </c>
      <c r="F399" s="13">
        <v>0</v>
      </c>
      <c r="G399" s="13">
        <f t="shared" ref="G399:G413" si="21">-(E399*$J$308)</f>
        <v>-15365.040720000001</v>
      </c>
      <c r="I399" s="14">
        <f t="shared" si="19"/>
        <v>33105.119279999999</v>
      </c>
      <c r="K399" s="11"/>
      <c r="M399" s="15"/>
    </row>
    <row r="400" spans="1:13" outlineLevel="2">
      <c r="A400" s="11">
        <f t="shared" ref="A400:A463" si="22">A399+1</f>
        <v>396</v>
      </c>
      <c r="B400" s="11" t="s">
        <v>602</v>
      </c>
      <c r="C400" s="17" t="s">
        <v>782</v>
      </c>
      <c r="D400" s="12" t="s">
        <v>783</v>
      </c>
      <c r="E400" s="13">
        <v>79073.789999999994</v>
      </c>
      <c r="F400" s="13">
        <v>0</v>
      </c>
      <c r="G400" s="13">
        <f t="shared" si="21"/>
        <v>-25066.39143</v>
      </c>
      <c r="I400" s="14">
        <f t="shared" si="19"/>
        <v>54007.39856999999</v>
      </c>
      <c r="K400" s="11"/>
      <c r="M400" s="15"/>
    </row>
    <row r="401" spans="1:13" outlineLevel="2">
      <c r="A401" s="11">
        <f t="shared" si="22"/>
        <v>397</v>
      </c>
      <c r="B401" s="11" t="s">
        <v>602</v>
      </c>
      <c r="C401" s="17" t="s">
        <v>2295</v>
      </c>
      <c r="D401" s="12" t="s">
        <v>784</v>
      </c>
      <c r="E401" s="13">
        <v>330604.18</v>
      </c>
      <c r="G401" s="13">
        <f t="shared" si="21"/>
        <v>-104801.52506</v>
      </c>
      <c r="I401" s="14">
        <f t="shared" si="19"/>
        <v>225802.65493999998</v>
      </c>
      <c r="K401" s="11"/>
      <c r="M401" s="15"/>
    </row>
    <row r="402" spans="1:13" outlineLevel="2">
      <c r="A402" s="11">
        <f t="shared" si="22"/>
        <v>398</v>
      </c>
      <c r="B402" s="11" t="s">
        <v>602</v>
      </c>
      <c r="C402" s="17" t="s">
        <v>785</v>
      </c>
      <c r="D402" s="12" t="s">
        <v>786</v>
      </c>
      <c r="E402" s="13">
        <v>54516.4</v>
      </c>
      <c r="F402" s="13">
        <v>0</v>
      </c>
      <c r="G402" s="13">
        <f t="shared" si="21"/>
        <v>-17281.698800000002</v>
      </c>
      <c r="I402" s="14">
        <f t="shared" si="19"/>
        <v>37234.701199999996</v>
      </c>
      <c r="K402" s="11"/>
      <c r="M402" s="15"/>
    </row>
    <row r="403" spans="1:13" outlineLevel="2">
      <c r="A403" s="11">
        <f t="shared" si="22"/>
        <v>399</v>
      </c>
      <c r="B403" s="11" t="s">
        <v>602</v>
      </c>
      <c r="C403" s="17" t="s">
        <v>787</v>
      </c>
      <c r="D403" s="12" t="s">
        <v>788</v>
      </c>
      <c r="E403" s="13">
        <v>32444.86</v>
      </c>
      <c r="F403" s="13">
        <v>0</v>
      </c>
      <c r="G403" s="13">
        <f t="shared" si="21"/>
        <v>-10285.020620000001</v>
      </c>
      <c r="I403" s="14">
        <f t="shared" si="19"/>
        <v>22159.839379999998</v>
      </c>
      <c r="K403" s="11"/>
      <c r="M403" s="15"/>
    </row>
    <row r="404" spans="1:13" outlineLevel="2">
      <c r="A404" s="11">
        <f t="shared" si="22"/>
        <v>400</v>
      </c>
      <c r="B404" s="11" t="s">
        <v>602</v>
      </c>
      <c r="C404" s="17" t="s">
        <v>789</v>
      </c>
      <c r="D404" s="12" t="s">
        <v>790</v>
      </c>
      <c r="E404" s="13">
        <v>793844.24</v>
      </c>
      <c r="F404" s="13">
        <v>0</v>
      </c>
      <c r="G404" s="13">
        <f t="shared" si="21"/>
        <v>-251648.62408000001</v>
      </c>
      <c r="I404" s="14">
        <f t="shared" si="19"/>
        <v>542195.61592000001</v>
      </c>
      <c r="K404" s="11"/>
      <c r="M404" s="15"/>
    </row>
    <row r="405" spans="1:13" outlineLevel="2">
      <c r="A405" s="11">
        <f t="shared" si="22"/>
        <v>401</v>
      </c>
      <c r="B405" s="11" t="s">
        <v>602</v>
      </c>
      <c r="C405" s="17" t="s">
        <v>791</v>
      </c>
      <c r="D405" s="12" t="s">
        <v>792</v>
      </c>
      <c r="E405" s="13">
        <v>69987.59</v>
      </c>
      <c r="F405" s="13">
        <v>0</v>
      </c>
      <c r="G405" s="13">
        <f t="shared" si="21"/>
        <v>-22186.066029999998</v>
      </c>
      <c r="I405" s="14">
        <f t="shared" si="19"/>
        <v>47801.523969999995</v>
      </c>
      <c r="K405" s="11"/>
      <c r="M405" s="15"/>
    </row>
    <row r="406" spans="1:13" outlineLevel="2">
      <c r="A406" s="11">
        <f t="shared" si="22"/>
        <v>402</v>
      </c>
      <c r="B406" s="11" t="s">
        <v>602</v>
      </c>
      <c r="C406" s="17" t="s">
        <v>793</v>
      </c>
      <c r="D406" s="12" t="s">
        <v>794</v>
      </c>
      <c r="E406" s="13">
        <v>172792.24</v>
      </c>
      <c r="F406" s="13">
        <v>0</v>
      </c>
      <c r="G406" s="13">
        <f t="shared" si="21"/>
        <v>-54775.140079999997</v>
      </c>
      <c r="I406" s="14">
        <f t="shared" si="19"/>
        <v>118017.09991999999</v>
      </c>
      <c r="K406" s="11"/>
      <c r="M406" s="15"/>
    </row>
    <row r="407" spans="1:13" outlineLevel="2">
      <c r="A407" s="11">
        <f t="shared" si="22"/>
        <v>403</v>
      </c>
      <c r="B407" s="11" t="s">
        <v>602</v>
      </c>
      <c r="C407" s="17" t="s">
        <v>795</v>
      </c>
      <c r="D407" s="12" t="s">
        <v>796</v>
      </c>
      <c r="E407" s="13">
        <v>300728.23</v>
      </c>
      <c r="F407" s="13">
        <v>0</v>
      </c>
      <c r="G407" s="13">
        <f t="shared" si="21"/>
        <v>-95330.848910000001</v>
      </c>
      <c r="I407" s="14">
        <f t="shared" si="19"/>
        <v>205397.38108999998</v>
      </c>
      <c r="K407" s="11"/>
      <c r="M407" s="15"/>
    </row>
    <row r="408" spans="1:13" outlineLevel="2">
      <c r="A408" s="11">
        <f t="shared" si="22"/>
        <v>404</v>
      </c>
      <c r="B408" s="11" t="s">
        <v>602</v>
      </c>
      <c r="C408" s="17" t="s">
        <v>797</v>
      </c>
      <c r="D408" s="12" t="s">
        <v>798</v>
      </c>
      <c r="E408" s="13">
        <v>196623.63</v>
      </c>
      <c r="F408" s="13">
        <v>0</v>
      </c>
      <c r="G408" s="13">
        <f t="shared" si="21"/>
        <v>-62329.690710000003</v>
      </c>
      <c r="I408" s="14">
        <f t="shared" si="19"/>
        <v>134293.93929000001</v>
      </c>
      <c r="K408" s="11"/>
      <c r="M408" s="15"/>
    </row>
    <row r="409" spans="1:13" outlineLevel="2">
      <c r="A409" s="11">
        <f t="shared" si="22"/>
        <v>405</v>
      </c>
      <c r="B409" s="11" t="s">
        <v>602</v>
      </c>
      <c r="C409" s="17" t="s">
        <v>799</v>
      </c>
      <c r="D409" s="12" t="s">
        <v>800</v>
      </c>
      <c r="E409" s="13">
        <v>516514.5</v>
      </c>
      <c r="F409" s="13">
        <v>0</v>
      </c>
      <c r="G409" s="13">
        <f t="shared" si="21"/>
        <v>-163735.09650000001</v>
      </c>
      <c r="I409" s="14">
        <f t="shared" si="19"/>
        <v>352779.40350000001</v>
      </c>
      <c r="K409" s="11"/>
      <c r="M409" s="15"/>
    </row>
    <row r="410" spans="1:13" outlineLevel="2">
      <c r="A410" s="11">
        <f t="shared" si="22"/>
        <v>406</v>
      </c>
      <c r="B410" s="11" t="s">
        <v>602</v>
      </c>
      <c r="C410" s="17" t="s">
        <v>801</v>
      </c>
      <c r="D410" s="12" t="s">
        <v>802</v>
      </c>
      <c r="E410" s="13">
        <v>15011.61</v>
      </c>
      <c r="F410" s="13">
        <v>0</v>
      </c>
      <c r="G410" s="13">
        <f t="shared" si="21"/>
        <v>-4758.68037</v>
      </c>
      <c r="I410" s="14">
        <f t="shared" si="19"/>
        <v>10252.929630000001</v>
      </c>
      <c r="K410" s="11"/>
      <c r="M410" s="15"/>
    </row>
    <row r="411" spans="1:13" outlineLevel="2">
      <c r="A411" s="11">
        <f t="shared" si="22"/>
        <v>407</v>
      </c>
      <c r="B411" s="11" t="s">
        <v>602</v>
      </c>
      <c r="C411" s="17" t="s">
        <v>803</v>
      </c>
      <c r="D411" s="12" t="s">
        <v>804</v>
      </c>
      <c r="E411" s="13">
        <v>125057.06</v>
      </c>
      <c r="F411" s="13">
        <v>0</v>
      </c>
      <c r="G411" s="13">
        <f t="shared" si="21"/>
        <v>-39643.088020000003</v>
      </c>
      <c r="I411" s="14">
        <f t="shared" si="19"/>
        <v>85413.971980000002</v>
      </c>
      <c r="K411" s="11"/>
      <c r="M411" s="15"/>
    </row>
    <row r="412" spans="1:13" outlineLevel="2">
      <c r="A412" s="11">
        <f t="shared" si="22"/>
        <v>408</v>
      </c>
      <c r="B412" s="11" t="s">
        <v>602</v>
      </c>
      <c r="C412" s="17" t="s">
        <v>805</v>
      </c>
      <c r="D412" s="12" t="s">
        <v>806</v>
      </c>
      <c r="E412" s="13">
        <v>128241.53</v>
      </c>
      <c r="F412" s="13">
        <v>0</v>
      </c>
      <c r="G412" s="13">
        <f t="shared" si="21"/>
        <v>-40652.565009999998</v>
      </c>
      <c r="I412" s="14">
        <f t="shared" si="19"/>
        <v>87588.964990000008</v>
      </c>
      <c r="K412" s="11"/>
      <c r="M412" s="15"/>
    </row>
    <row r="413" spans="1:13" outlineLevel="2">
      <c r="A413" s="11">
        <f t="shared" si="22"/>
        <v>409</v>
      </c>
      <c r="B413" s="11" t="s">
        <v>602</v>
      </c>
      <c r="C413" s="17" t="s">
        <v>807</v>
      </c>
      <c r="D413" s="12" t="s">
        <v>808</v>
      </c>
      <c r="E413" s="13">
        <v>216330.02</v>
      </c>
      <c r="F413" s="13">
        <v>0</v>
      </c>
      <c r="G413" s="13">
        <f t="shared" si="21"/>
        <v>-68576.616339999993</v>
      </c>
      <c r="I413" s="14">
        <f t="shared" si="19"/>
        <v>147753.40366000001</v>
      </c>
      <c r="K413" s="11"/>
      <c r="M413" s="15"/>
    </row>
    <row r="414" spans="1:13" outlineLevel="2">
      <c r="A414" s="11">
        <f t="shared" si="22"/>
        <v>410</v>
      </c>
      <c r="B414" s="11" t="s">
        <v>602</v>
      </c>
      <c r="C414" s="17" t="s">
        <v>809</v>
      </c>
      <c r="D414" s="12" t="s">
        <v>810</v>
      </c>
      <c r="E414" s="13">
        <v>577873.56000000006</v>
      </c>
      <c r="F414" s="13">
        <v>0</v>
      </c>
      <c r="G414" s="13">
        <f>-(E414*$J$308)</f>
        <v>-183185.91852000001</v>
      </c>
      <c r="I414" s="14">
        <f t="shared" si="19"/>
        <v>394687.64148000005</v>
      </c>
      <c r="K414" s="11"/>
      <c r="M414" s="15"/>
    </row>
    <row r="415" spans="1:13" outlineLevel="2">
      <c r="A415" s="11">
        <f t="shared" si="22"/>
        <v>411</v>
      </c>
      <c r="B415" s="11" t="s">
        <v>602</v>
      </c>
      <c r="C415" s="17" t="s">
        <v>811</v>
      </c>
      <c r="D415" s="12" t="s">
        <v>812</v>
      </c>
      <c r="E415" s="13">
        <v>367629.89</v>
      </c>
      <c r="F415" s="13">
        <v>0</v>
      </c>
      <c r="G415" s="13">
        <f t="shared" ref="G415:G430" si="23">-(E415*$J$308)</f>
        <v>-116538.67513</v>
      </c>
      <c r="I415" s="14">
        <f t="shared" si="19"/>
        <v>251091.21487000003</v>
      </c>
      <c r="K415" s="11"/>
      <c r="M415" s="15"/>
    </row>
    <row r="416" spans="1:13" outlineLevel="2">
      <c r="A416" s="11">
        <f t="shared" si="22"/>
        <v>412</v>
      </c>
      <c r="B416" s="11" t="s">
        <v>602</v>
      </c>
      <c r="C416" s="17" t="s">
        <v>813</v>
      </c>
      <c r="D416" s="12" t="s">
        <v>814</v>
      </c>
      <c r="E416" s="13">
        <v>578065.68000000005</v>
      </c>
      <c r="F416" s="13">
        <v>0</v>
      </c>
      <c r="G416" s="13">
        <f t="shared" si="23"/>
        <v>-183246.82056000002</v>
      </c>
      <c r="I416" s="14">
        <f t="shared" si="19"/>
        <v>394818.85944000003</v>
      </c>
      <c r="K416" s="11"/>
      <c r="M416" s="15"/>
    </row>
    <row r="417" spans="1:13" outlineLevel="2">
      <c r="A417" s="11">
        <f t="shared" si="22"/>
        <v>413</v>
      </c>
      <c r="B417" s="11" t="s">
        <v>602</v>
      </c>
      <c r="C417" s="17" t="s">
        <v>815</v>
      </c>
      <c r="D417" s="12" t="s">
        <v>816</v>
      </c>
      <c r="E417" s="13">
        <v>16445.21</v>
      </c>
      <c r="F417" s="13">
        <v>0</v>
      </c>
      <c r="G417" s="13">
        <f t="shared" si="23"/>
        <v>-5213.1315699999996</v>
      </c>
      <c r="I417" s="14">
        <f t="shared" si="19"/>
        <v>11232.07843</v>
      </c>
      <c r="K417" s="11"/>
      <c r="M417" s="15"/>
    </row>
    <row r="418" spans="1:13" outlineLevel="2">
      <c r="A418" s="11">
        <f t="shared" si="22"/>
        <v>414</v>
      </c>
      <c r="B418" s="11" t="s">
        <v>602</v>
      </c>
      <c r="C418" s="17" t="s">
        <v>817</v>
      </c>
      <c r="D418" s="12" t="s">
        <v>818</v>
      </c>
      <c r="E418" s="13">
        <v>7684.53</v>
      </c>
      <c r="F418" s="13">
        <v>0</v>
      </c>
      <c r="G418" s="13">
        <f t="shared" si="23"/>
        <v>-2435.9960099999998</v>
      </c>
      <c r="I418" s="14">
        <f t="shared" si="19"/>
        <v>5248.5339899999999</v>
      </c>
      <c r="K418" s="11"/>
      <c r="M418" s="15"/>
    </row>
    <row r="419" spans="1:13" outlineLevel="2">
      <c r="A419" s="11">
        <f t="shared" si="22"/>
        <v>415</v>
      </c>
      <c r="B419" s="11" t="s">
        <v>602</v>
      </c>
      <c r="C419" s="17" t="s">
        <v>819</v>
      </c>
      <c r="D419" s="12" t="s">
        <v>820</v>
      </c>
      <c r="E419" s="13">
        <v>1646</v>
      </c>
      <c r="F419" s="13">
        <v>0</v>
      </c>
      <c r="G419" s="13">
        <f t="shared" si="23"/>
        <v>-521.78200000000004</v>
      </c>
      <c r="I419" s="14">
        <f t="shared" si="19"/>
        <v>1124.2179999999998</v>
      </c>
      <c r="K419" s="11"/>
      <c r="M419" s="15"/>
    </row>
    <row r="420" spans="1:13" outlineLevel="2">
      <c r="A420" s="11">
        <f t="shared" si="22"/>
        <v>416</v>
      </c>
      <c r="B420" s="11" t="s">
        <v>602</v>
      </c>
      <c r="C420" s="17" t="s">
        <v>821</v>
      </c>
      <c r="D420" s="12" t="s">
        <v>822</v>
      </c>
      <c r="E420" s="13">
        <v>107002.99</v>
      </c>
      <c r="F420" s="13">
        <v>0</v>
      </c>
      <c r="G420" s="13">
        <f t="shared" si="23"/>
        <v>-33919.947830000005</v>
      </c>
      <c r="I420" s="14">
        <f t="shared" si="19"/>
        <v>73083.042170000001</v>
      </c>
      <c r="K420" s="11"/>
      <c r="M420" s="15"/>
    </row>
    <row r="421" spans="1:13" outlineLevel="2">
      <c r="A421" s="11">
        <f t="shared" si="22"/>
        <v>417</v>
      </c>
      <c r="B421" s="11" t="s">
        <v>602</v>
      </c>
      <c r="C421" s="17" t="s">
        <v>823</v>
      </c>
      <c r="D421" s="12" t="s">
        <v>824</v>
      </c>
      <c r="E421" s="13">
        <v>83843.78</v>
      </c>
      <c r="F421" s="13">
        <v>0</v>
      </c>
      <c r="G421" s="13">
        <f t="shared" si="23"/>
        <v>-26578.47826</v>
      </c>
      <c r="I421" s="14">
        <f t="shared" si="19"/>
        <v>57265.301739999995</v>
      </c>
      <c r="K421" s="11"/>
      <c r="M421" s="15"/>
    </row>
    <row r="422" spans="1:13" outlineLevel="2">
      <c r="A422" s="11">
        <f t="shared" si="22"/>
        <v>418</v>
      </c>
      <c r="B422" s="11" t="s">
        <v>602</v>
      </c>
      <c r="C422" s="17" t="s">
        <v>825</v>
      </c>
      <c r="D422" s="12" t="s">
        <v>826</v>
      </c>
      <c r="E422" s="13">
        <v>530458.91</v>
      </c>
      <c r="F422" s="13">
        <v>0</v>
      </c>
      <c r="G422" s="13">
        <f t="shared" si="23"/>
        <v>-168155.47447000002</v>
      </c>
      <c r="I422" s="14">
        <f t="shared" si="19"/>
        <v>362303.43553000002</v>
      </c>
      <c r="K422" s="11"/>
      <c r="M422" s="15"/>
    </row>
    <row r="423" spans="1:13" outlineLevel="2">
      <c r="A423" s="11">
        <f t="shared" si="22"/>
        <v>419</v>
      </c>
      <c r="B423" s="11" t="s">
        <v>602</v>
      </c>
      <c r="C423" s="17" t="s">
        <v>827</v>
      </c>
      <c r="D423" s="12" t="s">
        <v>828</v>
      </c>
      <c r="E423" s="13">
        <v>186734.58</v>
      </c>
      <c r="F423" s="13">
        <v>0</v>
      </c>
      <c r="G423" s="13">
        <f t="shared" si="23"/>
        <v>-59194.861859999997</v>
      </c>
      <c r="I423" s="14">
        <f t="shared" si="19"/>
        <v>127539.71813999998</v>
      </c>
      <c r="K423" s="11"/>
      <c r="M423" s="15"/>
    </row>
    <row r="424" spans="1:13" outlineLevel="2">
      <c r="A424" s="11">
        <f t="shared" si="22"/>
        <v>420</v>
      </c>
      <c r="B424" s="11" t="s">
        <v>602</v>
      </c>
      <c r="C424" s="17" t="s">
        <v>829</v>
      </c>
      <c r="D424" s="12" t="s">
        <v>830</v>
      </c>
      <c r="E424" s="13">
        <v>3758.31</v>
      </c>
      <c r="F424" s="13">
        <v>0</v>
      </c>
      <c r="G424" s="13">
        <f t="shared" si="23"/>
        <v>-1191.38427</v>
      </c>
      <c r="I424" s="14">
        <f t="shared" si="19"/>
        <v>2566.9257299999999</v>
      </c>
      <c r="K424" s="11"/>
      <c r="M424" s="15"/>
    </row>
    <row r="425" spans="1:13" outlineLevel="2">
      <c r="A425" s="11">
        <f t="shared" si="22"/>
        <v>421</v>
      </c>
      <c r="B425" s="11" t="s">
        <v>602</v>
      </c>
      <c r="C425" s="17" t="s">
        <v>831</v>
      </c>
      <c r="D425" s="12" t="s">
        <v>832</v>
      </c>
      <c r="E425" s="13">
        <v>27264.31</v>
      </c>
      <c r="F425" s="13">
        <v>0</v>
      </c>
      <c r="G425" s="13">
        <f t="shared" si="23"/>
        <v>-8642.7862700000005</v>
      </c>
      <c r="I425" s="14">
        <f t="shared" si="19"/>
        <v>18621.523730000001</v>
      </c>
      <c r="K425" s="11"/>
      <c r="M425" s="15"/>
    </row>
    <row r="426" spans="1:13" outlineLevel="2">
      <c r="A426" s="11">
        <f t="shared" si="22"/>
        <v>422</v>
      </c>
      <c r="B426" s="11" t="s">
        <v>602</v>
      </c>
      <c r="C426" s="17" t="s">
        <v>833</v>
      </c>
      <c r="D426" s="12" t="s">
        <v>834</v>
      </c>
      <c r="E426" s="13">
        <v>4771.8900000000003</v>
      </c>
      <c r="F426" s="13">
        <v>0</v>
      </c>
      <c r="G426" s="13">
        <f t="shared" si="23"/>
        <v>-1512.6891300000002</v>
      </c>
      <c r="I426" s="14">
        <f t="shared" si="19"/>
        <v>3259.2008700000001</v>
      </c>
      <c r="K426" s="11"/>
      <c r="M426" s="15"/>
    </row>
    <row r="427" spans="1:13" outlineLevel="2">
      <c r="A427" s="11">
        <f t="shared" si="22"/>
        <v>423</v>
      </c>
      <c r="B427" s="11" t="s">
        <v>602</v>
      </c>
      <c r="C427" s="17" t="s">
        <v>835</v>
      </c>
      <c r="D427" s="12" t="s">
        <v>836</v>
      </c>
      <c r="E427" s="13">
        <v>340932.16</v>
      </c>
      <c r="F427" s="13">
        <v>0</v>
      </c>
      <c r="G427" s="13">
        <f t="shared" si="23"/>
        <v>-108075.49471999999</v>
      </c>
      <c r="I427" s="14">
        <f t="shared" si="19"/>
        <v>232856.66527999999</v>
      </c>
      <c r="K427" s="11"/>
      <c r="M427" s="15"/>
    </row>
    <row r="428" spans="1:13" outlineLevel="2">
      <c r="A428" s="11">
        <f t="shared" si="22"/>
        <v>424</v>
      </c>
      <c r="B428" s="11" t="s">
        <v>602</v>
      </c>
      <c r="C428" s="17" t="s">
        <v>837</v>
      </c>
      <c r="D428" s="12" t="s">
        <v>838</v>
      </c>
      <c r="E428" s="13">
        <v>161748.41</v>
      </c>
      <c r="F428" s="13">
        <v>0</v>
      </c>
      <c r="G428" s="13">
        <f t="shared" si="23"/>
        <v>-51274.245970000004</v>
      </c>
      <c r="I428" s="14">
        <f t="shared" si="19"/>
        <v>110474.16403</v>
      </c>
      <c r="K428" s="11"/>
      <c r="M428" s="15"/>
    </row>
    <row r="429" spans="1:13" outlineLevel="2">
      <c r="A429" s="11">
        <f t="shared" si="22"/>
        <v>425</v>
      </c>
      <c r="B429" s="11" t="s">
        <v>602</v>
      </c>
      <c r="C429" s="17" t="s">
        <v>839</v>
      </c>
      <c r="D429" s="12" t="s">
        <v>840</v>
      </c>
      <c r="E429" s="13">
        <v>166315.1</v>
      </c>
      <c r="F429" s="13">
        <v>0</v>
      </c>
      <c r="G429" s="13">
        <f t="shared" si="23"/>
        <v>-52721.886700000003</v>
      </c>
      <c r="I429" s="14">
        <f t="shared" si="19"/>
        <v>113593.2133</v>
      </c>
      <c r="K429" s="11"/>
      <c r="M429" s="15"/>
    </row>
    <row r="430" spans="1:13" outlineLevel="2">
      <c r="A430" s="11">
        <f t="shared" si="22"/>
        <v>426</v>
      </c>
      <c r="B430" s="11" t="s">
        <v>602</v>
      </c>
      <c r="C430" s="17" t="s">
        <v>841</v>
      </c>
      <c r="D430" s="12" t="s">
        <v>842</v>
      </c>
      <c r="E430" s="13">
        <v>267563.39</v>
      </c>
      <c r="F430" s="13">
        <v>0</v>
      </c>
      <c r="G430" s="13">
        <f t="shared" si="23"/>
        <v>-84817.594630000007</v>
      </c>
      <c r="I430" s="14">
        <f t="shared" si="19"/>
        <v>182745.79537000001</v>
      </c>
      <c r="K430" s="11"/>
      <c r="M430" s="15"/>
    </row>
    <row r="431" spans="1:13" outlineLevel="2">
      <c r="A431" s="11">
        <f t="shared" si="22"/>
        <v>427</v>
      </c>
      <c r="B431" s="11" t="s">
        <v>602</v>
      </c>
      <c r="C431" s="17" t="s">
        <v>843</v>
      </c>
      <c r="D431" s="12" t="s">
        <v>844</v>
      </c>
      <c r="E431" s="13">
        <v>226933.71</v>
      </c>
      <c r="F431" s="13">
        <v>0</v>
      </c>
      <c r="G431" s="13">
        <f>-(E431*$J$308)</f>
        <v>-71937.986069999999</v>
      </c>
      <c r="I431" s="14">
        <f t="shared" si="19"/>
        <v>154995.72392999998</v>
      </c>
      <c r="K431" s="11"/>
      <c r="M431" s="15"/>
    </row>
    <row r="432" spans="1:13" outlineLevel="2">
      <c r="A432" s="11">
        <f t="shared" si="22"/>
        <v>428</v>
      </c>
      <c r="B432" s="11" t="s">
        <v>602</v>
      </c>
      <c r="C432" s="17" t="s">
        <v>845</v>
      </c>
      <c r="D432" s="12" t="s">
        <v>846</v>
      </c>
      <c r="E432" s="13">
        <v>172921.71</v>
      </c>
      <c r="F432" s="13">
        <v>0</v>
      </c>
      <c r="G432" s="13">
        <f>-(E432*$J$308)</f>
        <v>-54816.182069999995</v>
      </c>
      <c r="I432" s="14">
        <f t="shared" si="19"/>
        <v>118105.52793</v>
      </c>
      <c r="K432" s="11"/>
      <c r="M432" s="15"/>
    </row>
    <row r="433" spans="1:13" outlineLevel="2">
      <c r="A433" s="11">
        <f t="shared" si="22"/>
        <v>429</v>
      </c>
      <c r="B433" s="11" t="s">
        <v>602</v>
      </c>
      <c r="C433" s="17" t="s">
        <v>847</v>
      </c>
      <c r="D433" s="12" t="s">
        <v>848</v>
      </c>
      <c r="E433" s="13">
        <v>396722.21</v>
      </c>
      <c r="F433" s="13">
        <v>0</v>
      </c>
      <c r="G433" s="13">
        <f t="shared" ref="G433:G443" si="24">-(E433*$J$308)</f>
        <v>-125760.94057000001</v>
      </c>
      <c r="I433" s="14">
        <f t="shared" si="19"/>
        <v>270961.26942999999</v>
      </c>
      <c r="K433" s="11"/>
      <c r="M433" s="15"/>
    </row>
    <row r="434" spans="1:13" outlineLevel="2">
      <c r="A434" s="11">
        <f t="shared" si="22"/>
        <v>430</v>
      </c>
      <c r="B434" s="11" t="s">
        <v>602</v>
      </c>
      <c r="C434" s="17" t="s">
        <v>849</v>
      </c>
      <c r="D434" s="12" t="s">
        <v>850</v>
      </c>
      <c r="E434" s="13">
        <v>1164374.43</v>
      </c>
      <c r="F434" s="13">
        <v>0</v>
      </c>
      <c r="G434" s="13">
        <f t="shared" si="24"/>
        <v>-369106.69430999999</v>
      </c>
      <c r="I434" s="14">
        <f t="shared" si="19"/>
        <v>795267.73569</v>
      </c>
      <c r="K434" s="11"/>
      <c r="M434" s="15"/>
    </row>
    <row r="435" spans="1:13" outlineLevel="2">
      <c r="A435" s="11">
        <f t="shared" si="22"/>
        <v>431</v>
      </c>
      <c r="B435" s="11" t="s">
        <v>602</v>
      </c>
      <c r="C435" s="17" t="s">
        <v>851</v>
      </c>
      <c r="D435" s="12" t="s">
        <v>852</v>
      </c>
      <c r="E435" s="13">
        <v>1237</v>
      </c>
      <c r="F435" s="13">
        <v>0</v>
      </c>
      <c r="G435" s="13">
        <f t="shared" si="24"/>
        <v>-392.12900000000002</v>
      </c>
      <c r="I435" s="14">
        <f t="shared" si="19"/>
        <v>844.87099999999998</v>
      </c>
      <c r="K435" s="11"/>
      <c r="M435" s="15"/>
    </row>
    <row r="436" spans="1:13" outlineLevel="2">
      <c r="A436" s="11">
        <f t="shared" si="22"/>
        <v>432</v>
      </c>
      <c r="B436" s="11" t="s">
        <v>602</v>
      </c>
      <c r="C436" s="17" t="s">
        <v>853</v>
      </c>
      <c r="D436" s="12" t="s">
        <v>854</v>
      </c>
      <c r="E436" s="13">
        <v>87666.99</v>
      </c>
      <c r="F436" s="13">
        <v>0</v>
      </c>
      <c r="G436" s="13">
        <f t="shared" si="24"/>
        <v>-27790.435830000002</v>
      </c>
      <c r="I436" s="14">
        <f t="shared" si="19"/>
        <v>59876.554170000003</v>
      </c>
      <c r="K436" s="11"/>
      <c r="M436" s="15"/>
    </row>
    <row r="437" spans="1:13" outlineLevel="2">
      <c r="A437" s="11">
        <f t="shared" si="22"/>
        <v>433</v>
      </c>
      <c r="B437" s="11" t="s">
        <v>602</v>
      </c>
      <c r="C437" s="17" t="s">
        <v>855</v>
      </c>
      <c r="D437" s="12" t="s">
        <v>856</v>
      </c>
      <c r="E437" s="13">
        <v>1052565.6299999999</v>
      </c>
      <c r="F437" s="13">
        <v>0</v>
      </c>
      <c r="G437" s="13">
        <f t="shared" si="24"/>
        <v>-333663.30471</v>
      </c>
      <c r="I437" s="14">
        <f t="shared" si="19"/>
        <v>718902.32528999983</v>
      </c>
      <c r="K437" s="11"/>
      <c r="M437" s="15"/>
    </row>
    <row r="438" spans="1:13" outlineLevel="2">
      <c r="A438" s="11">
        <f t="shared" si="22"/>
        <v>434</v>
      </c>
      <c r="B438" s="11" t="s">
        <v>602</v>
      </c>
      <c r="C438" s="17" t="s">
        <v>857</v>
      </c>
      <c r="D438" s="12" t="s">
        <v>858</v>
      </c>
      <c r="E438" s="13">
        <v>427162.42</v>
      </c>
      <c r="F438" s="13">
        <v>0</v>
      </c>
      <c r="G438" s="13">
        <f t="shared" si="24"/>
        <v>-135410.48713999998</v>
      </c>
      <c r="I438" s="14">
        <f t="shared" ref="I438:I463" si="25">SUM(E438:G438)</f>
        <v>291751.93286</v>
      </c>
      <c r="K438" s="11"/>
      <c r="M438" s="15"/>
    </row>
    <row r="439" spans="1:13" outlineLevel="2">
      <c r="A439" s="11">
        <f t="shared" si="22"/>
        <v>435</v>
      </c>
      <c r="B439" s="11" t="s">
        <v>602</v>
      </c>
      <c r="C439" s="17" t="s">
        <v>859</v>
      </c>
      <c r="D439" s="12" t="s">
        <v>860</v>
      </c>
      <c r="E439" s="13">
        <v>330717.93</v>
      </c>
      <c r="F439" s="13">
        <v>0</v>
      </c>
      <c r="G439" s="13">
        <f t="shared" si="24"/>
        <v>-104837.58381</v>
      </c>
      <c r="I439" s="14">
        <f t="shared" si="25"/>
        <v>225880.34619000001</v>
      </c>
      <c r="J439" s="29"/>
      <c r="K439" s="11"/>
      <c r="M439" s="15"/>
    </row>
    <row r="440" spans="1:13" outlineLevel="2">
      <c r="A440" s="11">
        <f t="shared" si="22"/>
        <v>436</v>
      </c>
      <c r="B440" s="11" t="s">
        <v>602</v>
      </c>
      <c r="C440" s="17" t="s">
        <v>861</v>
      </c>
      <c r="D440" s="12" t="s">
        <v>862</v>
      </c>
      <c r="E440" s="13">
        <v>1366</v>
      </c>
      <c r="F440" s="13">
        <v>0</v>
      </c>
      <c r="G440" s="13">
        <f t="shared" si="24"/>
        <v>-433.02199999999999</v>
      </c>
      <c r="I440" s="14">
        <f t="shared" si="25"/>
        <v>932.97800000000007</v>
      </c>
      <c r="J440" s="29"/>
      <c r="K440" s="11"/>
      <c r="M440" s="15"/>
    </row>
    <row r="441" spans="1:13" outlineLevel="2">
      <c r="A441" s="11">
        <f t="shared" si="22"/>
        <v>437</v>
      </c>
      <c r="B441" s="11" t="s">
        <v>602</v>
      </c>
      <c r="C441" s="17" t="s">
        <v>863</v>
      </c>
      <c r="D441" s="12" t="s">
        <v>864</v>
      </c>
      <c r="E441" s="13">
        <v>532434.87</v>
      </c>
      <c r="F441" s="13">
        <v>0</v>
      </c>
      <c r="G441" s="13">
        <f t="shared" si="24"/>
        <v>-168781.85378999999</v>
      </c>
      <c r="I441" s="14">
        <f t="shared" si="25"/>
        <v>363653.01621000003</v>
      </c>
      <c r="J441" s="29"/>
      <c r="K441" s="11"/>
      <c r="M441" s="15"/>
    </row>
    <row r="442" spans="1:13" outlineLevel="2">
      <c r="A442" s="11">
        <f t="shared" si="22"/>
        <v>438</v>
      </c>
      <c r="B442" s="11" t="s">
        <v>602</v>
      </c>
      <c r="C442" s="17" t="s">
        <v>865</v>
      </c>
      <c r="D442" s="12" t="s">
        <v>866</v>
      </c>
      <c r="E442" s="13">
        <v>549514.41</v>
      </c>
      <c r="F442" s="13">
        <v>0</v>
      </c>
      <c r="G442" s="13">
        <f t="shared" si="24"/>
        <v>-174196.06797</v>
      </c>
      <c r="I442" s="14">
        <f t="shared" si="25"/>
        <v>375318.34203000006</v>
      </c>
      <c r="J442" s="29"/>
      <c r="K442" s="11"/>
      <c r="M442" s="15"/>
    </row>
    <row r="443" spans="1:13" outlineLevel="2">
      <c r="A443" s="11">
        <f t="shared" si="22"/>
        <v>439</v>
      </c>
      <c r="B443" s="11" t="s">
        <v>602</v>
      </c>
      <c r="C443" s="17" t="s">
        <v>867</v>
      </c>
      <c r="D443" s="12" t="s">
        <v>868</v>
      </c>
      <c r="E443" s="13">
        <v>295982.49</v>
      </c>
      <c r="F443" s="13">
        <v>0</v>
      </c>
      <c r="G443" s="13">
        <f t="shared" si="24"/>
        <v>-93826.449330000003</v>
      </c>
      <c r="I443" s="14">
        <f t="shared" si="25"/>
        <v>202156.04066999999</v>
      </c>
      <c r="J443" s="29"/>
      <c r="K443" s="11"/>
      <c r="M443" s="15"/>
    </row>
    <row r="444" spans="1:13" outlineLevel="2">
      <c r="A444" s="11">
        <f t="shared" si="22"/>
        <v>440</v>
      </c>
      <c r="B444" s="11" t="s">
        <v>602</v>
      </c>
      <c r="C444" s="17" t="s">
        <v>869</v>
      </c>
      <c r="D444" s="12" t="s">
        <v>870</v>
      </c>
      <c r="E444" s="13">
        <v>1853</v>
      </c>
      <c r="F444" s="13">
        <v>0</v>
      </c>
      <c r="G444" s="13">
        <f>-(E444*$J$308)</f>
        <v>-587.40099999999995</v>
      </c>
      <c r="I444" s="14">
        <f t="shared" si="25"/>
        <v>1265.5990000000002</v>
      </c>
      <c r="J444" s="29"/>
      <c r="K444" s="11"/>
      <c r="M444" s="15"/>
    </row>
    <row r="445" spans="1:13" outlineLevel="2">
      <c r="A445" s="11">
        <f t="shared" si="22"/>
        <v>441</v>
      </c>
      <c r="B445" s="11" t="s">
        <v>602</v>
      </c>
      <c r="C445" s="17" t="s">
        <v>871</v>
      </c>
      <c r="D445" s="12" t="s">
        <v>872</v>
      </c>
      <c r="E445" s="13">
        <v>50053.17</v>
      </c>
      <c r="F445" s="13">
        <v>0</v>
      </c>
      <c r="G445" s="13">
        <f t="shared" ref="G445:G463" si="26">-(E445*$J$308)</f>
        <v>-15866.854890000001</v>
      </c>
      <c r="I445" s="14">
        <f t="shared" si="25"/>
        <v>34186.315109999996</v>
      </c>
      <c r="J445" s="29"/>
      <c r="K445" s="11"/>
      <c r="M445" s="15"/>
    </row>
    <row r="446" spans="1:13" outlineLevel="2">
      <c r="A446" s="11">
        <f t="shared" si="22"/>
        <v>442</v>
      </c>
      <c r="B446" s="11" t="s">
        <v>602</v>
      </c>
      <c r="C446" s="17" t="s">
        <v>873</v>
      </c>
      <c r="D446" s="12" t="s">
        <v>874</v>
      </c>
      <c r="E446" s="13">
        <v>469050.13</v>
      </c>
      <c r="F446" s="13">
        <v>0</v>
      </c>
      <c r="G446" s="13">
        <f t="shared" si="26"/>
        <v>-148688.89121</v>
      </c>
      <c r="I446" s="14">
        <f t="shared" si="25"/>
        <v>320361.23878999997</v>
      </c>
      <c r="J446" s="29"/>
      <c r="K446" s="11"/>
      <c r="M446" s="15"/>
    </row>
    <row r="447" spans="1:13" outlineLevel="2">
      <c r="A447" s="11">
        <f t="shared" si="22"/>
        <v>443</v>
      </c>
      <c r="B447" s="11" t="s">
        <v>602</v>
      </c>
      <c r="C447" s="17" t="s">
        <v>875</v>
      </c>
      <c r="D447" s="12" t="s">
        <v>876</v>
      </c>
      <c r="E447" s="13">
        <v>459861.27</v>
      </c>
      <c r="F447" s="13">
        <v>0</v>
      </c>
      <c r="G447" s="13">
        <f t="shared" si="26"/>
        <v>-145776.02259000001</v>
      </c>
      <c r="I447" s="14">
        <f t="shared" si="25"/>
        <v>314085.24741000001</v>
      </c>
      <c r="J447" s="29"/>
      <c r="K447" s="11"/>
      <c r="M447" s="15"/>
    </row>
    <row r="448" spans="1:13" outlineLevel="2">
      <c r="A448" s="11">
        <f t="shared" si="22"/>
        <v>444</v>
      </c>
      <c r="B448" s="11" t="s">
        <v>602</v>
      </c>
      <c r="C448" s="17" t="s">
        <v>877</v>
      </c>
      <c r="D448" s="12" t="s">
        <v>878</v>
      </c>
      <c r="E448" s="13">
        <v>8781.5400000000009</v>
      </c>
      <c r="F448" s="13">
        <v>0</v>
      </c>
      <c r="G448" s="13">
        <f t="shared" si="26"/>
        <v>-2783.7481800000005</v>
      </c>
      <c r="I448" s="14">
        <f t="shared" si="25"/>
        <v>5997.7918200000004</v>
      </c>
      <c r="J448" s="29"/>
      <c r="K448" s="11"/>
      <c r="M448" s="15"/>
    </row>
    <row r="449" spans="1:13" outlineLevel="2">
      <c r="A449" s="11">
        <f t="shared" si="22"/>
        <v>445</v>
      </c>
      <c r="B449" s="11" t="s">
        <v>602</v>
      </c>
      <c r="C449" s="17" t="s">
        <v>879</v>
      </c>
      <c r="D449" s="12" t="s">
        <v>880</v>
      </c>
      <c r="E449" s="13">
        <v>106095.81</v>
      </c>
      <c r="F449" s="13">
        <v>0</v>
      </c>
      <c r="G449" s="13">
        <f t="shared" si="26"/>
        <v>-33632.371769999998</v>
      </c>
      <c r="I449" s="14">
        <f t="shared" si="25"/>
        <v>72463.43823</v>
      </c>
      <c r="J449" s="29"/>
      <c r="K449" s="11"/>
      <c r="M449" s="15"/>
    </row>
    <row r="450" spans="1:13" outlineLevel="2">
      <c r="A450" s="11">
        <f t="shared" si="22"/>
        <v>446</v>
      </c>
      <c r="B450" s="11" t="s">
        <v>602</v>
      </c>
      <c r="C450" s="17" t="s">
        <v>881</v>
      </c>
      <c r="D450" s="12" t="s">
        <v>882</v>
      </c>
      <c r="E450" s="13">
        <v>216887.19</v>
      </c>
      <c r="F450" s="13">
        <v>0</v>
      </c>
      <c r="G450" s="13">
        <f t="shared" si="26"/>
        <v>-68753.239230000007</v>
      </c>
      <c r="I450" s="14">
        <f t="shared" si="25"/>
        <v>148133.95077</v>
      </c>
      <c r="J450" s="29"/>
      <c r="K450" s="11"/>
      <c r="M450" s="15"/>
    </row>
    <row r="451" spans="1:13" outlineLevel="2">
      <c r="A451" s="11">
        <f t="shared" si="22"/>
        <v>447</v>
      </c>
      <c r="B451" s="11" t="s">
        <v>602</v>
      </c>
      <c r="C451" s="17" t="s">
        <v>883</v>
      </c>
      <c r="D451" s="12" t="s">
        <v>884</v>
      </c>
      <c r="E451" s="13">
        <v>588189.96</v>
      </c>
      <c r="F451" s="13">
        <v>0</v>
      </c>
      <c r="G451" s="13">
        <f t="shared" si="26"/>
        <v>-186456.21732</v>
      </c>
      <c r="I451" s="14">
        <f t="shared" si="25"/>
        <v>401733.74267999997</v>
      </c>
      <c r="J451" s="29"/>
      <c r="K451" s="11"/>
      <c r="M451" s="15"/>
    </row>
    <row r="452" spans="1:13" outlineLevel="2">
      <c r="A452" s="11">
        <f t="shared" si="22"/>
        <v>448</v>
      </c>
      <c r="B452" s="11" t="s">
        <v>602</v>
      </c>
      <c r="C452" s="17" t="s">
        <v>885</v>
      </c>
      <c r="D452" s="12" t="s">
        <v>886</v>
      </c>
      <c r="E452" s="13">
        <v>1239694.3500000001</v>
      </c>
      <c r="F452" s="13">
        <v>0</v>
      </c>
      <c r="G452" s="13">
        <f t="shared" si="26"/>
        <v>-392983.10895000002</v>
      </c>
      <c r="I452" s="14">
        <f t="shared" si="25"/>
        <v>846711.24105000007</v>
      </c>
      <c r="J452" s="29"/>
      <c r="K452" s="11"/>
      <c r="M452" s="15"/>
    </row>
    <row r="453" spans="1:13" outlineLevel="2">
      <c r="A453" s="11">
        <f t="shared" si="22"/>
        <v>449</v>
      </c>
      <c r="B453" s="11" t="s">
        <v>602</v>
      </c>
      <c r="C453" s="17" t="s">
        <v>887</v>
      </c>
      <c r="D453" s="12" t="s">
        <v>888</v>
      </c>
      <c r="E453" s="13">
        <v>145955.72</v>
      </c>
      <c r="F453" s="13">
        <v>0</v>
      </c>
      <c r="G453" s="13">
        <f t="shared" si="26"/>
        <v>-46267.963239999997</v>
      </c>
      <c r="I453" s="14">
        <f t="shared" si="25"/>
        <v>99687.756760000004</v>
      </c>
      <c r="J453" s="29"/>
      <c r="K453" s="11"/>
      <c r="M453" s="15"/>
    </row>
    <row r="454" spans="1:13" outlineLevel="2">
      <c r="A454" s="11">
        <f t="shared" si="22"/>
        <v>450</v>
      </c>
      <c r="B454" s="11" t="s">
        <v>602</v>
      </c>
      <c r="C454" s="17" t="s">
        <v>889</v>
      </c>
      <c r="D454" s="12" t="s">
        <v>890</v>
      </c>
      <c r="E454" s="13">
        <v>98596.95</v>
      </c>
      <c r="F454" s="13">
        <v>0</v>
      </c>
      <c r="G454" s="13">
        <f t="shared" si="26"/>
        <v>-31255.23315</v>
      </c>
      <c r="I454" s="14">
        <f t="shared" si="25"/>
        <v>67341.716849999997</v>
      </c>
      <c r="J454" s="29"/>
      <c r="K454" s="11"/>
      <c r="M454" s="15"/>
    </row>
    <row r="455" spans="1:13" outlineLevel="2">
      <c r="A455" s="11">
        <f t="shared" si="22"/>
        <v>451</v>
      </c>
      <c r="B455" s="11" t="s">
        <v>602</v>
      </c>
      <c r="C455" s="17" t="s">
        <v>891</v>
      </c>
      <c r="D455" s="12" t="s">
        <v>892</v>
      </c>
      <c r="E455" s="13">
        <v>479342.66</v>
      </c>
      <c r="F455" s="13">
        <v>0</v>
      </c>
      <c r="G455" s="13">
        <f t="shared" si="26"/>
        <v>-151951.62321999998</v>
      </c>
      <c r="I455" s="14">
        <f t="shared" si="25"/>
        <v>327391.03677999997</v>
      </c>
      <c r="J455" s="29"/>
      <c r="K455" s="11"/>
      <c r="M455" s="15"/>
    </row>
    <row r="456" spans="1:13" outlineLevel="2">
      <c r="A456" s="11">
        <f t="shared" si="22"/>
        <v>452</v>
      </c>
      <c r="B456" s="11" t="s">
        <v>602</v>
      </c>
      <c r="C456" s="17" t="s">
        <v>893</v>
      </c>
      <c r="D456" s="12" t="s">
        <v>894</v>
      </c>
      <c r="E456" s="13">
        <v>721884.45</v>
      </c>
      <c r="F456" s="13">
        <v>0</v>
      </c>
      <c r="G456" s="13">
        <f t="shared" si="26"/>
        <v>-228837.37065</v>
      </c>
      <c r="I456" s="14">
        <f t="shared" si="25"/>
        <v>493047.07934999996</v>
      </c>
      <c r="J456" s="29"/>
      <c r="K456" s="11"/>
      <c r="M456" s="15"/>
    </row>
    <row r="457" spans="1:13" outlineLevel="2">
      <c r="A457" s="11">
        <f t="shared" si="22"/>
        <v>453</v>
      </c>
      <c r="B457" s="11" t="s">
        <v>602</v>
      </c>
      <c r="C457" s="17" t="s">
        <v>895</v>
      </c>
      <c r="D457" s="12" t="s">
        <v>896</v>
      </c>
      <c r="E457" s="13">
        <v>17781.11</v>
      </c>
      <c r="F457" s="13">
        <v>0</v>
      </c>
      <c r="G457" s="13">
        <f t="shared" si="26"/>
        <v>-5636.6118700000006</v>
      </c>
      <c r="I457" s="14">
        <f t="shared" si="25"/>
        <v>12144.49813</v>
      </c>
      <c r="K457" s="11"/>
      <c r="M457" s="15"/>
    </row>
    <row r="458" spans="1:13" outlineLevel="2">
      <c r="A458" s="11">
        <f t="shared" si="22"/>
        <v>454</v>
      </c>
      <c r="B458" s="11" t="s">
        <v>602</v>
      </c>
      <c r="C458" s="17" t="s">
        <v>897</v>
      </c>
      <c r="D458" s="12" t="s">
        <v>898</v>
      </c>
      <c r="E458" s="13">
        <v>682468.71</v>
      </c>
      <c r="F458" s="13">
        <v>0</v>
      </c>
      <c r="G458" s="13">
        <f t="shared" si="26"/>
        <v>-216342.58106999999</v>
      </c>
      <c r="I458" s="14">
        <f t="shared" si="25"/>
        <v>466126.12893000001</v>
      </c>
      <c r="K458" s="11"/>
      <c r="M458" s="15"/>
    </row>
    <row r="459" spans="1:13" outlineLevel="2">
      <c r="A459" s="11">
        <f t="shared" si="22"/>
        <v>455</v>
      </c>
      <c r="B459" s="11" t="s">
        <v>602</v>
      </c>
      <c r="C459" s="17" t="s">
        <v>899</v>
      </c>
      <c r="D459" s="12" t="s">
        <v>900</v>
      </c>
      <c r="E459" s="13">
        <v>19002.97</v>
      </c>
      <c r="F459" s="13">
        <v>0</v>
      </c>
      <c r="G459" s="13">
        <f t="shared" si="26"/>
        <v>-6023.9414900000002</v>
      </c>
      <c r="I459" s="14">
        <f t="shared" si="25"/>
        <v>12979.02851</v>
      </c>
      <c r="K459" s="11"/>
      <c r="M459" s="15"/>
    </row>
    <row r="460" spans="1:13" outlineLevel="2">
      <c r="A460" s="11">
        <f t="shared" si="22"/>
        <v>456</v>
      </c>
      <c r="B460" s="11" t="s">
        <v>602</v>
      </c>
      <c r="C460" s="17" t="s">
        <v>901</v>
      </c>
      <c r="D460" s="12" t="s">
        <v>902</v>
      </c>
      <c r="E460" s="13">
        <v>91987.25</v>
      </c>
      <c r="F460" s="13">
        <v>0</v>
      </c>
      <c r="G460" s="13">
        <f>-(E460*$J$308)</f>
        <v>-29159.95825</v>
      </c>
      <c r="I460" s="14">
        <f t="shared" si="25"/>
        <v>62827.291750000004</v>
      </c>
      <c r="J460" s="14"/>
      <c r="K460" s="11"/>
      <c r="L460" s="14"/>
      <c r="M460" s="14"/>
    </row>
    <row r="461" spans="1:13" outlineLevel="2">
      <c r="A461" s="11">
        <f t="shared" si="22"/>
        <v>457</v>
      </c>
      <c r="B461" s="11" t="s">
        <v>602</v>
      </c>
      <c r="C461" s="17" t="s">
        <v>2318</v>
      </c>
      <c r="D461" s="12" t="s">
        <v>903</v>
      </c>
      <c r="E461" s="13">
        <v>165594.23999999999</v>
      </c>
      <c r="F461" s="13">
        <v>0</v>
      </c>
      <c r="G461" s="13">
        <f t="shared" si="26"/>
        <v>-52493.374079999994</v>
      </c>
      <c r="I461" s="14">
        <f t="shared" si="25"/>
        <v>113100.86592</v>
      </c>
      <c r="J461" s="12"/>
      <c r="K461" s="11"/>
      <c r="M461" s="15"/>
    </row>
    <row r="462" spans="1:13" outlineLevel="2">
      <c r="A462" s="11">
        <f t="shared" si="22"/>
        <v>458</v>
      </c>
      <c r="B462" s="11" t="s">
        <v>602</v>
      </c>
      <c r="C462" s="17" t="s">
        <v>904</v>
      </c>
      <c r="D462" s="12" t="s">
        <v>905</v>
      </c>
      <c r="E462" s="13">
        <v>28279.89</v>
      </c>
      <c r="F462" s="13">
        <v>0</v>
      </c>
      <c r="G462" s="13">
        <f t="shared" si="26"/>
        <v>-8964.7251300000007</v>
      </c>
      <c r="I462" s="14">
        <f t="shared" si="25"/>
        <v>19315.164870000001</v>
      </c>
      <c r="J462" s="12"/>
      <c r="K462" s="11"/>
    </row>
    <row r="463" spans="1:13" outlineLevel="2">
      <c r="A463" s="11">
        <f t="shared" si="22"/>
        <v>459</v>
      </c>
      <c r="B463" s="11" t="s">
        <v>602</v>
      </c>
      <c r="C463" s="12" t="s">
        <v>2319</v>
      </c>
      <c r="D463" s="12" t="s">
        <v>906</v>
      </c>
      <c r="E463" s="13">
        <f>72507.65+150859.01</f>
        <v>223366.66</v>
      </c>
      <c r="F463" s="13">
        <v>0</v>
      </c>
      <c r="G463" s="13">
        <f t="shared" si="26"/>
        <v>-70807.231220000001</v>
      </c>
      <c r="I463" s="14">
        <f t="shared" si="25"/>
        <v>152559.42878000002</v>
      </c>
      <c r="J463" s="12"/>
      <c r="K463" s="11"/>
      <c r="M463" s="15"/>
    </row>
    <row r="464" spans="1:13" s="6" customFormat="1" ht="13.5" outlineLevel="1" thickBot="1">
      <c r="A464" s="11">
        <f t="shared" ref="A464:A503" si="27">A463+1</f>
        <v>460</v>
      </c>
      <c r="B464" s="19" t="s">
        <v>907</v>
      </c>
      <c r="C464" s="21"/>
      <c r="D464" s="21" t="s">
        <v>908</v>
      </c>
      <c r="E464" s="22">
        <f>SUBTOTAL(9,E305:E463)</f>
        <v>42029019.200000003</v>
      </c>
      <c r="F464" s="22">
        <f>SUBTOTAL(9,F305:F463)</f>
        <v>0</v>
      </c>
      <c r="G464" s="22">
        <f>SUBTOTAL(9,G305:G463)</f>
        <v>-13409308.331200005</v>
      </c>
      <c r="H464" s="22"/>
      <c r="I464" s="23">
        <f>SUBTOTAL(9,I305:I463)</f>
        <v>28619710.868800007</v>
      </c>
      <c r="K464" s="3"/>
      <c r="L464" s="3"/>
      <c r="M464" s="8"/>
    </row>
    <row r="465" spans="1:13" ht="13.5" outlineLevel="2" thickTop="1">
      <c r="A465" s="11">
        <f t="shared" si="27"/>
        <v>461</v>
      </c>
      <c r="B465" s="11" t="s">
        <v>909</v>
      </c>
      <c r="C465" s="17" t="s">
        <v>910</v>
      </c>
      <c r="D465" s="12" t="s">
        <v>911</v>
      </c>
      <c r="E465" s="13">
        <v>19890751.77</v>
      </c>
      <c r="F465" s="13">
        <v>0</v>
      </c>
      <c r="G465" s="13">
        <v>0</v>
      </c>
      <c r="I465" s="14">
        <f>SUM(E465:G465)</f>
        <v>19890751.77</v>
      </c>
      <c r="J465" s="12"/>
      <c r="K465" s="11"/>
      <c r="M465" s="15"/>
    </row>
    <row r="466" spans="1:13" outlineLevel="2">
      <c r="A466" s="11">
        <f t="shared" si="27"/>
        <v>462</v>
      </c>
      <c r="B466" s="11" t="s">
        <v>909</v>
      </c>
      <c r="C466" s="679" t="s">
        <v>910</v>
      </c>
      <c r="D466" s="12" t="s">
        <v>912</v>
      </c>
      <c r="E466" s="13">
        <v>3680368.76</v>
      </c>
      <c r="F466" s="13">
        <v>0</v>
      </c>
      <c r="G466" s="13">
        <v>0</v>
      </c>
      <c r="I466" s="14">
        <f>SUM(E466:G466)</f>
        <v>3680368.76</v>
      </c>
      <c r="J466" s="12"/>
      <c r="K466" s="11"/>
      <c r="M466" s="15"/>
    </row>
    <row r="467" spans="1:13" s="6" customFormat="1" ht="13.5" outlineLevel="1" thickBot="1">
      <c r="A467" s="11">
        <f t="shared" si="27"/>
        <v>463</v>
      </c>
      <c r="B467" s="19" t="s">
        <v>913</v>
      </c>
      <c r="C467" s="30"/>
      <c r="D467" s="21" t="s">
        <v>914</v>
      </c>
      <c r="E467" s="22">
        <f>SUBTOTAL(9,E465:E466)</f>
        <v>23571120.530000001</v>
      </c>
      <c r="F467" s="22">
        <f>SUBTOTAL(9,F465:F466)</f>
        <v>0</v>
      </c>
      <c r="G467" s="22">
        <f>SUBTOTAL(9,G465:G466)</f>
        <v>0</v>
      </c>
      <c r="H467" s="22"/>
      <c r="I467" s="23">
        <f>SUBTOTAL(9,I465:I466)</f>
        <v>23571120.530000001</v>
      </c>
      <c r="K467" s="3"/>
      <c r="L467" s="3"/>
      <c r="M467" s="8"/>
    </row>
    <row r="468" spans="1:13" ht="13.5" outlineLevel="2" thickTop="1">
      <c r="A468" s="11">
        <f t="shared" si="27"/>
        <v>464</v>
      </c>
      <c r="B468" s="11" t="s">
        <v>915</v>
      </c>
      <c r="C468" s="17" t="s">
        <v>916</v>
      </c>
      <c r="D468" s="12" t="s">
        <v>917</v>
      </c>
      <c r="E468" s="13">
        <v>650000.85</v>
      </c>
      <c r="F468" s="13">
        <v>-650001</v>
      </c>
      <c r="G468" s="13">
        <v>0</v>
      </c>
      <c r="I468" s="14">
        <f t="shared" ref="I468:I484" si="28">SUM(E468:G468)</f>
        <v>-0.15000000002328306</v>
      </c>
      <c r="J468" s="859"/>
      <c r="K468" s="11"/>
      <c r="M468" s="15"/>
    </row>
    <row r="469" spans="1:13" outlineLevel="2">
      <c r="A469" s="11">
        <f t="shared" si="27"/>
        <v>465</v>
      </c>
      <c r="B469" s="11" t="s">
        <v>915</v>
      </c>
      <c r="C469" s="17" t="s">
        <v>918</v>
      </c>
      <c r="D469" s="12" t="s">
        <v>919</v>
      </c>
      <c r="E469" s="13">
        <v>184827.19</v>
      </c>
      <c r="F469" s="13">
        <v>-184827</v>
      </c>
      <c r="G469" s="13">
        <v>0</v>
      </c>
      <c r="I469" s="14">
        <f t="shared" si="28"/>
        <v>0.19000000000232831</v>
      </c>
      <c r="J469" s="860"/>
      <c r="K469" s="11"/>
      <c r="M469" s="15"/>
    </row>
    <row r="470" spans="1:13" outlineLevel="2">
      <c r="A470" s="11">
        <f t="shared" si="27"/>
        <v>466</v>
      </c>
      <c r="B470" s="11" t="s">
        <v>915</v>
      </c>
      <c r="C470" s="17" t="s">
        <v>920</v>
      </c>
      <c r="D470" s="12" t="s">
        <v>921</v>
      </c>
      <c r="E470" s="13">
        <v>223594.2</v>
      </c>
      <c r="F470" s="13">
        <v>-223594</v>
      </c>
      <c r="G470" s="13">
        <v>0</v>
      </c>
      <c r="I470" s="14">
        <f t="shared" si="28"/>
        <v>0.20000000001164153</v>
      </c>
      <c r="J470" s="860"/>
      <c r="K470" s="11"/>
      <c r="M470" s="15"/>
    </row>
    <row r="471" spans="1:13" outlineLevel="2">
      <c r="A471" s="11">
        <f t="shared" si="27"/>
        <v>467</v>
      </c>
      <c r="B471" s="11" t="s">
        <v>915</v>
      </c>
      <c r="C471" s="17" t="s">
        <v>922</v>
      </c>
      <c r="D471" s="12" t="s">
        <v>923</v>
      </c>
      <c r="E471" s="13">
        <v>171256.71</v>
      </c>
      <c r="F471" s="13">
        <v>-171257</v>
      </c>
      <c r="G471" s="13">
        <v>0</v>
      </c>
      <c r="I471" s="14">
        <f t="shared" si="28"/>
        <v>-0.29000000000814907</v>
      </c>
      <c r="K471" s="11"/>
      <c r="M471" s="15"/>
    </row>
    <row r="472" spans="1:13" outlineLevel="2">
      <c r="A472" s="11">
        <f t="shared" si="27"/>
        <v>468</v>
      </c>
      <c r="B472" s="11" t="s">
        <v>915</v>
      </c>
      <c r="C472" s="17" t="s">
        <v>924</v>
      </c>
      <c r="D472" s="12" t="s">
        <v>925</v>
      </c>
      <c r="E472" s="13">
        <v>25505.599999999999</v>
      </c>
      <c r="F472" s="13">
        <v>-25506</v>
      </c>
      <c r="G472" s="13">
        <v>0</v>
      </c>
      <c r="I472" s="14">
        <f t="shared" si="28"/>
        <v>-0.40000000000145519</v>
      </c>
      <c r="K472" s="11"/>
      <c r="M472" s="15"/>
    </row>
    <row r="473" spans="1:13" outlineLevel="2">
      <c r="A473" s="11">
        <f t="shared" si="27"/>
        <v>469</v>
      </c>
      <c r="B473" s="11" t="s">
        <v>915</v>
      </c>
      <c r="C473" s="17" t="s">
        <v>926</v>
      </c>
      <c r="D473" s="12" t="s">
        <v>927</v>
      </c>
      <c r="E473" s="13">
        <v>297423</v>
      </c>
      <c r="F473" s="13">
        <v>-297423</v>
      </c>
      <c r="G473" s="13">
        <v>0</v>
      </c>
      <c r="I473" s="14">
        <f t="shared" si="28"/>
        <v>0</v>
      </c>
      <c r="K473" s="11"/>
      <c r="M473" s="15"/>
    </row>
    <row r="474" spans="1:13" outlineLevel="2">
      <c r="A474" s="11">
        <f t="shared" si="27"/>
        <v>470</v>
      </c>
      <c r="B474" s="11" t="s">
        <v>915</v>
      </c>
      <c r="C474" s="17" t="s">
        <v>928</v>
      </c>
      <c r="D474" s="12" t="s">
        <v>929</v>
      </c>
      <c r="E474" s="13">
        <v>253597.44</v>
      </c>
      <c r="F474" s="13">
        <v>-253597</v>
      </c>
      <c r="G474" s="13">
        <v>0</v>
      </c>
      <c r="I474" s="14">
        <f t="shared" si="28"/>
        <v>0.44000000000232831</v>
      </c>
      <c r="K474" s="11"/>
      <c r="M474" s="15"/>
    </row>
    <row r="475" spans="1:13" outlineLevel="2">
      <c r="A475" s="11">
        <f t="shared" si="27"/>
        <v>471</v>
      </c>
      <c r="B475" s="11" t="s">
        <v>915</v>
      </c>
      <c r="C475" s="17" t="s">
        <v>930</v>
      </c>
      <c r="D475" s="12" t="s">
        <v>931</v>
      </c>
      <c r="E475" s="13">
        <v>1079091.51</v>
      </c>
      <c r="F475" s="13">
        <v>-1079092</v>
      </c>
      <c r="G475" s="13">
        <v>0</v>
      </c>
      <c r="I475" s="14">
        <f t="shared" si="28"/>
        <v>-0.48999999999068677</v>
      </c>
      <c r="K475" s="11"/>
      <c r="M475" s="15"/>
    </row>
    <row r="476" spans="1:13" outlineLevel="2">
      <c r="A476" s="11">
        <f t="shared" si="27"/>
        <v>472</v>
      </c>
      <c r="B476" s="11" t="s">
        <v>915</v>
      </c>
      <c r="C476" s="17" t="s">
        <v>932</v>
      </c>
      <c r="D476" s="12" t="s">
        <v>933</v>
      </c>
      <c r="E476" s="13">
        <v>425706.26</v>
      </c>
      <c r="F476" s="13">
        <v>-425706</v>
      </c>
      <c r="G476" s="13">
        <v>0</v>
      </c>
      <c r="I476" s="14">
        <f t="shared" si="28"/>
        <v>0.26000000000931323</v>
      </c>
      <c r="K476" s="11"/>
      <c r="M476" s="15"/>
    </row>
    <row r="477" spans="1:13" outlineLevel="2">
      <c r="A477" s="11">
        <f t="shared" si="27"/>
        <v>473</v>
      </c>
      <c r="B477" s="11" t="s">
        <v>915</v>
      </c>
      <c r="C477" s="17" t="s">
        <v>934</v>
      </c>
      <c r="D477" s="12" t="s">
        <v>935</v>
      </c>
      <c r="E477" s="13">
        <v>108040.31</v>
      </c>
      <c r="F477" s="13">
        <v>-108040</v>
      </c>
      <c r="G477" s="13">
        <v>0</v>
      </c>
      <c r="I477" s="14">
        <f t="shared" si="28"/>
        <v>0.30999999999767169</v>
      </c>
      <c r="K477" s="11"/>
      <c r="M477" s="15"/>
    </row>
    <row r="478" spans="1:13" outlineLevel="2">
      <c r="A478" s="11">
        <f t="shared" si="27"/>
        <v>474</v>
      </c>
      <c r="B478" s="11" t="s">
        <v>915</v>
      </c>
      <c r="C478" s="17" t="s">
        <v>936</v>
      </c>
      <c r="D478" s="12" t="s">
        <v>937</v>
      </c>
      <c r="E478" s="13">
        <v>6494</v>
      </c>
      <c r="F478" s="13">
        <v>-6494</v>
      </c>
      <c r="G478" s="13">
        <v>0</v>
      </c>
      <c r="I478" s="14">
        <f t="shared" si="28"/>
        <v>0</v>
      </c>
      <c r="K478" s="11"/>
      <c r="M478" s="15"/>
    </row>
    <row r="479" spans="1:13" outlineLevel="2">
      <c r="A479" s="11">
        <f t="shared" si="27"/>
        <v>475</v>
      </c>
      <c r="B479" s="11" t="s">
        <v>915</v>
      </c>
      <c r="C479" s="17" t="s">
        <v>938</v>
      </c>
      <c r="D479" s="12" t="s">
        <v>939</v>
      </c>
      <c r="E479" s="13">
        <v>102282.9</v>
      </c>
      <c r="F479" s="13">
        <v>-102283</v>
      </c>
      <c r="G479" s="13">
        <v>0</v>
      </c>
      <c r="I479" s="14">
        <f t="shared" si="28"/>
        <v>-0.10000000000582077</v>
      </c>
      <c r="K479" s="11"/>
      <c r="M479" s="15"/>
    </row>
    <row r="480" spans="1:13" outlineLevel="2">
      <c r="A480" s="11">
        <f t="shared" si="27"/>
        <v>476</v>
      </c>
      <c r="B480" s="11" t="s">
        <v>915</v>
      </c>
      <c r="C480" s="17" t="s">
        <v>940</v>
      </c>
      <c r="D480" s="12" t="s">
        <v>941</v>
      </c>
      <c r="E480" s="13">
        <v>1237730.0900000001</v>
      </c>
      <c r="F480" s="13">
        <v>-1237730</v>
      </c>
      <c r="G480" s="13">
        <v>0</v>
      </c>
      <c r="I480" s="14">
        <f t="shared" si="28"/>
        <v>9.0000000083819032E-2</v>
      </c>
      <c r="K480" s="11"/>
      <c r="M480" s="15"/>
    </row>
    <row r="481" spans="1:13" outlineLevel="2">
      <c r="A481" s="11">
        <f t="shared" si="27"/>
        <v>477</v>
      </c>
      <c r="B481" s="11" t="s">
        <v>915</v>
      </c>
      <c r="C481" s="17" t="s">
        <v>942</v>
      </c>
      <c r="D481" s="12" t="s">
        <v>2300</v>
      </c>
      <c r="E481" s="13">
        <v>920941.25</v>
      </c>
      <c r="F481" s="13">
        <v>-920941</v>
      </c>
      <c r="G481" s="13">
        <v>0</v>
      </c>
      <c r="I481" s="14">
        <f t="shared" si="28"/>
        <v>0.25</v>
      </c>
      <c r="K481" s="11"/>
      <c r="M481" s="15"/>
    </row>
    <row r="482" spans="1:13" ht="12.75" customHeight="1" outlineLevel="2">
      <c r="A482" s="11">
        <f t="shared" si="27"/>
        <v>478</v>
      </c>
      <c r="B482" s="11" t="s">
        <v>915</v>
      </c>
      <c r="C482" s="17" t="s">
        <v>943</v>
      </c>
      <c r="D482" s="12" t="s">
        <v>2301</v>
      </c>
      <c r="E482" s="13">
        <v>474403.84000000003</v>
      </c>
      <c r="F482" s="13">
        <v>-474404</v>
      </c>
      <c r="G482" s="13">
        <v>0</v>
      </c>
      <c r="I482" s="14">
        <f t="shared" si="28"/>
        <v>-0.15999999997438863</v>
      </c>
      <c r="J482" s="12"/>
      <c r="K482" s="11"/>
      <c r="M482" s="15"/>
    </row>
    <row r="483" spans="1:13" outlineLevel="2">
      <c r="A483" s="11">
        <f t="shared" si="27"/>
        <v>479</v>
      </c>
      <c r="B483" s="11" t="s">
        <v>915</v>
      </c>
      <c r="C483" s="17" t="s">
        <v>944</v>
      </c>
      <c r="D483" s="12" t="s">
        <v>945</v>
      </c>
      <c r="E483" s="13">
        <v>318567.84999999998</v>
      </c>
      <c r="F483" s="13">
        <v>-318568</v>
      </c>
      <c r="G483" s="13">
        <v>0</v>
      </c>
      <c r="I483" s="14">
        <f t="shared" si="28"/>
        <v>-0.15000000002328306</v>
      </c>
      <c r="J483" s="18"/>
      <c r="K483" s="11"/>
      <c r="M483" s="15"/>
    </row>
    <row r="484" spans="1:13" outlineLevel="2">
      <c r="A484" s="11">
        <f t="shared" si="27"/>
        <v>480</v>
      </c>
      <c r="B484" s="11" t="s">
        <v>915</v>
      </c>
      <c r="C484" s="12" t="s">
        <v>946</v>
      </c>
      <c r="D484" s="12" t="s">
        <v>947</v>
      </c>
      <c r="E484" s="13">
        <v>216162.68</v>
      </c>
      <c r="F484" s="13">
        <v>-216163</v>
      </c>
      <c r="G484" s="13">
        <v>0</v>
      </c>
      <c r="I484" s="14">
        <f t="shared" si="28"/>
        <v>-0.32000000000698492</v>
      </c>
      <c r="K484" s="11"/>
      <c r="M484" s="15"/>
    </row>
    <row r="485" spans="1:13" s="6" customFormat="1" ht="13.5" outlineLevel="1" thickBot="1">
      <c r="A485" s="11">
        <f t="shared" si="27"/>
        <v>481</v>
      </c>
      <c r="B485" s="19" t="s">
        <v>948</v>
      </c>
      <c r="C485" s="21"/>
      <c r="D485" s="21" t="s">
        <v>949</v>
      </c>
      <c r="E485" s="22">
        <f>SUBTOTAL(9,E468:E484)</f>
        <v>6695625.6799999988</v>
      </c>
      <c r="F485" s="22">
        <f>SUBTOTAL(9,F468:F484)</f>
        <v>-6695626</v>
      </c>
      <c r="G485" s="22">
        <f>SUBTOTAL(9,G468:G484)</f>
        <v>0</v>
      </c>
      <c r="H485" s="22"/>
      <c r="I485" s="23">
        <f>SUBTOTAL(9,I468:I484)</f>
        <v>-0.31999999992694939</v>
      </c>
      <c r="J485" s="24"/>
      <c r="K485" s="3"/>
      <c r="L485" s="3"/>
      <c r="M485" s="8"/>
    </row>
    <row r="486" spans="1:13" ht="13.5" customHeight="1" outlineLevel="2" thickTop="1">
      <c r="A486" s="11">
        <f t="shared" si="27"/>
        <v>482</v>
      </c>
      <c r="B486" s="11" t="s">
        <v>950</v>
      </c>
      <c r="C486" s="17" t="s">
        <v>2320</v>
      </c>
      <c r="D486" s="1" t="s">
        <v>951</v>
      </c>
      <c r="E486" s="13">
        <v>287835</v>
      </c>
      <c r="F486" s="13">
        <v>0</v>
      </c>
      <c r="G486" s="13">
        <v>0</v>
      </c>
      <c r="I486" s="14">
        <f t="shared" ref="I486:I493" si="29">SUM(E486:G486)</f>
        <v>287835</v>
      </c>
      <c r="J486" s="861"/>
      <c r="K486" s="11"/>
      <c r="M486" s="15"/>
    </row>
    <row r="487" spans="1:13" s="11" customFormat="1" ht="13.5" customHeight="1" outlineLevel="2">
      <c r="A487" s="11">
        <f t="shared" si="27"/>
        <v>483</v>
      </c>
      <c r="B487" s="11" t="s">
        <v>950</v>
      </c>
      <c r="C487" s="526" t="s">
        <v>2321</v>
      </c>
      <c r="D487" s="12" t="s">
        <v>952</v>
      </c>
      <c r="E487" s="13">
        <v>11422173.960000001</v>
      </c>
      <c r="F487" s="13">
        <v>-8728156</v>
      </c>
      <c r="G487" s="13">
        <v>0</v>
      </c>
      <c r="H487" s="13"/>
      <c r="I487" s="14">
        <f t="shared" si="29"/>
        <v>2694017.9600000009</v>
      </c>
      <c r="J487" s="862"/>
      <c r="M487" s="15"/>
    </row>
    <row r="488" spans="1:13" s="11" customFormat="1" outlineLevel="2">
      <c r="A488" s="11">
        <f t="shared" si="27"/>
        <v>484</v>
      </c>
      <c r="B488" s="11" t="s">
        <v>950</v>
      </c>
      <c r="C488" s="526" t="s">
        <v>2322</v>
      </c>
      <c r="D488" s="12" t="s">
        <v>953</v>
      </c>
      <c r="E488" s="13">
        <v>2978205</v>
      </c>
      <c r="F488" s="13">
        <v>0</v>
      </c>
      <c r="G488" s="13">
        <v>0</v>
      </c>
      <c r="H488" s="13"/>
      <c r="I488" s="14">
        <f t="shared" si="29"/>
        <v>2978205</v>
      </c>
      <c r="J488" s="862"/>
      <c r="M488" s="15"/>
    </row>
    <row r="489" spans="1:13" s="11" customFormat="1" outlineLevel="2">
      <c r="A489" s="11">
        <f t="shared" si="27"/>
        <v>485</v>
      </c>
      <c r="B489" s="11" t="s">
        <v>950</v>
      </c>
      <c r="C489" s="526" t="s">
        <v>2323</v>
      </c>
      <c r="D489" s="12" t="s">
        <v>896</v>
      </c>
      <c r="E489" s="13">
        <v>237295.95</v>
      </c>
      <c r="F489" s="13"/>
      <c r="G489" s="13"/>
      <c r="H489" s="13"/>
      <c r="I489" s="14">
        <f t="shared" si="29"/>
        <v>237295.95</v>
      </c>
      <c r="J489" s="862"/>
      <c r="M489" s="15"/>
    </row>
    <row r="490" spans="1:13" s="11" customFormat="1" outlineLevel="2">
      <c r="A490" s="11">
        <f t="shared" si="27"/>
        <v>486</v>
      </c>
      <c r="B490" s="11" t="s">
        <v>950</v>
      </c>
      <c r="C490" s="526" t="s">
        <v>2324</v>
      </c>
      <c r="D490" s="12" t="s">
        <v>2309</v>
      </c>
      <c r="E490" s="13">
        <v>121494.9</v>
      </c>
      <c r="F490" s="13">
        <f>-(E490*0.75)</f>
        <v>-91121.174999999988</v>
      </c>
      <c r="G490" s="13"/>
      <c r="H490" s="13"/>
      <c r="I490" s="14">
        <f t="shared" si="29"/>
        <v>30373.725000000006</v>
      </c>
      <c r="J490" s="862"/>
      <c r="M490" s="15"/>
    </row>
    <row r="491" spans="1:13" s="11" customFormat="1" outlineLevel="2">
      <c r="A491" s="11">
        <f t="shared" si="27"/>
        <v>487</v>
      </c>
      <c r="B491" s="11" t="s">
        <v>950</v>
      </c>
      <c r="C491" s="526" t="s">
        <v>2325</v>
      </c>
      <c r="D491" s="12" t="s">
        <v>2310</v>
      </c>
      <c r="E491" s="13">
        <f>475783.06+216551.65</f>
        <v>692334.71</v>
      </c>
      <c r="F491" s="13">
        <f>-(E491*0.75)</f>
        <v>-519251.03249999997</v>
      </c>
      <c r="G491" s="13"/>
      <c r="H491" s="13"/>
      <c r="I491" s="14">
        <f t="shared" si="29"/>
        <v>173083.67749999999</v>
      </c>
      <c r="J491" s="862"/>
      <c r="M491" s="15"/>
    </row>
    <row r="492" spans="1:13" s="11" customFormat="1" outlineLevel="2">
      <c r="A492" s="11">
        <f t="shared" si="27"/>
        <v>488</v>
      </c>
      <c r="B492" s="11" t="s">
        <v>950</v>
      </c>
      <c r="C492" s="526" t="s">
        <v>2326</v>
      </c>
      <c r="D492" s="12" t="s">
        <v>954</v>
      </c>
      <c r="E492" s="13">
        <v>12752527.140000001</v>
      </c>
      <c r="F492" s="13">
        <f>-(E492*0.75)</f>
        <v>-9564395.3550000004</v>
      </c>
      <c r="G492" s="13">
        <v>0</v>
      </c>
      <c r="H492" s="13"/>
      <c r="I492" s="14">
        <f t="shared" si="29"/>
        <v>3188131.7850000001</v>
      </c>
      <c r="J492" s="862"/>
      <c r="M492" s="15"/>
    </row>
    <row r="493" spans="1:13" s="11" customFormat="1" outlineLevel="2">
      <c r="A493" s="11">
        <f t="shared" si="27"/>
        <v>489</v>
      </c>
      <c r="B493" s="11" t="s">
        <v>950</v>
      </c>
      <c r="C493" s="526" t="s">
        <v>2072</v>
      </c>
      <c r="D493" s="12" t="s">
        <v>2311</v>
      </c>
      <c r="E493" s="13">
        <v>445483.49</v>
      </c>
      <c r="F493" s="13"/>
      <c r="G493" s="13"/>
      <c r="H493" s="13"/>
      <c r="I493" s="14">
        <f t="shared" si="29"/>
        <v>445483.49</v>
      </c>
      <c r="J493" s="519"/>
      <c r="M493" s="15"/>
    </row>
    <row r="494" spans="1:13" s="3" customFormat="1" ht="13.5" outlineLevel="1" thickBot="1">
      <c r="A494" s="11">
        <f t="shared" si="27"/>
        <v>490</v>
      </c>
      <c r="B494" s="19" t="s">
        <v>955</v>
      </c>
      <c r="C494" s="31"/>
      <c r="D494" s="21" t="s">
        <v>956</v>
      </c>
      <c r="E494" s="22">
        <f>SUBTOTAL(9,E486:E493)</f>
        <v>28937350.149999999</v>
      </c>
      <c r="F494" s="22">
        <f>SUBTOTAL(9,F486:F492)</f>
        <v>-18902923.5625</v>
      </c>
      <c r="G494" s="22">
        <f>SUBTOTAL(9,G486:G492)</f>
        <v>0</v>
      </c>
      <c r="H494" s="22"/>
      <c r="I494" s="23">
        <f>SUBTOTAL(9,I486:I493)</f>
        <v>10034426.5875</v>
      </c>
      <c r="J494" s="32"/>
      <c r="M494" s="8"/>
    </row>
    <row r="495" spans="1:13" s="11" customFormat="1" ht="13.5" outlineLevel="2" thickTop="1">
      <c r="A495" s="11">
        <f t="shared" si="27"/>
        <v>491</v>
      </c>
      <c r="B495" s="11" t="s">
        <v>957</v>
      </c>
      <c r="C495" s="15"/>
      <c r="D495" s="12" t="s">
        <v>620</v>
      </c>
      <c r="E495" s="13">
        <v>2370872.7999999998</v>
      </c>
      <c r="F495" s="13">
        <v>-1772523.45</v>
      </c>
      <c r="G495" s="13"/>
      <c r="H495" s="13"/>
      <c r="I495" s="14">
        <f t="shared" ref="I495:I500" si="30">SUM(E495:G495)</f>
        <v>598349.34999999986</v>
      </c>
      <c r="M495" s="15"/>
    </row>
    <row r="496" spans="1:13" s="11" customFormat="1" outlineLevel="2">
      <c r="A496" s="11">
        <f t="shared" si="27"/>
        <v>492</v>
      </c>
      <c r="B496" s="11" t="s">
        <v>957</v>
      </c>
      <c r="C496" s="15"/>
      <c r="D496" s="12" t="s">
        <v>2450</v>
      </c>
      <c r="E496" s="13">
        <v>6186445.3200000003</v>
      </c>
      <c r="F496" s="13">
        <v>-933622.63</v>
      </c>
      <c r="G496" s="13"/>
      <c r="H496" s="13"/>
      <c r="I496" s="14">
        <f t="shared" si="30"/>
        <v>5252822.6900000004</v>
      </c>
      <c r="M496" s="15"/>
    </row>
    <row r="497" spans="1:16" s="11" customFormat="1" outlineLevel="2">
      <c r="A497" s="11">
        <f t="shared" si="27"/>
        <v>493</v>
      </c>
      <c r="B497" s="11" t="s">
        <v>957</v>
      </c>
      <c r="C497" s="15"/>
      <c r="D497" s="12" t="s">
        <v>314</v>
      </c>
      <c r="E497" s="13">
        <v>10953005.529999999</v>
      </c>
      <c r="F497" s="13">
        <v>-2565236.12</v>
      </c>
      <c r="G497" s="13"/>
      <c r="H497" s="13"/>
      <c r="I497" s="14">
        <f t="shared" si="30"/>
        <v>8387769.4099999992</v>
      </c>
      <c r="M497" s="15"/>
    </row>
    <row r="498" spans="1:16" s="11" customFormat="1" outlineLevel="2">
      <c r="A498" s="11">
        <f t="shared" si="27"/>
        <v>494</v>
      </c>
      <c r="B498" s="11" t="s">
        <v>957</v>
      </c>
      <c r="C498" s="15"/>
      <c r="D498" s="12" t="s">
        <v>725</v>
      </c>
      <c r="E498" s="13">
        <v>85427859</v>
      </c>
      <c r="F498" s="13">
        <v>-42372683</v>
      </c>
      <c r="G498" s="13"/>
      <c r="H498" s="13"/>
      <c r="I498" s="14">
        <f t="shared" si="30"/>
        <v>43055176</v>
      </c>
      <c r="M498" s="15"/>
    </row>
    <row r="499" spans="1:16" s="11" customFormat="1" outlineLevel="2">
      <c r="A499" s="11">
        <f t="shared" si="27"/>
        <v>495</v>
      </c>
      <c r="B499" s="11" t="s">
        <v>957</v>
      </c>
      <c r="C499" s="15"/>
      <c r="D499" s="12" t="s">
        <v>2451</v>
      </c>
      <c r="E499" s="13">
        <v>10079122.77</v>
      </c>
      <c r="F499" s="13">
        <v>-7015929.1699999999</v>
      </c>
      <c r="G499" s="13"/>
      <c r="H499" s="13"/>
      <c r="I499" s="14">
        <f t="shared" si="30"/>
        <v>3063193.5999999996</v>
      </c>
      <c r="M499" s="15"/>
    </row>
    <row r="500" spans="1:16" s="11" customFormat="1" outlineLevel="2">
      <c r="A500" s="11">
        <f t="shared" si="27"/>
        <v>496</v>
      </c>
      <c r="B500" s="11" t="s">
        <v>957</v>
      </c>
      <c r="C500" s="15"/>
      <c r="D500" s="12" t="s">
        <v>810</v>
      </c>
      <c r="E500" s="13">
        <v>10234030.529999999</v>
      </c>
      <c r="F500" s="13">
        <v>-3344088.32</v>
      </c>
      <c r="G500" s="13"/>
      <c r="H500" s="13"/>
      <c r="I500" s="14">
        <f t="shared" si="30"/>
        <v>6889942.209999999</v>
      </c>
      <c r="M500" s="15"/>
    </row>
    <row r="501" spans="1:16" s="3" customFormat="1" ht="13.5" outlineLevel="1" thickBot="1">
      <c r="A501" s="11">
        <f t="shared" si="27"/>
        <v>497</v>
      </c>
      <c r="B501" s="19" t="s">
        <v>958</v>
      </c>
      <c r="C501" s="21"/>
      <c r="D501" s="21" t="s">
        <v>959</v>
      </c>
      <c r="E501" s="33">
        <f>SUM(E495:E500)</f>
        <v>125251335.95</v>
      </c>
      <c r="F501" s="33">
        <f>SUM(F495:F500)</f>
        <v>-58004082.690000005</v>
      </c>
      <c r="G501" s="33">
        <f t="shared" ref="G501" si="31">SUM(G495:G500)</f>
        <v>0</v>
      </c>
      <c r="H501" s="33"/>
      <c r="I501" s="33">
        <f>SUM(I495:I500)</f>
        <v>67247253.260000005</v>
      </c>
      <c r="J501" s="8"/>
    </row>
    <row r="502" spans="1:16" s="3" customFormat="1" ht="14" thickTop="1" thickBot="1">
      <c r="A502" s="11">
        <f t="shared" si="27"/>
        <v>498</v>
      </c>
      <c r="B502" s="645" t="s">
        <v>960</v>
      </c>
      <c r="C502" s="646"/>
      <c r="D502" s="646" t="s">
        <v>961</v>
      </c>
      <c r="E502" s="647">
        <f>SUBTOTAL(9,E5:E500)</f>
        <v>1572665857.9700003</v>
      </c>
      <c r="F502" s="647">
        <f>SUBTOTAL(9,F5:F500)</f>
        <v>-124391893.19249998</v>
      </c>
      <c r="G502" s="647">
        <f>SUBTOTAL(9,G5:G500)</f>
        <v>-13555863.331200004</v>
      </c>
      <c r="H502" s="647">
        <f>SUBTOTAL(9,H5:H500)</f>
        <v>-6076147.1145939985</v>
      </c>
      <c r="I502" s="648">
        <f>SUBTOTAL(9,I5:I500)</f>
        <v>1428641954.3317072</v>
      </c>
      <c r="J502" s="8"/>
    </row>
    <row r="503" spans="1:16" s="11" customFormat="1" ht="13.5" thickTop="1">
      <c r="A503" s="11">
        <f t="shared" si="27"/>
        <v>499</v>
      </c>
      <c r="C503" s="15"/>
      <c r="D503" s="1" t="s">
        <v>962</v>
      </c>
      <c r="E503" s="34">
        <f>E502-E501-E494</f>
        <v>1418477171.8700001</v>
      </c>
      <c r="F503" s="34">
        <f>F502-F501-F494</f>
        <v>-47484886.939999975</v>
      </c>
      <c r="G503" s="35">
        <f>(G502-G501)*-1</f>
        <v>13555863.331200004</v>
      </c>
      <c r="H503" s="35">
        <f>(H502-H501)*-1</f>
        <v>6076147.1145939985</v>
      </c>
      <c r="I503" s="14">
        <f>I502-I494-I501</f>
        <v>1351360274.4842072</v>
      </c>
      <c r="J503" s="12"/>
      <c r="N503" s="12"/>
      <c r="O503" s="12"/>
      <c r="P503" s="12"/>
    </row>
    <row r="504" spans="1:16" s="11" customFormat="1">
      <c r="C504" s="15"/>
      <c r="D504" s="1" t="s">
        <v>2315</v>
      </c>
      <c r="E504" s="34"/>
      <c r="F504" s="34"/>
      <c r="G504" s="35"/>
      <c r="H504" s="35"/>
      <c r="I504" s="14"/>
      <c r="J504" s="12"/>
      <c r="N504" s="12"/>
      <c r="O504" s="12"/>
      <c r="P504" s="12"/>
    </row>
    <row r="505" spans="1:16" s="11" customFormat="1">
      <c r="C505" s="15"/>
      <c r="D505" s="1" t="s">
        <v>2401</v>
      </c>
      <c r="E505" s="34"/>
      <c r="F505" s="34"/>
      <c r="G505" s="35"/>
      <c r="H505" s="35"/>
      <c r="I505" s="14"/>
      <c r="J505" s="12"/>
      <c r="N505" s="12"/>
      <c r="O505" s="12"/>
      <c r="P505" s="12"/>
    </row>
    <row r="506" spans="1:16" s="11" customFormat="1">
      <c r="C506" s="15"/>
      <c r="D506" s="1" t="s">
        <v>949</v>
      </c>
      <c r="E506" s="34"/>
      <c r="F506" s="34">
        <f>-(F503+F501)</f>
        <v>105488969.62999998</v>
      </c>
      <c r="G506" s="34"/>
      <c r="H506" s="34"/>
      <c r="I506" s="14">
        <f>I503+I501+I486+I487+I488</f>
        <v>1424567585.7042072</v>
      </c>
      <c r="J506" s="12"/>
      <c r="N506" s="12"/>
      <c r="O506" s="12"/>
      <c r="P506" s="12"/>
    </row>
    <row r="507" spans="1:16" s="11" customFormat="1">
      <c r="C507" s="15"/>
      <c r="D507" s="1"/>
      <c r="E507" s="35"/>
      <c r="F507" s="34"/>
      <c r="G507" s="34"/>
      <c r="H507" s="34"/>
      <c r="I507" s="14"/>
      <c r="J507" s="12"/>
      <c r="N507" s="12"/>
      <c r="O507" s="12"/>
      <c r="P507" s="12"/>
    </row>
    <row r="508" spans="1:16">
      <c r="C508" s="12"/>
      <c r="D508" s="1"/>
      <c r="E508" s="649">
        <f>11966651.04+6841033.8+4765825.66+253719.57</f>
        <v>23827230.07</v>
      </c>
      <c r="F508" s="34"/>
      <c r="J508" s="12"/>
      <c r="K508" s="34"/>
    </row>
    <row r="509" spans="1:16">
      <c r="C509" s="12"/>
      <c r="D509" s="1"/>
      <c r="E509" s="649">
        <f>E503+E508</f>
        <v>1442304401.9400001</v>
      </c>
      <c r="F509" s="649"/>
      <c r="G509" s="649"/>
      <c r="H509" s="649"/>
      <c r="I509" s="12"/>
      <c r="J509" s="12"/>
      <c r="K509" s="34"/>
    </row>
    <row r="510" spans="1:16">
      <c r="C510" s="12"/>
      <c r="D510" s="1"/>
      <c r="E510" s="649">
        <f>1442304402.56</f>
        <v>1442304402.5599999</v>
      </c>
      <c r="F510" s="649"/>
      <c r="G510" s="649"/>
      <c r="H510" s="649"/>
      <c r="I510" s="649"/>
      <c r="J510" s="12"/>
      <c r="K510" s="34"/>
    </row>
    <row r="511" spans="1:16">
      <c r="C511" s="12"/>
      <c r="E511" s="14">
        <f>E509-E510</f>
        <v>-0.61999988555908203</v>
      </c>
      <c r="F511" s="14"/>
      <c r="G511" s="14"/>
      <c r="H511" s="14"/>
      <c r="J511" s="12"/>
      <c r="K511" s="11"/>
    </row>
    <row r="512" spans="1:16">
      <c r="C512" s="12"/>
      <c r="E512" s="14"/>
      <c r="F512" s="14"/>
      <c r="G512" s="14"/>
      <c r="H512" s="14"/>
      <c r="J512" s="522"/>
      <c r="K512" s="11"/>
    </row>
    <row r="513" spans="3:17">
      <c r="C513" s="12"/>
      <c r="E513" s="14"/>
      <c r="F513" s="14"/>
      <c r="G513" s="14"/>
      <c r="H513" s="14"/>
      <c r="J513" s="12"/>
      <c r="K513" s="11"/>
    </row>
    <row r="514" spans="3:17">
      <c r="C514" s="12"/>
      <c r="E514" s="14"/>
      <c r="F514" s="14"/>
      <c r="G514" s="14"/>
      <c r="H514" s="14"/>
      <c r="J514" s="14"/>
      <c r="K514" s="11"/>
    </row>
    <row r="515" spans="3:17">
      <c r="C515" s="12"/>
      <c r="E515" s="14"/>
      <c r="F515" s="14"/>
      <c r="G515" s="14"/>
      <c r="H515" s="14"/>
      <c r="J515" s="14"/>
      <c r="K515" s="11"/>
    </row>
    <row r="516" spans="3:17" s="11" customFormat="1">
      <c r="C516" s="12"/>
      <c r="D516" s="12"/>
      <c r="E516" s="14"/>
      <c r="F516" s="14"/>
      <c r="G516" s="14"/>
      <c r="H516" s="14"/>
      <c r="I516" s="14"/>
      <c r="J516" s="14"/>
      <c r="N516" s="12"/>
      <c r="O516" s="12"/>
      <c r="P516" s="12"/>
      <c r="Q516" s="12"/>
    </row>
    <row r="517" spans="3:17" s="11" customFormat="1">
      <c r="C517" s="12"/>
      <c r="D517" s="12"/>
      <c r="E517" s="14"/>
      <c r="F517" s="14"/>
      <c r="G517" s="14"/>
      <c r="H517" s="14"/>
      <c r="I517" s="14"/>
      <c r="J517" s="14"/>
      <c r="N517" s="12"/>
      <c r="O517" s="12"/>
      <c r="P517" s="12"/>
      <c r="Q517" s="12"/>
    </row>
    <row r="518" spans="3:17" s="11" customFormat="1">
      <c r="C518" s="12"/>
      <c r="D518" s="12"/>
      <c r="E518" s="14"/>
      <c r="F518" s="14"/>
      <c r="G518" s="14"/>
      <c r="H518" s="14"/>
      <c r="I518" s="14"/>
      <c r="J518" s="14"/>
      <c r="K518" s="34"/>
      <c r="N518" s="12"/>
      <c r="O518" s="12"/>
      <c r="P518" s="12"/>
      <c r="Q518" s="12"/>
    </row>
    <row r="519" spans="3:17" s="11" customFormat="1">
      <c r="C519" s="12"/>
      <c r="D519" s="12"/>
      <c r="E519" s="14"/>
      <c r="F519" s="14"/>
      <c r="G519" s="14"/>
      <c r="H519" s="14"/>
      <c r="I519" s="14"/>
      <c r="J519" s="14"/>
      <c r="N519" s="12"/>
      <c r="O519" s="12"/>
      <c r="P519" s="12"/>
      <c r="Q519" s="12"/>
    </row>
    <row r="520" spans="3:17" s="11" customFormat="1">
      <c r="C520" s="12"/>
      <c r="D520" s="12"/>
      <c r="E520" s="14"/>
      <c r="F520" s="14"/>
      <c r="G520" s="14"/>
      <c r="H520" s="14"/>
      <c r="I520" s="14"/>
      <c r="J520" s="12"/>
      <c r="N520" s="12"/>
      <c r="O520" s="12"/>
      <c r="P520" s="12"/>
      <c r="Q520" s="12"/>
    </row>
    <row r="521" spans="3:17" s="11" customFormat="1">
      <c r="C521" s="12"/>
      <c r="D521" s="12"/>
      <c r="E521" s="14"/>
      <c r="F521" s="14"/>
      <c r="G521" s="14"/>
      <c r="H521" s="14"/>
      <c r="I521" s="14"/>
      <c r="J521" s="12"/>
      <c r="N521" s="12"/>
      <c r="O521" s="12"/>
      <c r="P521" s="12"/>
      <c r="Q521" s="12"/>
    </row>
    <row r="522" spans="3:17" s="11" customFormat="1">
      <c r="C522" s="12"/>
      <c r="D522" s="12"/>
      <c r="E522" s="13"/>
      <c r="F522" s="13"/>
      <c r="G522" s="13"/>
      <c r="H522" s="13"/>
      <c r="I522" s="14"/>
      <c r="J522" s="12"/>
      <c r="N522" s="12"/>
      <c r="O522" s="12"/>
      <c r="P522" s="12"/>
      <c r="Q522" s="12"/>
    </row>
    <row r="523" spans="3:17" s="11" customFormat="1">
      <c r="C523" s="12"/>
      <c r="D523" s="12"/>
      <c r="E523" s="13"/>
      <c r="F523" s="13"/>
      <c r="G523" s="13"/>
      <c r="H523" s="13"/>
      <c r="I523" s="14"/>
      <c r="J523" s="12"/>
      <c r="N523" s="12"/>
      <c r="O523" s="12"/>
      <c r="P523" s="12"/>
      <c r="Q523" s="12"/>
    </row>
    <row r="524" spans="3:17" s="11" customFormat="1">
      <c r="C524" s="12"/>
      <c r="D524" s="12"/>
      <c r="E524" s="13"/>
      <c r="F524" s="13"/>
      <c r="G524" s="13"/>
      <c r="H524" s="13"/>
      <c r="I524" s="14"/>
      <c r="J524" s="12"/>
      <c r="N524" s="12"/>
      <c r="O524" s="12"/>
      <c r="P524" s="12"/>
      <c r="Q524" s="12"/>
    </row>
    <row r="525" spans="3:17" s="11" customFormat="1">
      <c r="C525" s="12"/>
      <c r="D525" s="12"/>
      <c r="E525" s="13"/>
      <c r="F525" s="13"/>
      <c r="G525" s="13"/>
      <c r="H525" s="13"/>
      <c r="I525" s="14"/>
      <c r="J525" s="12"/>
      <c r="N525" s="12"/>
      <c r="O525" s="12"/>
      <c r="P525" s="12"/>
      <c r="Q525" s="12"/>
    </row>
    <row r="526" spans="3:17" s="11" customFormat="1">
      <c r="C526" s="12"/>
      <c r="D526" s="12"/>
      <c r="E526" s="13"/>
      <c r="F526" s="13"/>
      <c r="G526" s="13"/>
      <c r="H526" s="13"/>
      <c r="I526" s="14"/>
      <c r="J526" s="12"/>
      <c r="N526" s="12"/>
      <c r="O526" s="12"/>
      <c r="P526" s="12"/>
      <c r="Q526" s="12"/>
    </row>
    <row r="527" spans="3:17" s="11" customFormat="1">
      <c r="C527" s="12"/>
      <c r="D527" s="12"/>
      <c r="E527" s="13"/>
      <c r="F527" s="13"/>
      <c r="G527" s="13"/>
      <c r="H527" s="13"/>
      <c r="I527" s="14"/>
      <c r="J527" s="12"/>
      <c r="N527" s="12"/>
      <c r="O527" s="12"/>
      <c r="P527" s="12"/>
      <c r="Q527" s="12"/>
    </row>
    <row r="528" spans="3:17" s="11" customFormat="1">
      <c r="C528" s="12"/>
      <c r="D528" s="12"/>
      <c r="E528" s="13"/>
      <c r="F528" s="13"/>
      <c r="G528" s="13"/>
      <c r="H528" s="13"/>
      <c r="I528" s="14"/>
      <c r="J528" s="12"/>
      <c r="N528" s="12"/>
      <c r="O528" s="12"/>
      <c r="P528" s="12"/>
      <c r="Q528" s="12"/>
    </row>
    <row r="529" spans="3:17" s="11" customFormat="1">
      <c r="C529" s="12"/>
      <c r="D529" s="12"/>
      <c r="E529" s="13"/>
      <c r="F529" s="13"/>
      <c r="G529" s="13"/>
      <c r="H529" s="13"/>
      <c r="I529" s="14"/>
      <c r="J529" s="12"/>
      <c r="N529" s="12"/>
      <c r="O529" s="12"/>
      <c r="P529" s="12"/>
      <c r="Q529" s="12"/>
    </row>
    <row r="530" spans="3:17" s="11" customFormat="1">
      <c r="C530" s="12"/>
      <c r="D530" s="12"/>
      <c r="E530" s="13"/>
      <c r="F530" s="13"/>
      <c r="G530" s="13"/>
      <c r="H530" s="13"/>
      <c r="I530" s="14"/>
      <c r="J530" s="12"/>
      <c r="N530" s="12"/>
      <c r="O530" s="12"/>
      <c r="P530" s="12"/>
      <c r="Q530" s="12"/>
    </row>
    <row r="531" spans="3:17" s="11" customFormat="1">
      <c r="C531" s="12"/>
      <c r="D531" s="12"/>
      <c r="E531" s="13"/>
      <c r="F531" s="13"/>
      <c r="G531" s="13"/>
      <c r="H531" s="13"/>
      <c r="I531" s="14"/>
      <c r="J531" s="12"/>
      <c r="N531" s="12"/>
      <c r="O531" s="12"/>
      <c r="P531" s="12"/>
      <c r="Q531" s="12"/>
    </row>
    <row r="532" spans="3:17" s="11" customFormat="1">
      <c r="C532" s="12"/>
      <c r="D532" s="12"/>
      <c r="E532" s="13"/>
      <c r="F532" s="13"/>
      <c r="G532" s="13"/>
      <c r="H532" s="13"/>
      <c r="I532" s="14"/>
      <c r="J532" s="12"/>
      <c r="N532" s="12"/>
      <c r="O532" s="12"/>
      <c r="P532" s="12"/>
      <c r="Q532" s="12"/>
    </row>
    <row r="533" spans="3:17" s="11" customFormat="1">
      <c r="C533" s="12"/>
      <c r="D533" s="12"/>
      <c r="E533" s="13"/>
      <c r="F533" s="13"/>
      <c r="G533" s="13"/>
      <c r="H533" s="13"/>
      <c r="I533" s="14"/>
      <c r="J533" s="12"/>
      <c r="N533" s="12"/>
      <c r="O533" s="12"/>
      <c r="P533" s="12"/>
      <c r="Q533" s="12"/>
    </row>
    <row r="534" spans="3:17" s="11" customFormat="1">
      <c r="C534" s="12"/>
      <c r="D534" s="12"/>
      <c r="E534" s="13"/>
      <c r="F534" s="13"/>
      <c r="G534" s="13"/>
      <c r="H534" s="13"/>
      <c r="I534" s="14"/>
      <c r="J534" s="12"/>
      <c r="N534" s="12"/>
      <c r="O534" s="12"/>
      <c r="P534" s="12"/>
      <c r="Q534" s="12"/>
    </row>
    <row r="535" spans="3:17" s="11" customFormat="1">
      <c r="C535" s="12"/>
      <c r="D535" s="12"/>
      <c r="E535" s="13"/>
      <c r="F535" s="13"/>
      <c r="G535" s="13"/>
      <c r="H535" s="13"/>
      <c r="I535" s="14"/>
      <c r="J535" s="12"/>
      <c r="N535" s="12"/>
      <c r="O535" s="12"/>
      <c r="P535" s="12"/>
      <c r="Q535" s="12"/>
    </row>
    <row r="536" spans="3:17" s="11" customFormat="1">
      <c r="C536" s="12"/>
      <c r="D536" s="12"/>
      <c r="E536" s="13"/>
      <c r="F536" s="13"/>
      <c r="G536" s="13"/>
      <c r="H536" s="13"/>
      <c r="I536" s="14"/>
      <c r="J536" s="12"/>
      <c r="N536" s="12"/>
      <c r="O536" s="12"/>
      <c r="P536" s="12"/>
      <c r="Q536" s="12"/>
    </row>
    <row r="537" spans="3:17" s="11" customFormat="1">
      <c r="C537" s="12"/>
      <c r="D537" s="12"/>
      <c r="E537" s="13"/>
      <c r="F537" s="13"/>
      <c r="G537" s="13"/>
      <c r="H537" s="13"/>
      <c r="I537" s="14"/>
      <c r="J537" s="12"/>
      <c r="N537" s="12"/>
      <c r="O537" s="12"/>
      <c r="P537" s="12"/>
      <c r="Q537" s="12"/>
    </row>
    <row r="538" spans="3:17" s="11" customFormat="1">
      <c r="C538" s="12"/>
      <c r="D538" s="12"/>
      <c r="E538" s="13"/>
      <c r="F538" s="13"/>
      <c r="G538" s="13"/>
      <c r="H538" s="13"/>
      <c r="I538" s="14"/>
      <c r="J538" s="12"/>
      <c r="N538" s="12"/>
      <c r="O538" s="12"/>
      <c r="P538" s="12"/>
      <c r="Q538" s="12"/>
    </row>
    <row r="539" spans="3:17" s="11" customFormat="1">
      <c r="C539" s="12"/>
      <c r="D539" s="12"/>
      <c r="E539" s="13"/>
      <c r="F539" s="13"/>
      <c r="G539" s="13"/>
      <c r="H539" s="13"/>
      <c r="I539" s="14"/>
      <c r="J539" s="12"/>
      <c r="N539" s="12"/>
      <c r="O539" s="12"/>
      <c r="P539" s="12"/>
      <c r="Q539" s="12"/>
    </row>
    <row r="540" spans="3:17" s="11" customFormat="1">
      <c r="C540" s="12"/>
      <c r="D540" s="12"/>
      <c r="E540" s="13"/>
      <c r="F540" s="13"/>
      <c r="G540" s="13"/>
      <c r="H540" s="13"/>
      <c r="I540" s="14"/>
      <c r="J540" s="12"/>
      <c r="N540" s="12"/>
      <c r="O540" s="12"/>
      <c r="P540" s="12"/>
      <c r="Q540" s="12"/>
    </row>
    <row r="541" spans="3:17" s="11" customFormat="1">
      <c r="C541" s="12"/>
      <c r="D541" s="12"/>
      <c r="E541" s="13"/>
      <c r="F541" s="13"/>
      <c r="G541" s="13"/>
      <c r="H541" s="13"/>
      <c r="I541" s="14"/>
      <c r="J541" s="12"/>
      <c r="N541" s="12"/>
      <c r="O541" s="12"/>
      <c r="P541" s="12"/>
      <c r="Q541" s="12"/>
    </row>
    <row r="542" spans="3:17" s="11" customFormat="1">
      <c r="C542" s="12"/>
      <c r="D542" s="12"/>
      <c r="E542" s="13"/>
      <c r="F542" s="13"/>
      <c r="G542" s="13"/>
      <c r="H542" s="13"/>
      <c r="I542" s="14"/>
      <c r="J542" s="12"/>
      <c r="N542" s="12"/>
      <c r="O542" s="12"/>
      <c r="P542" s="12"/>
      <c r="Q542" s="12"/>
    </row>
    <row r="543" spans="3:17" s="11" customFormat="1">
      <c r="C543" s="12"/>
      <c r="D543" s="12"/>
      <c r="E543" s="13"/>
      <c r="F543" s="13"/>
      <c r="G543" s="13"/>
      <c r="H543" s="13"/>
      <c r="I543" s="14"/>
      <c r="J543" s="12"/>
      <c r="N543" s="12"/>
      <c r="O543" s="12"/>
      <c r="P543" s="12"/>
      <c r="Q543" s="12"/>
    </row>
    <row r="544" spans="3:17" s="11" customFormat="1">
      <c r="C544" s="12"/>
      <c r="D544" s="12"/>
      <c r="E544" s="13"/>
      <c r="F544" s="13"/>
      <c r="G544" s="13"/>
      <c r="H544" s="13"/>
      <c r="I544" s="14"/>
      <c r="J544" s="12"/>
      <c r="N544" s="12"/>
      <c r="O544" s="12"/>
      <c r="P544" s="12"/>
      <c r="Q544" s="12"/>
    </row>
    <row r="545" spans="3:17" s="11" customFormat="1">
      <c r="C545" s="12"/>
      <c r="D545" s="12"/>
      <c r="E545" s="13"/>
      <c r="F545" s="13"/>
      <c r="G545" s="13"/>
      <c r="H545" s="13"/>
      <c r="I545" s="14"/>
      <c r="J545" s="12"/>
      <c r="N545" s="12"/>
      <c r="O545" s="12"/>
      <c r="P545" s="12"/>
      <c r="Q545" s="12"/>
    </row>
    <row r="546" spans="3:17" s="11" customFormat="1">
      <c r="C546" s="12"/>
      <c r="D546" s="12"/>
      <c r="E546" s="13"/>
      <c r="F546" s="13"/>
      <c r="G546" s="13"/>
      <c r="H546" s="13"/>
      <c r="I546" s="14"/>
      <c r="J546" s="12"/>
      <c r="N546" s="12"/>
      <c r="O546" s="12"/>
      <c r="P546" s="12"/>
      <c r="Q546" s="12"/>
    </row>
    <row r="547" spans="3:17" s="11" customFormat="1">
      <c r="C547" s="12"/>
      <c r="D547" s="12"/>
      <c r="E547" s="13"/>
      <c r="F547" s="13"/>
      <c r="G547" s="13"/>
      <c r="H547" s="13"/>
      <c r="I547" s="14"/>
      <c r="J547" s="12"/>
      <c r="N547" s="12"/>
      <c r="O547" s="12"/>
      <c r="P547" s="12"/>
      <c r="Q547" s="12"/>
    </row>
    <row r="548" spans="3:17" s="11" customFormat="1">
      <c r="C548" s="12"/>
      <c r="D548" s="12"/>
      <c r="E548" s="13"/>
      <c r="F548" s="13"/>
      <c r="G548" s="13"/>
      <c r="H548" s="13"/>
      <c r="I548" s="14"/>
      <c r="J548" s="12"/>
      <c r="N548" s="12"/>
      <c r="O548" s="12"/>
      <c r="P548" s="12"/>
      <c r="Q548" s="12"/>
    </row>
    <row r="549" spans="3:17" s="11" customFormat="1">
      <c r="C549" s="12"/>
      <c r="D549" s="12"/>
      <c r="E549" s="13"/>
      <c r="F549" s="13"/>
      <c r="G549" s="13"/>
      <c r="H549" s="13"/>
      <c r="I549" s="14"/>
      <c r="J549" s="12"/>
      <c r="N549" s="12"/>
      <c r="O549" s="12"/>
      <c r="P549" s="12"/>
      <c r="Q549" s="12"/>
    </row>
    <row r="550" spans="3:17" s="11" customFormat="1">
      <c r="C550" s="12"/>
      <c r="D550" s="12"/>
      <c r="E550" s="13"/>
      <c r="F550" s="13"/>
      <c r="G550" s="13"/>
      <c r="H550" s="13"/>
      <c r="I550" s="14"/>
      <c r="J550" s="12"/>
      <c r="N550" s="12"/>
      <c r="O550" s="12"/>
      <c r="P550" s="12"/>
      <c r="Q550" s="12"/>
    </row>
    <row r="551" spans="3:17" s="11" customFormat="1">
      <c r="C551" s="12"/>
      <c r="D551" s="12"/>
      <c r="E551" s="13"/>
      <c r="F551" s="13"/>
      <c r="G551" s="13"/>
      <c r="H551" s="13"/>
      <c r="I551" s="14"/>
      <c r="J551" s="12"/>
      <c r="N551" s="12"/>
      <c r="O551" s="12"/>
      <c r="P551" s="12"/>
      <c r="Q551" s="12"/>
    </row>
    <row r="552" spans="3:17" s="11" customFormat="1">
      <c r="C552" s="12"/>
      <c r="D552" s="12"/>
      <c r="E552" s="13"/>
      <c r="F552" s="13"/>
      <c r="G552" s="13"/>
      <c r="H552" s="13"/>
      <c r="I552" s="14"/>
      <c r="J552" s="12"/>
      <c r="N552" s="12"/>
      <c r="O552" s="12"/>
      <c r="P552" s="12"/>
      <c r="Q552" s="12"/>
    </row>
    <row r="553" spans="3:17" s="11" customFormat="1">
      <c r="C553" s="12"/>
      <c r="D553" s="12"/>
      <c r="E553" s="13"/>
      <c r="F553" s="13"/>
      <c r="G553" s="13"/>
      <c r="H553" s="13"/>
      <c r="I553" s="14"/>
      <c r="J553" s="12"/>
      <c r="N553" s="12"/>
      <c r="O553" s="12"/>
      <c r="P553" s="12"/>
      <c r="Q553" s="12"/>
    </row>
    <row r="554" spans="3:17" s="11" customFormat="1">
      <c r="C554" s="12"/>
      <c r="D554" s="12"/>
      <c r="E554" s="13"/>
      <c r="F554" s="13"/>
      <c r="G554" s="13"/>
      <c r="H554" s="13"/>
      <c r="I554" s="14"/>
      <c r="J554" s="12"/>
      <c r="N554" s="12"/>
      <c r="O554" s="12"/>
      <c r="P554" s="12"/>
      <c r="Q554" s="12"/>
    </row>
    <row r="555" spans="3:17" s="11" customFormat="1">
      <c r="C555" s="12"/>
      <c r="D555" s="12"/>
      <c r="E555" s="13"/>
      <c r="F555" s="13"/>
      <c r="G555" s="13"/>
      <c r="H555" s="13"/>
      <c r="I555" s="14"/>
      <c r="J555" s="12"/>
      <c r="N555" s="12"/>
      <c r="O555" s="12"/>
      <c r="P555" s="12"/>
      <c r="Q555" s="12"/>
    </row>
    <row r="556" spans="3:17" s="11" customFormat="1">
      <c r="C556" s="12"/>
      <c r="D556" s="12"/>
      <c r="E556" s="13"/>
      <c r="F556" s="13"/>
      <c r="G556" s="13"/>
      <c r="H556" s="13"/>
      <c r="I556" s="14"/>
      <c r="J556" s="12"/>
      <c r="N556" s="12"/>
      <c r="O556" s="12"/>
      <c r="P556" s="12"/>
      <c r="Q556" s="12"/>
    </row>
    <row r="557" spans="3:17" s="11" customFormat="1">
      <c r="C557" s="12"/>
      <c r="D557" s="12"/>
      <c r="E557" s="13"/>
      <c r="F557" s="13"/>
      <c r="G557" s="13"/>
      <c r="H557" s="13"/>
      <c r="I557" s="14"/>
      <c r="J557" s="12"/>
      <c r="N557" s="12"/>
      <c r="O557" s="12"/>
      <c r="P557" s="12"/>
      <c r="Q557" s="12"/>
    </row>
    <row r="558" spans="3:17" s="11" customFormat="1">
      <c r="C558" s="12"/>
      <c r="D558" s="12"/>
      <c r="E558" s="13"/>
      <c r="F558" s="13"/>
      <c r="G558" s="13"/>
      <c r="H558" s="13"/>
      <c r="I558" s="14"/>
      <c r="J558" s="12"/>
      <c r="N558" s="12"/>
      <c r="O558" s="12"/>
      <c r="P558" s="12"/>
      <c r="Q558" s="12"/>
    </row>
    <row r="559" spans="3:17" s="11" customFormat="1">
      <c r="C559" s="12"/>
      <c r="D559" s="12"/>
      <c r="E559" s="13"/>
      <c r="F559" s="13"/>
      <c r="G559" s="13"/>
      <c r="H559" s="13"/>
      <c r="I559" s="14"/>
      <c r="J559" s="12"/>
      <c r="N559" s="12"/>
      <c r="O559" s="12"/>
      <c r="P559" s="12"/>
      <c r="Q559" s="12"/>
    </row>
    <row r="560" spans="3:17" s="11" customFormat="1">
      <c r="C560" s="12"/>
      <c r="D560" s="12"/>
      <c r="E560" s="13"/>
      <c r="F560" s="13"/>
      <c r="G560" s="13"/>
      <c r="H560" s="13"/>
      <c r="I560" s="14"/>
      <c r="J560" s="12"/>
      <c r="N560" s="12"/>
      <c r="O560" s="12"/>
      <c r="P560" s="12"/>
      <c r="Q560" s="12"/>
    </row>
    <row r="561" spans="3:17" s="11" customFormat="1">
      <c r="C561" s="12"/>
      <c r="D561" s="12"/>
      <c r="E561" s="13"/>
      <c r="F561" s="13"/>
      <c r="G561" s="13"/>
      <c r="H561" s="13"/>
      <c r="I561" s="14"/>
      <c r="J561" s="12"/>
      <c r="N561" s="12"/>
      <c r="O561" s="12"/>
      <c r="P561" s="12"/>
      <c r="Q561" s="12"/>
    </row>
    <row r="562" spans="3:17" s="11" customFormat="1">
      <c r="C562" s="12"/>
      <c r="D562" s="12"/>
      <c r="E562" s="13"/>
      <c r="F562" s="13"/>
      <c r="G562" s="13"/>
      <c r="H562" s="13"/>
      <c r="I562" s="14"/>
      <c r="J562" s="12"/>
      <c r="N562" s="12"/>
      <c r="O562" s="12"/>
      <c r="P562" s="12"/>
      <c r="Q562" s="12"/>
    </row>
    <row r="563" spans="3:17" s="11" customFormat="1">
      <c r="C563" s="12"/>
      <c r="D563" s="12"/>
      <c r="E563" s="13"/>
      <c r="F563" s="13"/>
      <c r="G563" s="13"/>
      <c r="H563" s="13"/>
      <c r="I563" s="14"/>
      <c r="J563" s="12"/>
      <c r="N563" s="12"/>
      <c r="O563" s="12"/>
      <c r="P563" s="12"/>
      <c r="Q563" s="12"/>
    </row>
    <row r="564" spans="3:17" s="11" customFormat="1">
      <c r="C564" s="12"/>
      <c r="D564" s="12"/>
      <c r="E564" s="13"/>
      <c r="F564" s="13"/>
      <c r="G564" s="13"/>
      <c r="H564" s="13"/>
      <c r="I564" s="14"/>
      <c r="J564" s="12"/>
      <c r="N564" s="12"/>
      <c r="O564" s="12"/>
      <c r="P564" s="12"/>
      <c r="Q564" s="12"/>
    </row>
    <row r="565" spans="3:17" s="11" customFormat="1">
      <c r="C565" s="12"/>
      <c r="D565" s="12"/>
      <c r="E565" s="13"/>
      <c r="F565" s="13"/>
      <c r="G565" s="13"/>
      <c r="H565" s="13"/>
      <c r="I565" s="14"/>
      <c r="J565" s="12"/>
      <c r="N565" s="12"/>
      <c r="O565" s="12"/>
      <c r="P565" s="12"/>
      <c r="Q565" s="12"/>
    </row>
    <row r="566" spans="3:17" s="11" customFormat="1">
      <c r="C566" s="12"/>
      <c r="D566" s="12"/>
      <c r="E566" s="13"/>
      <c r="F566" s="13"/>
      <c r="G566" s="13"/>
      <c r="H566" s="13"/>
      <c r="I566" s="14"/>
      <c r="J566" s="12"/>
      <c r="N566" s="12"/>
      <c r="O566" s="12"/>
      <c r="P566" s="12"/>
      <c r="Q566" s="12"/>
    </row>
    <row r="567" spans="3:17" s="11" customFormat="1">
      <c r="C567" s="12"/>
      <c r="D567" s="12"/>
      <c r="E567" s="13"/>
      <c r="F567" s="13"/>
      <c r="G567" s="13"/>
      <c r="H567" s="13"/>
      <c r="I567" s="14"/>
      <c r="J567" s="12"/>
      <c r="N567" s="12"/>
      <c r="O567" s="12"/>
      <c r="P567" s="12"/>
      <c r="Q567" s="12"/>
    </row>
    <row r="568" spans="3:17" s="11" customFormat="1">
      <c r="C568" s="12"/>
      <c r="D568" s="12"/>
      <c r="E568" s="13"/>
      <c r="F568" s="13"/>
      <c r="G568" s="13"/>
      <c r="H568" s="13"/>
      <c r="I568" s="14"/>
      <c r="J568" s="12"/>
      <c r="N568" s="12"/>
      <c r="O568" s="12"/>
      <c r="P568" s="12"/>
      <c r="Q568" s="12"/>
    </row>
    <row r="569" spans="3:17" s="11" customFormat="1">
      <c r="C569" s="12"/>
      <c r="D569" s="12"/>
      <c r="E569" s="13"/>
      <c r="F569" s="13"/>
      <c r="G569" s="13"/>
      <c r="H569" s="13"/>
      <c r="I569" s="14"/>
      <c r="J569" s="12"/>
      <c r="N569" s="12"/>
      <c r="O569" s="12"/>
      <c r="P569" s="12"/>
      <c r="Q569" s="12"/>
    </row>
    <row r="570" spans="3:17" s="11" customFormat="1">
      <c r="C570" s="12"/>
      <c r="D570" s="12"/>
      <c r="E570" s="13"/>
      <c r="F570" s="13"/>
      <c r="G570" s="13"/>
      <c r="H570" s="13"/>
      <c r="I570" s="14"/>
      <c r="J570" s="12"/>
      <c r="N570" s="12"/>
      <c r="O570" s="12"/>
      <c r="P570" s="12"/>
      <c r="Q570" s="12"/>
    </row>
    <row r="571" spans="3:17" s="11" customFormat="1">
      <c r="C571" s="12"/>
      <c r="D571" s="12"/>
      <c r="E571" s="13"/>
      <c r="F571" s="13"/>
      <c r="G571" s="13"/>
      <c r="H571" s="13"/>
      <c r="I571" s="14"/>
      <c r="J571" s="12"/>
      <c r="N571" s="12"/>
      <c r="O571" s="12"/>
      <c r="P571" s="12"/>
      <c r="Q571" s="12"/>
    </row>
    <row r="572" spans="3:17" s="11" customFormat="1">
      <c r="C572" s="12"/>
      <c r="D572" s="12"/>
      <c r="E572" s="13"/>
      <c r="F572" s="13"/>
      <c r="G572" s="13"/>
      <c r="H572" s="13"/>
      <c r="I572" s="14"/>
      <c r="J572" s="12"/>
      <c r="N572" s="12"/>
      <c r="O572" s="12"/>
      <c r="P572" s="12"/>
      <c r="Q572" s="12"/>
    </row>
    <row r="573" spans="3:17" s="11" customFormat="1">
      <c r="C573" s="12"/>
      <c r="D573" s="12"/>
      <c r="E573" s="13"/>
      <c r="F573" s="13"/>
      <c r="G573" s="13"/>
      <c r="H573" s="13"/>
      <c r="I573" s="14"/>
      <c r="J573" s="12"/>
      <c r="N573" s="12"/>
      <c r="O573" s="12"/>
      <c r="P573" s="12"/>
      <c r="Q573" s="12"/>
    </row>
    <row r="574" spans="3:17" s="11" customFormat="1">
      <c r="C574" s="12"/>
      <c r="D574" s="12"/>
      <c r="E574" s="13"/>
      <c r="F574" s="13"/>
      <c r="G574" s="13"/>
      <c r="H574" s="13"/>
      <c r="I574" s="14"/>
      <c r="J574" s="12"/>
      <c r="N574" s="12"/>
      <c r="O574" s="12"/>
      <c r="P574" s="12"/>
      <c r="Q574" s="12"/>
    </row>
    <row r="575" spans="3:17" s="11" customFormat="1">
      <c r="C575" s="12"/>
      <c r="D575" s="12"/>
      <c r="E575" s="13"/>
      <c r="F575" s="13"/>
      <c r="G575" s="13"/>
      <c r="H575" s="13"/>
      <c r="I575" s="14"/>
      <c r="J575" s="12"/>
      <c r="N575" s="12"/>
      <c r="O575" s="12"/>
      <c r="P575" s="12"/>
      <c r="Q575" s="12"/>
    </row>
    <row r="576" spans="3:17" s="11" customFormat="1">
      <c r="C576" s="12"/>
      <c r="D576" s="12"/>
      <c r="E576" s="13"/>
      <c r="F576" s="13"/>
      <c r="G576" s="13"/>
      <c r="H576" s="13"/>
      <c r="I576" s="14"/>
      <c r="J576" s="12"/>
      <c r="N576" s="12"/>
      <c r="O576" s="12"/>
      <c r="P576" s="12"/>
      <c r="Q576" s="12"/>
    </row>
    <row r="577" spans="3:17" s="11" customFormat="1">
      <c r="C577" s="12"/>
      <c r="D577" s="12"/>
      <c r="E577" s="13"/>
      <c r="F577" s="13"/>
      <c r="G577" s="13"/>
      <c r="H577" s="13"/>
      <c r="I577" s="14"/>
      <c r="J577" s="12"/>
      <c r="N577" s="12"/>
      <c r="O577" s="12"/>
      <c r="P577" s="12"/>
      <c r="Q577" s="12"/>
    </row>
    <row r="578" spans="3:17" s="11" customFormat="1">
      <c r="C578" s="12"/>
      <c r="D578" s="12"/>
      <c r="E578" s="13"/>
      <c r="F578" s="13"/>
      <c r="G578" s="13"/>
      <c r="H578" s="13"/>
      <c r="I578" s="14"/>
      <c r="J578" s="12"/>
      <c r="N578" s="12"/>
      <c r="O578" s="12"/>
      <c r="P578" s="12"/>
      <c r="Q578" s="12"/>
    </row>
    <row r="579" spans="3:17" s="11" customFormat="1">
      <c r="C579" s="12"/>
      <c r="D579" s="12"/>
      <c r="E579" s="13"/>
      <c r="F579" s="13"/>
      <c r="G579" s="13"/>
      <c r="H579" s="13"/>
      <c r="I579" s="14"/>
      <c r="J579" s="17"/>
      <c r="N579" s="12"/>
      <c r="O579" s="12"/>
      <c r="P579" s="12"/>
      <c r="Q579" s="12"/>
    </row>
    <row r="580" spans="3:17" s="11" customFormat="1">
      <c r="C580" s="12"/>
      <c r="D580" s="12"/>
      <c r="E580" s="13"/>
      <c r="F580" s="13"/>
      <c r="G580" s="13"/>
      <c r="H580" s="13"/>
      <c r="I580" s="14"/>
      <c r="J580" s="17"/>
      <c r="N580" s="12"/>
      <c r="O580" s="12"/>
      <c r="P580" s="12"/>
      <c r="Q580" s="12"/>
    </row>
    <row r="581" spans="3:17" s="11" customFormat="1">
      <c r="C581" s="12"/>
      <c r="D581" s="12"/>
      <c r="E581" s="13"/>
      <c r="F581" s="13"/>
      <c r="G581" s="13"/>
      <c r="H581" s="13"/>
      <c r="I581" s="14"/>
      <c r="J581" s="17"/>
      <c r="N581" s="12"/>
      <c r="O581" s="12"/>
      <c r="P581" s="12"/>
      <c r="Q581" s="12"/>
    </row>
    <row r="582" spans="3:17" s="11" customFormat="1">
      <c r="C582" s="12"/>
      <c r="D582" s="12"/>
      <c r="E582" s="13"/>
      <c r="F582" s="13"/>
      <c r="G582" s="13"/>
      <c r="H582" s="13"/>
      <c r="I582" s="14"/>
      <c r="J582" s="17"/>
      <c r="N582" s="12"/>
      <c r="O582" s="12"/>
      <c r="P582" s="12"/>
      <c r="Q582" s="12"/>
    </row>
    <row r="583" spans="3:17" s="11" customFormat="1">
      <c r="C583" s="17"/>
      <c r="D583" s="12"/>
      <c r="E583" s="13"/>
      <c r="F583" s="13"/>
      <c r="G583" s="13"/>
      <c r="H583" s="13"/>
      <c r="I583" s="14"/>
      <c r="J583" s="17"/>
      <c r="N583" s="12"/>
      <c r="O583" s="12"/>
      <c r="P583" s="12"/>
      <c r="Q583" s="12"/>
    </row>
  </sheetData>
  <mergeCells count="4">
    <mergeCell ref="J281:J283"/>
    <mergeCell ref="J305:J307"/>
    <mergeCell ref="J468:J470"/>
    <mergeCell ref="J486:J492"/>
  </mergeCells>
  <printOptions horizontalCentered="1"/>
  <pageMargins left="0.75" right="0.75" top="0.75" bottom="0.75" header="0.5" footer="0.5"/>
  <pageSetup scale="77" fitToHeight="0" orientation="landscape" r:id="rId1"/>
  <headerFooter alignWithMargins="0">
    <oddFooter>&amp;R&amp;A</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0"/>
  <sheetViews>
    <sheetView topLeftCell="B1" zoomScale="130" zoomScaleNormal="130" workbookViewId="0">
      <selection activeCell="B1" sqref="B1"/>
    </sheetView>
  </sheetViews>
  <sheetFormatPr defaultColWidth="8.7265625" defaultRowHeight="14.5"/>
  <cols>
    <col min="1" max="1" width="6.81640625" style="562" hidden="1" customWidth="1"/>
    <col min="2" max="2" width="6.81640625" style="562" customWidth="1"/>
    <col min="3" max="3" width="25.81640625" style="592" customWidth="1"/>
    <col min="4" max="4" width="63.7265625" style="567" customWidth="1"/>
    <col min="5" max="5" width="9.7265625" style="594" hidden="1" customWidth="1"/>
    <col min="6" max="6" width="19.1796875" style="600" hidden="1" customWidth="1"/>
    <col min="7" max="13" width="4.453125" style="567" customWidth="1"/>
    <col min="14" max="14" width="69.26953125" style="567" customWidth="1"/>
    <col min="15" max="16384" width="8.7265625" style="567"/>
  </cols>
  <sheetData>
    <row r="1" spans="1:14">
      <c r="B1" s="868" t="s">
        <v>2563</v>
      </c>
      <c r="C1" s="870"/>
      <c r="D1" s="563"/>
      <c r="E1" s="564"/>
      <c r="F1" s="565"/>
      <c r="G1" s="563"/>
      <c r="H1" s="563"/>
      <c r="I1" s="563"/>
      <c r="J1" s="563"/>
      <c r="K1" s="563"/>
      <c r="L1" s="563"/>
      <c r="M1" s="563"/>
      <c r="N1" s="566"/>
    </row>
    <row r="2" spans="1:14">
      <c r="B2" s="869" t="s">
        <v>2589</v>
      </c>
      <c r="C2" s="871"/>
      <c r="N2" s="624"/>
    </row>
    <row r="3" spans="1:14">
      <c r="B3" s="869" t="str">
        <f>'Summary-TrueUp'!A3</f>
        <v>12 Months Ending 09/30/2018 True-up</v>
      </c>
      <c r="C3" s="871"/>
      <c r="N3" s="624"/>
    </row>
    <row r="4" spans="1:14">
      <c r="B4" s="823"/>
      <c r="C4" s="569"/>
      <c r="D4" s="570"/>
      <c r="E4" s="571"/>
      <c r="F4" s="572"/>
      <c r="G4" s="863" t="s">
        <v>1499</v>
      </c>
      <c r="H4" s="864"/>
      <c r="I4" s="864"/>
      <c r="J4" s="864"/>
      <c r="K4" s="864"/>
      <c r="L4" s="864"/>
      <c r="M4" s="865"/>
      <c r="N4" s="573"/>
    </row>
    <row r="5" spans="1:14" s="577" customFormat="1" ht="29">
      <c r="A5" s="574" t="s">
        <v>1</v>
      </c>
      <c r="B5" s="575" t="s">
        <v>0</v>
      </c>
      <c r="C5" s="576" t="s">
        <v>1500</v>
      </c>
      <c r="D5" s="577" t="s">
        <v>1501</v>
      </c>
      <c r="E5" s="577" t="s">
        <v>1502</v>
      </c>
      <c r="F5" s="578" t="s">
        <v>1503</v>
      </c>
      <c r="G5" s="579" t="s">
        <v>1504</v>
      </c>
      <c r="H5" s="579" t="s">
        <v>1505</v>
      </c>
      <c r="I5" s="579" t="s">
        <v>1506</v>
      </c>
      <c r="J5" s="579" t="s">
        <v>1507</v>
      </c>
      <c r="K5" s="579" t="s">
        <v>1508</v>
      </c>
      <c r="L5" s="579" t="s">
        <v>1509</v>
      </c>
      <c r="M5" s="579" t="s">
        <v>1510</v>
      </c>
      <c r="N5" s="580" t="s">
        <v>1511</v>
      </c>
    </row>
    <row r="6" spans="1:14" s="591" customFormat="1">
      <c r="A6" s="581"/>
      <c r="B6" s="582">
        <v>1</v>
      </c>
      <c r="C6" s="583" t="s">
        <v>1512</v>
      </c>
      <c r="D6" s="584"/>
      <c r="E6" s="585"/>
      <c r="F6" s="586"/>
      <c r="G6" s="587"/>
      <c r="H6" s="587"/>
      <c r="I6" s="588"/>
      <c r="J6" s="588"/>
      <c r="K6" s="589"/>
      <c r="L6" s="588"/>
      <c r="M6" s="588"/>
      <c r="N6" s="590"/>
    </row>
    <row r="7" spans="1:14">
      <c r="A7" s="562" t="s">
        <v>236</v>
      </c>
      <c r="B7" s="582">
        <f t="shared" ref="B7:B70" si="0">B6+1</f>
        <v>2</v>
      </c>
      <c r="C7" s="592" t="s">
        <v>1513</v>
      </c>
      <c r="D7" s="593" t="s">
        <v>1514</v>
      </c>
      <c r="E7" s="594" t="s">
        <v>11</v>
      </c>
      <c r="F7" s="595">
        <v>5878984</v>
      </c>
      <c r="G7" s="596" t="s">
        <v>1515</v>
      </c>
      <c r="H7" s="597"/>
      <c r="I7" s="597"/>
      <c r="J7" s="597"/>
      <c r="K7" s="598"/>
      <c r="L7" s="597"/>
      <c r="M7" s="597"/>
      <c r="N7" s="599"/>
    </row>
    <row r="8" spans="1:14">
      <c r="B8" s="582">
        <f t="shared" si="0"/>
        <v>3</v>
      </c>
      <c r="D8" s="593" t="s">
        <v>1516</v>
      </c>
      <c r="E8" s="594" t="s">
        <v>11</v>
      </c>
      <c r="G8" s="596" t="s">
        <v>1515</v>
      </c>
      <c r="H8" s="597"/>
      <c r="I8" s="597"/>
      <c r="J8" s="597"/>
      <c r="K8" s="598"/>
      <c r="L8" s="597"/>
      <c r="M8" s="597"/>
      <c r="N8" s="599"/>
    </row>
    <row r="9" spans="1:14">
      <c r="A9" s="562" t="s">
        <v>238</v>
      </c>
      <c r="B9" s="582">
        <f t="shared" si="0"/>
        <v>4</v>
      </c>
      <c r="C9" s="592" t="s">
        <v>1517</v>
      </c>
      <c r="D9" s="593" t="s">
        <v>1518</v>
      </c>
      <c r="E9" s="594" t="s">
        <v>11</v>
      </c>
      <c r="F9" s="600">
        <v>1117933</v>
      </c>
      <c r="G9" s="597" t="s">
        <v>1515</v>
      </c>
      <c r="H9" s="597"/>
      <c r="I9" s="597"/>
      <c r="J9" s="597"/>
      <c r="K9" s="598"/>
      <c r="L9" s="597"/>
      <c r="M9" s="597"/>
      <c r="N9" s="599"/>
    </row>
    <row r="10" spans="1:14">
      <c r="B10" s="582">
        <f t="shared" si="0"/>
        <v>5</v>
      </c>
      <c r="D10" s="593" t="s">
        <v>1519</v>
      </c>
      <c r="E10" s="594" t="s">
        <v>11</v>
      </c>
      <c r="G10" s="597" t="s">
        <v>1515</v>
      </c>
      <c r="H10" s="597"/>
      <c r="I10" s="597"/>
      <c r="J10" s="597"/>
      <c r="K10" s="598"/>
      <c r="L10" s="597"/>
      <c r="M10" s="597"/>
      <c r="N10" s="599" t="s">
        <v>1520</v>
      </c>
    </row>
    <row r="11" spans="1:14">
      <c r="B11" s="582">
        <f t="shared" si="0"/>
        <v>6</v>
      </c>
      <c r="D11" s="593" t="s">
        <v>1521</v>
      </c>
      <c r="E11" s="594" t="s">
        <v>11</v>
      </c>
      <c r="G11" s="597" t="s">
        <v>1515</v>
      </c>
      <c r="H11" s="597"/>
      <c r="I11" s="597"/>
      <c r="J11" s="597"/>
      <c r="K11" s="598"/>
      <c r="L11" s="597"/>
      <c r="M11" s="597"/>
      <c r="N11" s="599"/>
    </row>
    <row r="12" spans="1:14" ht="29">
      <c r="B12" s="582">
        <f t="shared" si="0"/>
        <v>7</v>
      </c>
      <c r="D12" s="593" t="s">
        <v>1522</v>
      </c>
      <c r="E12" s="594" t="s">
        <v>11</v>
      </c>
      <c r="G12" s="597"/>
      <c r="H12" s="597" t="s">
        <v>1515</v>
      </c>
      <c r="I12" s="597"/>
      <c r="J12" s="597"/>
      <c r="K12" s="598"/>
      <c r="L12" s="597"/>
      <c r="M12" s="597"/>
      <c r="N12" s="601" t="s">
        <v>1523</v>
      </c>
    </row>
    <row r="13" spans="1:14" ht="19.5" customHeight="1">
      <c r="B13" s="582">
        <f t="shared" si="0"/>
        <v>8</v>
      </c>
      <c r="D13" s="593" t="s">
        <v>1524</v>
      </c>
      <c r="E13" s="594" t="s">
        <v>11</v>
      </c>
      <c r="G13" s="597"/>
      <c r="H13" s="597" t="s">
        <v>1515</v>
      </c>
      <c r="I13" s="597"/>
      <c r="J13" s="597"/>
      <c r="K13" s="598"/>
      <c r="L13" s="597"/>
      <c r="M13" s="597"/>
      <c r="N13" s="601" t="s">
        <v>1525</v>
      </c>
    </row>
    <row r="14" spans="1:14">
      <c r="A14" s="562" t="s">
        <v>1526</v>
      </c>
      <c r="B14" s="582">
        <f t="shared" si="0"/>
        <v>9</v>
      </c>
      <c r="C14" s="592" t="s">
        <v>1527</v>
      </c>
      <c r="D14" s="593" t="s">
        <v>1528</v>
      </c>
      <c r="E14" s="594" t="s">
        <v>11</v>
      </c>
      <c r="F14" s="600">
        <v>63325</v>
      </c>
      <c r="G14" s="596" t="s">
        <v>1515</v>
      </c>
      <c r="H14" s="596"/>
      <c r="I14" s="597"/>
      <c r="J14" s="597"/>
      <c r="K14" s="598"/>
      <c r="L14" s="597"/>
      <c r="M14" s="597"/>
      <c r="N14" s="599"/>
    </row>
    <row r="15" spans="1:14">
      <c r="A15" s="562" t="s">
        <v>243</v>
      </c>
      <c r="B15" s="582">
        <f t="shared" si="0"/>
        <v>10</v>
      </c>
      <c r="C15" s="592" t="s">
        <v>1529</v>
      </c>
      <c r="D15" s="593" t="s">
        <v>2402</v>
      </c>
      <c r="E15" s="594" t="s">
        <v>11</v>
      </c>
      <c r="F15" s="600">
        <v>2775537</v>
      </c>
      <c r="G15" s="597" t="s">
        <v>1515</v>
      </c>
      <c r="H15" s="597"/>
      <c r="I15" s="597"/>
      <c r="J15" s="597"/>
      <c r="K15" s="598"/>
      <c r="L15" s="597"/>
      <c r="M15" s="597"/>
      <c r="N15" s="599"/>
    </row>
    <row r="16" spans="1:14">
      <c r="B16" s="582">
        <f t="shared" si="0"/>
        <v>11</v>
      </c>
      <c r="D16" s="593" t="s">
        <v>1530</v>
      </c>
      <c r="E16" s="594" t="s">
        <v>11</v>
      </c>
      <c r="G16" s="597" t="s">
        <v>1515</v>
      </c>
      <c r="H16" s="597"/>
      <c r="I16" s="597"/>
      <c r="J16" s="597"/>
      <c r="K16" s="598"/>
      <c r="L16" s="597"/>
      <c r="M16" s="597"/>
      <c r="N16" s="599"/>
    </row>
    <row r="17" spans="1:14">
      <c r="B17" s="582">
        <f t="shared" si="0"/>
        <v>12</v>
      </c>
      <c r="D17" s="593" t="s">
        <v>1531</v>
      </c>
      <c r="E17" s="594" t="s">
        <v>11</v>
      </c>
      <c r="G17" s="597" t="s">
        <v>1515</v>
      </c>
      <c r="H17" s="597"/>
      <c r="I17" s="597"/>
      <c r="J17" s="597"/>
      <c r="K17" s="598"/>
      <c r="L17" s="597"/>
      <c r="M17" s="597"/>
      <c r="N17" s="599"/>
    </row>
    <row r="18" spans="1:14">
      <c r="A18" s="562" t="s">
        <v>245</v>
      </c>
      <c r="B18" s="582">
        <f t="shared" si="0"/>
        <v>13</v>
      </c>
      <c r="C18" s="592" t="s">
        <v>1532</v>
      </c>
      <c r="D18" s="593" t="s">
        <v>1533</v>
      </c>
      <c r="E18" s="594" t="s">
        <v>11</v>
      </c>
      <c r="F18" s="600">
        <v>164986</v>
      </c>
      <c r="G18" s="597" t="s">
        <v>1515</v>
      </c>
      <c r="H18" s="597"/>
      <c r="I18" s="597"/>
      <c r="J18" s="597"/>
      <c r="K18" s="598"/>
      <c r="L18" s="597"/>
      <c r="M18" s="597"/>
      <c r="N18" s="599"/>
    </row>
    <row r="19" spans="1:14">
      <c r="A19" s="562" t="s">
        <v>247</v>
      </c>
      <c r="B19" s="582">
        <f t="shared" si="0"/>
        <v>14</v>
      </c>
      <c r="C19" s="592" t="s">
        <v>1534</v>
      </c>
      <c r="D19" s="593" t="s">
        <v>1535</v>
      </c>
      <c r="E19" s="594" t="s">
        <v>11</v>
      </c>
      <c r="F19" s="600">
        <v>13937668</v>
      </c>
      <c r="G19" s="597" t="s">
        <v>1515</v>
      </c>
      <c r="H19" s="597"/>
      <c r="I19" s="597"/>
      <c r="J19" s="597"/>
      <c r="K19" s="598"/>
      <c r="L19" s="597"/>
      <c r="M19" s="597"/>
      <c r="N19" s="599"/>
    </row>
    <row r="20" spans="1:14">
      <c r="B20" s="582">
        <f t="shared" si="0"/>
        <v>15</v>
      </c>
      <c r="D20" s="593" t="s">
        <v>1536</v>
      </c>
      <c r="E20" s="594" t="s">
        <v>11</v>
      </c>
      <c r="G20" s="597" t="s">
        <v>1515</v>
      </c>
      <c r="H20" s="597"/>
      <c r="I20" s="597"/>
      <c r="J20" s="597"/>
      <c r="K20" s="598"/>
      <c r="L20" s="597"/>
      <c r="M20" s="597"/>
      <c r="N20" s="599"/>
    </row>
    <row r="21" spans="1:14">
      <c r="B21" s="582">
        <f t="shared" si="0"/>
        <v>16</v>
      </c>
      <c r="D21" s="593" t="s">
        <v>1537</v>
      </c>
      <c r="E21" s="594" t="s">
        <v>11</v>
      </c>
      <c r="G21" s="597" t="s">
        <v>1515</v>
      </c>
      <c r="H21" s="597"/>
      <c r="I21" s="597"/>
      <c r="J21" s="597"/>
      <c r="K21" s="598"/>
      <c r="L21" s="597"/>
      <c r="M21" s="597"/>
      <c r="N21" s="599"/>
    </row>
    <row r="22" spans="1:14">
      <c r="B22" s="582">
        <f t="shared" si="0"/>
        <v>17</v>
      </c>
      <c r="D22" s="593" t="s">
        <v>1538</v>
      </c>
      <c r="E22" s="594" t="s">
        <v>11</v>
      </c>
      <c r="G22" s="597" t="s">
        <v>1515</v>
      </c>
      <c r="H22" s="597"/>
      <c r="I22" s="597"/>
      <c r="J22" s="597"/>
      <c r="K22" s="597"/>
      <c r="L22" s="597"/>
      <c r="M22" s="597"/>
      <c r="N22" s="599"/>
    </row>
    <row r="23" spans="1:14">
      <c r="B23" s="582">
        <f t="shared" si="0"/>
        <v>18</v>
      </c>
      <c r="D23" s="593" t="s">
        <v>1539</v>
      </c>
      <c r="E23" s="594" t="s">
        <v>11</v>
      </c>
      <c r="G23" s="597" t="s">
        <v>1515</v>
      </c>
      <c r="H23" s="597"/>
      <c r="I23" s="597"/>
      <c r="J23" s="597"/>
      <c r="K23" s="597"/>
      <c r="L23" s="597"/>
      <c r="M23" s="597"/>
      <c r="N23" s="599"/>
    </row>
    <row r="24" spans="1:14">
      <c r="A24" s="562" t="s">
        <v>1540</v>
      </c>
      <c r="B24" s="582">
        <f t="shared" si="0"/>
        <v>19</v>
      </c>
      <c r="C24" s="592" t="s">
        <v>1541</v>
      </c>
      <c r="D24" s="593" t="s">
        <v>1542</v>
      </c>
      <c r="E24" s="594" t="s">
        <v>11</v>
      </c>
      <c r="F24" s="600">
        <v>3901175</v>
      </c>
      <c r="G24" s="597" t="s">
        <v>1515</v>
      </c>
      <c r="H24" s="597"/>
      <c r="I24" s="597"/>
      <c r="J24" s="597"/>
      <c r="K24" s="597"/>
      <c r="L24" s="597"/>
      <c r="M24" s="597"/>
      <c r="N24" s="599"/>
    </row>
    <row r="25" spans="1:14">
      <c r="B25" s="582">
        <f t="shared" si="0"/>
        <v>20</v>
      </c>
      <c r="D25" s="593" t="s">
        <v>1543</v>
      </c>
      <c r="E25" s="594" t="s">
        <v>11</v>
      </c>
      <c r="G25" s="597" t="s">
        <v>1515</v>
      </c>
      <c r="H25" s="597"/>
      <c r="I25" s="597"/>
      <c r="J25" s="597"/>
      <c r="K25" s="597"/>
      <c r="L25" s="597"/>
      <c r="M25" s="597"/>
      <c r="N25" s="599"/>
    </row>
    <row r="26" spans="1:14">
      <c r="B26" s="582">
        <f t="shared" si="0"/>
        <v>21</v>
      </c>
      <c r="D26" s="593" t="s">
        <v>1544</v>
      </c>
      <c r="E26" s="594" t="s">
        <v>11</v>
      </c>
      <c r="G26" s="597" t="s">
        <v>1515</v>
      </c>
      <c r="H26" s="597"/>
      <c r="I26" s="597"/>
      <c r="J26" s="597"/>
      <c r="K26" s="597"/>
      <c r="L26" s="597"/>
      <c r="M26" s="597"/>
      <c r="N26" s="599"/>
    </row>
    <row r="27" spans="1:14" ht="29">
      <c r="B27" s="582">
        <f t="shared" si="0"/>
        <v>22</v>
      </c>
      <c r="D27" s="593" t="s">
        <v>1545</v>
      </c>
      <c r="E27" s="594" t="s">
        <v>11</v>
      </c>
      <c r="G27" s="597"/>
      <c r="H27" s="597" t="s">
        <v>1515</v>
      </c>
      <c r="I27" s="597"/>
      <c r="J27" s="597"/>
      <c r="K27" s="597"/>
      <c r="L27" s="597"/>
      <c r="M27" s="597"/>
      <c r="N27" s="601" t="s">
        <v>1546</v>
      </c>
    </row>
    <row r="28" spans="1:14">
      <c r="B28" s="582">
        <f t="shared" si="0"/>
        <v>23</v>
      </c>
      <c r="D28" s="593" t="s">
        <v>1547</v>
      </c>
      <c r="E28" s="594" t="s">
        <v>11</v>
      </c>
      <c r="G28" s="597"/>
      <c r="H28" s="597" t="s">
        <v>1515</v>
      </c>
      <c r="I28" s="597"/>
      <c r="J28" s="597"/>
      <c r="K28" s="597"/>
      <c r="L28" s="597"/>
      <c r="M28" s="597"/>
      <c r="N28" s="599" t="s">
        <v>1548</v>
      </c>
    </row>
    <row r="29" spans="1:14">
      <c r="A29" s="562" t="s">
        <v>251</v>
      </c>
      <c r="B29" s="582">
        <f t="shared" si="0"/>
        <v>24</v>
      </c>
      <c r="C29" s="592" t="s">
        <v>1549</v>
      </c>
      <c r="D29" s="593" t="s">
        <v>1550</v>
      </c>
      <c r="E29" s="594" t="s">
        <v>11</v>
      </c>
      <c r="F29" s="600">
        <v>56597</v>
      </c>
      <c r="G29" s="597" t="s">
        <v>1515</v>
      </c>
      <c r="H29" s="597"/>
      <c r="I29" s="597"/>
      <c r="J29" s="597"/>
      <c r="K29" s="597"/>
      <c r="L29" s="597"/>
      <c r="M29" s="597"/>
      <c r="N29" s="599"/>
    </row>
    <row r="30" spans="1:14" ht="29">
      <c r="A30" s="562" t="s">
        <v>253</v>
      </c>
      <c r="B30" s="582">
        <f t="shared" si="0"/>
        <v>25</v>
      </c>
      <c r="C30" s="592" t="s">
        <v>1551</v>
      </c>
      <c r="D30" s="593" t="s">
        <v>1552</v>
      </c>
      <c r="E30" s="594" t="s">
        <v>11</v>
      </c>
      <c r="F30" s="600">
        <v>15065318</v>
      </c>
      <c r="G30" s="597" t="s">
        <v>1515</v>
      </c>
      <c r="H30" s="597"/>
      <c r="I30" s="597"/>
      <c r="J30" s="597"/>
      <c r="K30" s="597"/>
      <c r="L30" s="597"/>
      <c r="M30" s="597"/>
      <c r="N30" s="599"/>
    </row>
    <row r="31" spans="1:14">
      <c r="B31" s="582">
        <f t="shared" si="0"/>
        <v>26</v>
      </c>
      <c r="D31" s="593" t="s">
        <v>1553</v>
      </c>
      <c r="E31" s="594" t="s">
        <v>11</v>
      </c>
      <c r="G31" s="597" t="s">
        <v>1515</v>
      </c>
      <c r="H31" s="597"/>
      <c r="I31" s="597"/>
      <c r="J31" s="597"/>
      <c r="K31" s="597"/>
      <c r="L31" s="597"/>
      <c r="M31" s="597"/>
      <c r="N31" s="599"/>
    </row>
    <row r="32" spans="1:14">
      <c r="B32" s="582">
        <f t="shared" si="0"/>
        <v>27</v>
      </c>
      <c r="D32" s="602" t="s">
        <v>1554</v>
      </c>
      <c r="E32" s="594" t="s">
        <v>11</v>
      </c>
      <c r="F32" s="603"/>
      <c r="G32" s="597" t="s">
        <v>1515</v>
      </c>
      <c r="H32" s="597"/>
      <c r="I32" s="597"/>
      <c r="J32" s="597"/>
      <c r="K32" s="597"/>
      <c r="L32" s="597"/>
      <c r="M32" s="597"/>
      <c r="N32" s="599"/>
    </row>
    <row r="33" spans="1:15">
      <c r="B33" s="582">
        <f t="shared" si="0"/>
        <v>28</v>
      </c>
      <c r="D33" s="593" t="s">
        <v>1555</v>
      </c>
      <c r="E33" s="594" t="s">
        <v>11</v>
      </c>
      <c r="G33" s="597" t="s">
        <v>1515</v>
      </c>
      <c r="H33" s="597"/>
      <c r="I33" s="597"/>
      <c r="J33" s="597"/>
      <c r="K33" s="597"/>
      <c r="L33" s="597"/>
      <c r="M33" s="597"/>
      <c r="N33" s="599"/>
    </row>
    <row r="34" spans="1:15">
      <c r="B34" s="582">
        <f t="shared" si="0"/>
        <v>29</v>
      </c>
      <c r="D34" s="593" t="s">
        <v>1556</v>
      </c>
      <c r="E34" s="594" t="s">
        <v>11</v>
      </c>
      <c r="G34" s="597" t="s">
        <v>1515</v>
      </c>
      <c r="H34" s="597"/>
      <c r="I34" s="597"/>
      <c r="J34" s="597"/>
      <c r="K34" s="597"/>
      <c r="L34" s="597"/>
      <c r="M34" s="597"/>
      <c r="N34" s="599" t="s">
        <v>1557</v>
      </c>
    </row>
    <row r="35" spans="1:15">
      <c r="A35" s="562" t="s">
        <v>257</v>
      </c>
      <c r="B35" s="582">
        <f t="shared" si="0"/>
        <v>30</v>
      </c>
      <c r="C35" s="592" t="s">
        <v>1558</v>
      </c>
      <c r="D35" s="593" t="s">
        <v>1559</v>
      </c>
      <c r="E35" s="594" t="s">
        <v>36</v>
      </c>
      <c r="F35" s="600">
        <v>2316776</v>
      </c>
      <c r="G35" s="597" t="s">
        <v>1515</v>
      </c>
      <c r="H35" s="597"/>
      <c r="I35" s="597"/>
      <c r="J35" s="597"/>
      <c r="K35" s="597"/>
      <c r="L35" s="597"/>
      <c r="M35" s="597"/>
      <c r="N35" s="599"/>
    </row>
    <row r="36" spans="1:15">
      <c r="B36" s="582">
        <f t="shared" si="0"/>
        <v>31</v>
      </c>
      <c r="D36" s="593" t="s">
        <v>1560</v>
      </c>
      <c r="E36" s="594" t="s">
        <v>36</v>
      </c>
      <c r="G36" s="597" t="s">
        <v>1515</v>
      </c>
      <c r="H36" s="597"/>
      <c r="I36" s="597"/>
      <c r="J36" s="597"/>
      <c r="K36" s="597"/>
      <c r="L36" s="597"/>
      <c r="M36" s="597"/>
      <c r="N36" s="599"/>
    </row>
    <row r="37" spans="1:15">
      <c r="B37" s="582">
        <f t="shared" si="0"/>
        <v>32</v>
      </c>
      <c r="D37" s="593" t="s">
        <v>1561</v>
      </c>
      <c r="E37" s="594" t="s">
        <v>36</v>
      </c>
      <c r="G37" s="597" t="s">
        <v>1515</v>
      </c>
      <c r="H37" s="597"/>
      <c r="I37" s="597"/>
      <c r="J37" s="597"/>
      <c r="K37" s="597"/>
      <c r="L37" s="597"/>
      <c r="M37" s="597"/>
      <c r="N37" s="599"/>
    </row>
    <row r="38" spans="1:15">
      <c r="B38" s="582">
        <f t="shared" si="0"/>
        <v>33</v>
      </c>
      <c r="D38" s="593" t="s">
        <v>1562</v>
      </c>
      <c r="E38" s="594" t="s">
        <v>36</v>
      </c>
      <c r="G38" s="597" t="s">
        <v>1515</v>
      </c>
      <c r="H38" s="597"/>
      <c r="I38" s="597"/>
      <c r="J38" s="597"/>
      <c r="K38" s="597"/>
      <c r="L38" s="597"/>
      <c r="M38" s="597"/>
      <c r="N38" s="599"/>
    </row>
    <row r="39" spans="1:15">
      <c r="B39" s="582">
        <f t="shared" si="0"/>
        <v>34</v>
      </c>
      <c r="D39" s="593" t="s">
        <v>1563</v>
      </c>
      <c r="E39" s="594" t="s">
        <v>36</v>
      </c>
      <c r="G39" s="597"/>
      <c r="H39" s="597" t="s">
        <v>1515</v>
      </c>
      <c r="I39" s="597"/>
      <c r="J39" s="597"/>
      <c r="K39" s="597"/>
      <c r="L39" s="597"/>
      <c r="M39" s="597"/>
      <c r="N39" s="599" t="s">
        <v>1564</v>
      </c>
    </row>
    <row r="40" spans="1:15">
      <c r="A40" s="562" t="s">
        <v>1565</v>
      </c>
      <c r="B40" s="582">
        <f t="shared" si="0"/>
        <v>35</v>
      </c>
      <c r="C40" s="592" t="s">
        <v>1566</v>
      </c>
      <c r="D40" s="593" t="s">
        <v>1567</v>
      </c>
      <c r="E40" s="594" t="s">
        <v>11</v>
      </c>
      <c r="F40" s="600">
        <v>2216942</v>
      </c>
      <c r="G40" s="597" t="s">
        <v>1515</v>
      </c>
      <c r="H40" s="597"/>
      <c r="I40" s="597"/>
      <c r="J40" s="597"/>
      <c r="K40" s="597"/>
      <c r="L40" s="597"/>
      <c r="M40" s="597"/>
      <c r="N40" s="599"/>
    </row>
    <row r="41" spans="1:15">
      <c r="B41" s="582">
        <f t="shared" si="0"/>
        <v>36</v>
      </c>
      <c r="D41" s="593" t="s">
        <v>1568</v>
      </c>
      <c r="E41" s="594" t="s">
        <v>11</v>
      </c>
      <c r="G41" s="597" t="s">
        <v>1515</v>
      </c>
      <c r="H41" s="597"/>
      <c r="I41" s="597"/>
      <c r="J41" s="597"/>
      <c r="K41" s="597"/>
      <c r="L41" s="597"/>
      <c r="M41" s="597"/>
      <c r="N41" s="599"/>
      <c r="O41" s="604"/>
    </row>
    <row r="42" spans="1:15">
      <c r="B42" s="582">
        <f t="shared" si="0"/>
        <v>37</v>
      </c>
      <c r="D42" s="593" t="s">
        <v>1569</v>
      </c>
      <c r="E42" s="594" t="s">
        <v>11</v>
      </c>
      <c r="G42" s="597" t="s">
        <v>1515</v>
      </c>
      <c r="H42" s="597"/>
      <c r="I42" s="597"/>
      <c r="J42" s="597"/>
      <c r="K42" s="597"/>
      <c r="L42" s="597"/>
      <c r="M42" s="597"/>
      <c r="N42" s="599"/>
    </row>
    <row r="43" spans="1:15">
      <c r="B43" s="582">
        <f t="shared" si="0"/>
        <v>38</v>
      </c>
      <c r="D43" s="593" t="s">
        <v>1570</v>
      </c>
      <c r="E43" s="594" t="s">
        <v>11</v>
      </c>
      <c r="G43" s="597" t="s">
        <v>1515</v>
      </c>
      <c r="H43" s="597"/>
      <c r="I43" s="597"/>
      <c r="J43" s="597"/>
      <c r="K43" s="597"/>
      <c r="L43" s="597"/>
      <c r="M43" s="597"/>
      <c r="N43" s="599"/>
    </row>
    <row r="44" spans="1:15" ht="29">
      <c r="A44" s="562" t="s">
        <v>261</v>
      </c>
      <c r="B44" s="582">
        <f t="shared" si="0"/>
        <v>39</v>
      </c>
      <c r="C44" s="592" t="s">
        <v>1571</v>
      </c>
      <c r="D44" s="593" t="s">
        <v>2452</v>
      </c>
      <c r="E44" s="594" t="s">
        <v>11</v>
      </c>
      <c r="F44" s="600">
        <v>3573151</v>
      </c>
      <c r="G44" s="597" t="s">
        <v>1515</v>
      </c>
      <c r="H44" s="597"/>
      <c r="I44" s="597"/>
      <c r="J44" s="597"/>
      <c r="K44" s="597"/>
      <c r="L44" s="597"/>
      <c r="M44" s="597"/>
      <c r="N44" s="599"/>
    </row>
    <row r="45" spans="1:15">
      <c r="B45" s="582">
        <f t="shared" si="0"/>
        <v>40</v>
      </c>
      <c r="D45" s="593" t="s">
        <v>2453</v>
      </c>
      <c r="E45" s="594" t="s">
        <v>11</v>
      </c>
      <c r="G45" s="597" t="s">
        <v>1515</v>
      </c>
      <c r="H45" s="597"/>
      <c r="I45" s="597"/>
      <c r="J45" s="597"/>
      <c r="K45" s="597"/>
      <c r="L45" s="597"/>
      <c r="M45" s="597"/>
      <c r="N45" s="599"/>
    </row>
    <row r="46" spans="1:15">
      <c r="B46" s="582">
        <f t="shared" si="0"/>
        <v>41</v>
      </c>
      <c r="D46" s="593" t="s">
        <v>2338</v>
      </c>
      <c r="E46" s="594" t="s">
        <v>11</v>
      </c>
      <c r="G46" s="597" t="s">
        <v>1515</v>
      </c>
      <c r="H46" s="597"/>
      <c r="I46" s="597"/>
      <c r="J46" s="597"/>
      <c r="K46" s="597"/>
      <c r="L46" s="597"/>
      <c r="M46" s="597"/>
      <c r="N46" s="599"/>
    </row>
    <row r="47" spans="1:15" ht="29">
      <c r="B47" s="582">
        <f t="shared" si="0"/>
        <v>42</v>
      </c>
      <c r="D47" s="593" t="s">
        <v>1545</v>
      </c>
      <c r="E47" s="594" t="s">
        <v>11</v>
      </c>
      <c r="G47" s="597"/>
      <c r="H47" s="597" t="s">
        <v>1515</v>
      </c>
      <c r="I47" s="597"/>
      <c r="J47" s="597"/>
      <c r="K47" s="597"/>
      <c r="L47" s="597"/>
      <c r="M47" s="597"/>
      <c r="N47" s="599" t="s">
        <v>1572</v>
      </c>
    </row>
    <row r="48" spans="1:15" ht="29">
      <c r="B48" s="582">
        <f t="shared" si="0"/>
        <v>43</v>
      </c>
      <c r="D48" s="593" t="s">
        <v>1573</v>
      </c>
      <c r="E48" s="594" t="s">
        <v>11</v>
      </c>
      <c r="G48" s="597"/>
      <c r="H48" s="597" t="s">
        <v>1515</v>
      </c>
      <c r="I48" s="597"/>
      <c r="J48" s="597"/>
      <c r="K48" s="597"/>
      <c r="L48" s="597"/>
      <c r="M48" s="597"/>
      <c r="N48" s="599" t="s">
        <v>1572</v>
      </c>
    </row>
    <row r="49" spans="1:14" ht="29">
      <c r="B49" s="582">
        <f t="shared" si="0"/>
        <v>44</v>
      </c>
      <c r="D49" s="593" t="s">
        <v>1574</v>
      </c>
      <c r="E49" s="594" t="s">
        <v>11</v>
      </c>
      <c r="G49" s="597"/>
      <c r="H49" s="597" t="s">
        <v>1515</v>
      </c>
      <c r="I49" s="597"/>
      <c r="J49" s="597"/>
      <c r="K49" s="597"/>
      <c r="L49" s="597"/>
      <c r="M49" s="597"/>
      <c r="N49" s="599" t="s">
        <v>1575</v>
      </c>
    </row>
    <row r="50" spans="1:14">
      <c r="B50" s="582">
        <f t="shared" si="0"/>
        <v>45</v>
      </c>
      <c r="C50" s="592" t="s">
        <v>2339</v>
      </c>
      <c r="D50" s="593" t="s">
        <v>2340</v>
      </c>
      <c r="G50" s="597" t="s">
        <v>1515</v>
      </c>
      <c r="H50" s="597"/>
      <c r="I50" s="597"/>
      <c r="J50" s="597"/>
      <c r="K50" s="597"/>
      <c r="L50" s="597"/>
      <c r="M50" s="597"/>
      <c r="N50" s="599"/>
    </row>
    <row r="51" spans="1:14">
      <c r="A51" s="562" t="s">
        <v>1576</v>
      </c>
      <c r="B51" s="582">
        <f t="shared" si="0"/>
        <v>46</v>
      </c>
      <c r="C51" s="592" t="s">
        <v>1577</v>
      </c>
      <c r="D51" s="593" t="s">
        <v>1578</v>
      </c>
      <c r="E51" s="594" t="s">
        <v>11</v>
      </c>
      <c r="F51" s="600">
        <v>0</v>
      </c>
      <c r="G51" s="597" t="s">
        <v>1515</v>
      </c>
      <c r="H51" s="597"/>
      <c r="I51" s="597"/>
      <c r="J51" s="597"/>
      <c r="K51" s="597"/>
      <c r="L51" s="597"/>
      <c r="M51" s="597"/>
      <c r="N51" s="599"/>
    </row>
    <row r="52" spans="1:14">
      <c r="A52" s="562" t="s">
        <v>465</v>
      </c>
      <c r="B52" s="582">
        <f t="shared" si="0"/>
        <v>47</v>
      </c>
      <c r="C52" s="592" t="s">
        <v>1579</v>
      </c>
      <c r="D52" s="593" t="s">
        <v>1580</v>
      </c>
      <c r="G52" s="597" t="s">
        <v>1515</v>
      </c>
      <c r="H52" s="597"/>
      <c r="I52" s="597"/>
      <c r="J52" s="597"/>
      <c r="K52" s="597"/>
      <c r="L52" s="597"/>
      <c r="M52" s="597"/>
      <c r="N52" s="599"/>
    </row>
    <row r="53" spans="1:14">
      <c r="A53" s="562" t="s">
        <v>263</v>
      </c>
      <c r="B53" s="582">
        <f t="shared" si="0"/>
        <v>48</v>
      </c>
      <c r="C53" s="592" t="s">
        <v>1581</v>
      </c>
      <c r="D53" s="593" t="s">
        <v>1582</v>
      </c>
      <c r="E53" s="594" t="s">
        <v>11</v>
      </c>
      <c r="F53" s="600">
        <v>2463312</v>
      </c>
      <c r="G53" s="597" t="s">
        <v>1515</v>
      </c>
      <c r="H53" s="597" t="s">
        <v>1515</v>
      </c>
      <c r="I53" s="597"/>
      <c r="J53" s="597"/>
      <c r="K53" s="597"/>
      <c r="L53" s="597"/>
      <c r="M53" s="597"/>
      <c r="N53" s="599" t="s">
        <v>1583</v>
      </c>
    </row>
    <row r="54" spans="1:14">
      <c r="B54" s="582">
        <f t="shared" si="0"/>
        <v>49</v>
      </c>
      <c r="D54" s="593" t="s">
        <v>1584</v>
      </c>
      <c r="E54" s="594" t="s">
        <v>11</v>
      </c>
      <c r="G54" s="597" t="s">
        <v>1515</v>
      </c>
      <c r="H54" s="597"/>
      <c r="I54" s="597"/>
      <c r="J54" s="597"/>
      <c r="K54" s="597"/>
      <c r="L54" s="597"/>
      <c r="M54" s="597"/>
      <c r="N54" s="599"/>
    </row>
    <row r="55" spans="1:14">
      <c r="A55" s="562" t="s">
        <v>1585</v>
      </c>
      <c r="B55" s="582">
        <f t="shared" si="0"/>
        <v>50</v>
      </c>
      <c r="C55" s="592" t="s">
        <v>1586</v>
      </c>
      <c r="D55" s="593" t="s">
        <v>1587</v>
      </c>
      <c r="E55" s="594" t="s">
        <v>11</v>
      </c>
      <c r="F55" s="600">
        <v>3157165</v>
      </c>
      <c r="G55" s="597" t="s">
        <v>1515</v>
      </c>
      <c r="H55" s="597"/>
      <c r="I55" s="597"/>
      <c r="J55" s="597"/>
      <c r="K55" s="597"/>
      <c r="L55" s="597"/>
      <c r="M55" s="597"/>
      <c r="N55" s="599"/>
    </row>
    <row r="56" spans="1:14">
      <c r="B56" s="582">
        <f t="shared" si="0"/>
        <v>51</v>
      </c>
      <c r="D56" s="593" t="s">
        <v>1588</v>
      </c>
      <c r="E56" s="594" t="s">
        <v>11</v>
      </c>
      <c r="G56" s="597" t="s">
        <v>1515</v>
      </c>
      <c r="H56" s="597"/>
      <c r="I56" s="597"/>
      <c r="J56" s="597"/>
      <c r="K56" s="597"/>
      <c r="L56" s="597"/>
      <c r="M56" s="597"/>
      <c r="N56" s="599"/>
    </row>
    <row r="57" spans="1:14">
      <c r="B57" s="582">
        <f t="shared" si="0"/>
        <v>52</v>
      </c>
      <c r="D57" s="593" t="s">
        <v>1589</v>
      </c>
      <c r="E57" s="594" t="s">
        <v>11</v>
      </c>
      <c r="G57" s="597" t="s">
        <v>1515</v>
      </c>
      <c r="H57" s="597"/>
      <c r="I57" s="597"/>
      <c r="J57" s="597"/>
      <c r="K57" s="597"/>
      <c r="L57" s="597"/>
      <c r="M57" s="597"/>
      <c r="N57" s="599"/>
    </row>
    <row r="58" spans="1:14">
      <c r="B58" s="582">
        <f t="shared" si="0"/>
        <v>53</v>
      </c>
      <c r="C58" s="592" t="s">
        <v>2021</v>
      </c>
      <c r="D58" s="593" t="s">
        <v>2022</v>
      </c>
      <c r="E58" s="594" t="s">
        <v>11</v>
      </c>
      <c r="F58" s="600">
        <v>1286118</v>
      </c>
      <c r="G58" s="597" t="s">
        <v>1515</v>
      </c>
      <c r="H58" s="597"/>
      <c r="I58" s="597"/>
      <c r="J58" s="597"/>
      <c r="K58" s="597"/>
      <c r="L58" s="597"/>
      <c r="M58" s="597"/>
      <c r="N58" s="599"/>
    </row>
    <row r="59" spans="1:14">
      <c r="A59" s="562" t="s">
        <v>267</v>
      </c>
      <c r="B59" s="582">
        <f t="shared" si="0"/>
        <v>54</v>
      </c>
      <c r="C59" s="592" t="s">
        <v>1590</v>
      </c>
      <c r="D59" s="593" t="s">
        <v>1591</v>
      </c>
      <c r="E59" s="594" t="s">
        <v>11</v>
      </c>
      <c r="F59" s="605">
        <v>7760738</v>
      </c>
      <c r="G59" s="597" t="s">
        <v>1515</v>
      </c>
      <c r="H59" s="597"/>
      <c r="I59" s="597"/>
      <c r="J59" s="597"/>
      <c r="K59" s="597"/>
      <c r="L59" s="597"/>
      <c r="M59" s="597"/>
      <c r="N59" s="599"/>
    </row>
    <row r="60" spans="1:14">
      <c r="B60" s="582">
        <f t="shared" si="0"/>
        <v>55</v>
      </c>
      <c r="D60" s="593" t="s">
        <v>1592</v>
      </c>
      <c r="E60" s="594" t="s">
        <v>11</v>
      </c>
      <c r="G60" s="597" t="s">
        <v>1515</v>
      </c>
      <c r="H60" s="597"/>
      <c r="I60" s="597"/>
      <c r="J60" s="597"/>
      <c r="K60" s="597"/>
      <c r="L60" s="597"/>
      <c r="M60" s="597"/>
      <c r="N60" s="599"/>
    </row>
    <row r="61" spans="1:14">
      <c r="B61" s="582">
        <f t="shared" si="0"/>
        <v>56</v>
      </c>
      <c r="D61" s="593" t="s">
        <v>1593</v>
      </c>
      <c r="E61" s="594" t="s">
        <v>11</v>
      </c>
      <c r="G61" s="597" t="s">
        <v>1515</v>
      </c>
      <c r="H61" s="597"/>
      <c r="I61" s="597"/>
      <c r="J61" s="597"/>
      <c r="K61" s="597"/>
      <c r="L61" s="597"/>
      <c r="M61" s="597"/>
      <c r="N61" s="599"/>
    </row>
    <row r="62" spans="1:14">
      <c r="B62" s="582">
        <f t="shared" si="0"/>
        <v>57</v>
      </c>
      <c r="D62" s="593" t="s">
        <v>1594</v>
      </c>
      <c r="E62" s="594" t="s">
        <v>11</v>
      </c>
      <c r="G62" s="597" t="s">
        <v>1515</v>
      </c>
      <c r="H62" s="597"/>
      <c r="I62" s="597"/>
      <c r="J62" s="597"/>
      <c r="K62" s="597"/>
      <c r="L62" s="597"/>
      <c r="M62" s="597"/>
      <c r="N62" s="599"/>
    </row>
    <row r="63" spans="1:14">
      <c r="A63" s="562" t="s">
        <v>269</v>
      </c>
      <c r="B63" s="582">
        <f t="shared" si="0"/>
        <v>58</v>
      </c>
      <c r="C63" s="592" t="s">
        <v>1595</v>
      </c>
      <c r="D63" s="593" t="s">
        <v>1596</v>
      </c>
      <c r="E63" s="594" t="s">
        <v>36</v>
      </c>
      <c r="F63" s="600">
        <v>5320569</v>
      </c>
      <c r="G63" s="597" t="s">
        <v>1515</v>
      </c>
      <c r="H63" s="597"/>
      <c r="I63" s="597"/>
      <c r="J63" s="597"/>
      <c r="K63" s="597"/>
      <c r="L63" s="597"/>
      <c r="M63" s="597"/>
      <c r="N63" s="599"/>
    </row>
    <row r="64" spans="1:14">
      <c r="B64" s="582">
        <f t="shared" si="0"/>
        <v>59</v>
      </c>
      <c r="D64" s="593" t="s">
        <v>1597</v>
      </c>
      <c r="E64" s="594" t="s">
        <v>36</v>
      </c>
      <c r="G64" s="597" t="s">
        <v>1515</v>
      </c>
      <c r="H64" s="597"/>
      <c r="I64" s="597"/>
      <c r="J64" s="597"/>
      <c r="K64" s="597"/>
      <c r="L64" s="597"/>
      <c r="M64" s="597"/>
      <c r="N64" s="599"/>
    </row>
    <row r="65" spans="1:14">
      <c r="B65" s="582">
        <f t="shared" si="0"/>
        <v>60</v>
      </c>
      <c r="D65" s="593" t="s">
        <v>1598</v>
      </c>
      <c r="E65" s="594" t="s">
        <v>36</v>
      </c>
      <c r="G65" s="597" t="s">
        <v>1515</v>
      </c>
      <c r="H65" s="597"/>
      <c r="I65" s="597"/>
      <c r="J65" s="597"/>
      <c r="K65" s="597"/>
      <c r="L65" s="597"/>
      <c r="M65" s="597"/>
      <c r="N65" s="599"/>
    </row>
    <row r="66" spans="1:14" ht="29">
      <c r="B66" s="582">
        <f t="shared" si="0"/>
        <v>61</v>
      </c>
      <c r="D66" s="593" t="s">
        <v>1599</v>
      </c>
      <c r="E66" s="594" t="s">
        <v>36</v>
      </c>
      <c r="G66" s="597" t="s">
        <v>1515</v>
      </c>
      <c r="H66" s="597"/>
      <c r="I66" s="597"/>
      <c r="J66" s="597"/>
      <c r="K66" s="597"/>
      <c r="L66" s="597"/>
      <c r="M66" s="597"/>
      <c r="N66" s="599"/>
    </row>
    <row r="67" spans="1:14">
      <c r="B67" s="582">
        <f t="shared" si="0"/>
        <v>62</v>
      </c>
      <c r="D67" s="593" t="s">
        <v>1600</v>
      </c>
      <c r="E67" s="594" t="s">
        <v>36</v>
      </c>
      <c r="G67" s="597" t="s">
        <v>1515</v>
      </c>
      <c r="H67" s="597"/>
      <c r="I67" s="597"/>
      <c r="J67" s="597"/>
      <c r="K67" s="597"/>
      <c r="L67" s="597"/>
      <c r="M67" s="597"/>
      <c r="N67" s="599"/>
    </row>
    <row r="68" spans="1:14" ht="29">
      <c r="A68" s="562" t="s">
        <v>271</v>
      </c>
      <c r="B68" s="582">
        <f t="shared" si="0"/>
        <v>63</v>
      </c>
      <c r="C68" s="592" t="s">
        <v>1601</v>
      </c>
      <c r="D68" s="593" t="s">
        <v>1602</v>
      </c>
      <c r="E68" s="594" t="s">
        <v>11</v>
      </c>
      <c r="F68" s="600">
        <v>8549123</v>
      </c>
      <c r="G68" s="597" t="s">
        <v>1515</v>
      </c>
      <c r="H68" s="597"/>
      <c r="I68" s="597"/>
      <c r="J68" s="597"/>
      <c r="K68" s="597"/>
      <c r="L68" s="597"/>
      <c r="M68" s="597"/>
      <c r="N68" s="599"/>
    </row>
    <row r="69" spans="1:14">
      <c r="B69" s="582">
        <f t="shared" si="0"/>
        <v>64</v>
      </c>
      <c r="D69" s="593" t="s">
        <v>1603</v>
      </c>
      <c r="E69" s="594" t="s">
        <v>11</v>
      </c>
      <c r="G69" s="597" t="s">
        <v>1515</v>
      </c>
      <c r="H69" s="597"/>
      <c r="I69" s="597"/>
      <c r="J69" s="597"/>
      <c r="K69" s="597"/>
      <c r="L69" s="597"/>
      <c r="M69" s="597"/>
      <c r="N69" s="599"/>
    </row>
    <row r="70" spans="1:14">
      <c r="B70" s="582">
        <f t="shared" si="0"/>
        <v>65</v>
      </c>
      <c r="D70" s="593" t="s">
        <v>1604</v>
      </c>
      <c r="E70" s="594" t="s">
        <v>11</v>
      </c>
      <c r="G70" s="597" t="s">
        <v>1515</v>
      </c>
      <c r="H70" s="597"/>
      <c r="I70" s="597"/>
      <c r="J70" s="597"/>
      <c r="K70" s="597"/>
      <c r="L70" s="597"/>
      <c r="M70" s="597"/>
      <c r="N70" s="599"/>
    </row>
    <row r="71" spans="1:14">
      <c r="B71" s="582">
        <f t="shared" ref="B71:B134" si="1">B70+1</f>
        <v>66</v>
      </c>
      <c r="D71" s="593" t="s">
        <v>1605</v>
      </c>
      <c r="E71" s="594" t="s">
        <v>11</v>
      </c>
      <c r="G71" s="597" t="s">
        <v>1515</v>
      </c>
      <c r="H71" s="597"/>
      <c r="I71" s="597"/>
      <c r="J71" s="597"/>
      <c r="K71" s="597"/>
      <c r="L71" s="597"/>
      <c r="M71" s="597"/>
      <c r="N71" s="599"/>
    </row>
    <row r="72" spans="1:14">
      <c r="B72" s="582">
        <f t="shared" si="1"/>
        <v>67</v>
      </c>
      <c r="D72" s="593" t="s">
        <v>1606</v>
      </c>
      <c r="E72" s="594" t="s">
        <v>11</v>
      </c>
      <c r="G72" s="597" t="s">
        <v>1515</v>
      </c>
      <c r="H72" s="597"/>
      <c r="I72" s="597"/>
      <c r="J72" s="597"/>
      <c r="K72" s="597"/>
      <c r="L72" s="597"/>
      <c r="M72" s="597"/>
      <c r="N72" s="599"/>
    </row>
    <row r="73" spans="1:14">
      <c r="A73" s="562" t="s">
        <v>273</v>
      </c>
      <c r="B73" s="582">
        <f t="shared" si="1"/>
        <v>68</v>
      </c>
      <c r="C73" s="592" t="s">
        <v>1607</v>
      </c>
      <c r="D73" s="593" t="s">
        <v>1608</v>
      </c>
      <c r="E73" s="594" t="s">
        <v>36</v>
      </c>
      <c r="F73" s="600">
        <v>11177951</v>
      </c>
      <c r="G73" s="597"/>
      <c r="H73" s="597"/>
      <c r="I73" s="597" t="s">
        <v>1515</v>
      </c>
      <c r="J73" s="597"/>
      <c r="K73" s="597"/>
      <c r="L73" s="597"/>
      <c r="M73" s="597"/>
      <c r="N73" s="599" t="s">
        <v>1609</v>
      </c>
    </row>
    <row r="74" spans="1:14">
      <c r="B74" s="582">
        <f t="shared" si="1"/>
        <v>69</v>
      </c>
      <c r="D74" s="593" t="s">
        <v>1610</v>
      </c>
      <c r="E74" s="594" t="s">
        <v>36</v>
      </c>
      <c r="G74" s="597" t="s">
        <v>1515</v>
      </c>
      <c r="H74" s="597"/>
      <c r="I74" s="597"/>
      <c r="J74" s="597"/>
      <c r="K74" s="597"/>
      <c r="L74" s="597"/>
      <c r="M74" s="597"/>
      <c r="N74" s="599"/>
    </row>
    <row r="75" spans="1:14">
      <c r="B75" s="582">
        <f t="shared" si="1"/>
        <v>70</v>
      </c>
      <c r="D75" s="593" t="s">
        <v>1611</v>
      </c>
      <c r="E75" s="594" t="s">
        <v>36</v>
      </c>
      <c r="G75" s="597" t="s">
        <v>1515</v>
      </c>
      <c r="H75" s="597"/>
      <c r="I75" s="597"/>
      <c r="J75" s="597"/>
      <c r="K75" s="597"/>
      <c r="L75" s="597"/>
      <c r="M75" s="597"/>
      <c r="N75" s="599"/>
    </row>
    <row r="76" spans="1:14">
      <c r="A76" s="562" t="s">
        <v>275</v>
      </c>
      <c r="B76" s="582">
        <f t="shared" si="1"/>
        <v>71</v>
      </c>
      <c r="C76" s="592" t="s">
        <v>1612</v>
      </c>
      <c r="D76" s="593" t="s">
        <v>1613</v>
      </c>
      <c r="E76" s="594" t="s">
        <v>11</v>
      </c>
      <c r="F76" s="600">
        <v>2390851</v>
      </c>
      <c r="G76" s="597" t="s">
        <v>1515</v>
      </c>
      <c r="H76" s="597" t="s">
        <v>1515</v>
      </c>
      <c r="I76" s="597"/>
      <c r="J76" s="597"/>
      <c r="K76" s="597"/>
      <c r="L76" s="597"/>
      <c r="M76" s="597"/>
      <c r="N76" s="599" t="s">
        <v>1614</v>
      </c>
    </row>
    <row r="77" spans="1:14">
      <c r="A77" s="562" t="s">
        <v>277</v>
      </c>
      <c r="B77" s="582">
        <f t="shared" si="1"/>
        <v>72</v>
      </c>
      <c r="C77" s="592" t="s">
        <v>1615</v>
      </c>
      <c r="D77" s="593" t="s">
        <v>1596</v>
      </c>
      <c r="E77" s="594" t="s">
        <v>36</v>
      </c>
      <c r="F77" s="600">
        <v>2575384</v>
      </c>
      <c r="G77" s="597" t="s">
        <v>1515</v>
      </c>
      <c r="H77" s="597"/>
      <c r="I77" s="597"/>
      <c r="J77" s="597"/>
      <c r="K77" s="597"/>
      <c r="L77" s="597"/>
      <c r="M77" s="597"/>
      <c r="N77" s="599"/>
    </row>
    <row r="78" spans="1:14">
      <c r="B78" s="582">
        <f t="shared" si="1"/>
        <v>73</v>
      </c>
      <c r="D78" s="593" t="s">
        <v>1616</v>
      </c>
      <c r="E78" s="594" t="s">
        <v>36</v>
      </c>
      <c r="G78" s="597" t="s">
        <v>1515</v>
      </c>
      <c r="H78" s="597"/>
      <c r="I78" s="597"/>
      <c r="J78" s="597"/>
      <c r="K78" s="597"/>
      <c r="L78" s="597"/>
      <c r="M78" s="597"/>
      <c r="N78" s="599"/>
    </row>
    <row r="79" spans="1:14">
      <c r="B79" s="582">
        <f t="shared" si="1"/>
        <v>74</v>
      </c>
      <c r="D79" s="593" t="s">
        <v>1617</v>
      </c>
      <c r="E79" s="594" t="s">
        <v>36</v>
      </c>
      <c r="G79" s="597" t="s">
        <v>1515</v>
      </c>
      <c r="H79" s="597"/>
      <c r="I79" s="597"/>
      <c r="J79" s="597"/>
      <c r="K79" s="597"/>
      <c r="L79" s="597"/>
      <c r="M79" s="597"/>
      <c r="N79" s="599"/>
    </row>
    <row r="80" spans="1:14">
      <c r="B80" s="582">
        <f t="shared" si="1"/>
        <v>75</v>
      </c>
      <c r="D80" s="593" t="s">
        <v>1618</v>
      </c>
      <c r="E80" s="594" t="s">
        <v>36</v>
      </c>
      <c r="G80" s="597" t="s">
        <v>1515</v>
      </c>
      <c r="H80" s="597"/>
      <c r="I80" s="597"/>
      <c r="J80" s="597"/>
      <c r="K80" s="597"/>
      <c r="L80" s="597"/>
      <c r="M80" s="597"/>
      <c r="N80" s="599"/>
    </row>
    <row r="81" spans="1:14">
      <c r="B81" s="582">
        <f t="shared" si="1"/>
        <v>76</v>
      </c>
      <c r="D81" s="593" t="s">
        <v>1619</v>
      </c>
      <c r="E81" s="594" t="s">
        <v>36</v>
      </c>
      <c r="G81" s="597" t="s">
        <v>1515</v>
      </c>
      <c r="H81" s="597"/>
      <c r="I81" s="597"/>
      <c r="J81" s="597"/>
      <c r="K81" s="597"/>
      <c r="L81" s="597"/>
      <c r="M81" s="597"/>
      <c r="N81" s="599"/>
    </row>
    <row r="82" spans="1:14">
      <c r="A82" s="562" t="s">
        <v>281</v>
      </c>
      <c r="B82" s="582">
        <f t="shared" si="1"/>
        <v>77</v>
      </c>
      <c r="C82" s="592" t="s">
        <v>1620</v>
      </c>
      <c r="D82" s="593" t="s">
        <v>1621</v>
      </c>
      <c r="E82" s="594" t="s">
        <v>11</v>
      </c>
      <c r="F82" s="600">
        <v>10656664</v>
      </c>
      <c r="G82" s="597" t="s">
        <v>1515</v>
      </c>
      <c r="H82" s="597"/>
      <c r="I82" s="597"/>
      <c r="J82" s="597"/>
      <c r="K82" s="597"/>
      <c r="L82" s="597"/>
      <c r="M82" s="597"/>
      <c r="N82" s="599"/>
    </row>
    <row r="83" spans="1:14">
      <c r="B83" s="582">
        <f t="shared" si="1"/>
        <v>78</v>
      </c>
      <c r="D83" s="593" t="s">
        <v>1622</v>
      </c>
      <c r="E83" s="594" t="s">
        <v>11</v>
      </c>
      <c r="G83" s="597" t="s">
        <v>1515</v>
      </c>
      <c r="H83" s="597"/>
      <c r="I83" s="597"/>
      <c r="J83" s="597"/>
      <c r="K83" s="597"/>
      <c r="L83" s="597"/>
      <c r="M83" s="597"/>
      <c r="N83" s="599"/>
    </row>
    <row r="84" spans="1:14">
      <c r="B84" s="582">
        <f t="shared" si="1"/>
        <v>79</v>
      </c>
      <c r="D84" s="593" t="s">
        <v>1623</v>
      </c>
      <c r="E84" s="594" t="s">
        <v>11</v>
      </c>
      <c r="G84" s="597" t="s">
        <v>1515</v>
      </c>
      <c r="H84" s="597"/>
      <c r="I84" s="597"/>
      <c r="J84" s="597"/>
      <c r="K84" s="597"/>
      <c r="L84" s="597"/>
      <c r="M84" s="597"/>
      <c r="N84" s="599"/>
    </row>
    <row r="85" spans="1:14">
      <c r="B85" s="582">
        <f t="shared" si="1"/>
        <v>80</v>
      </c>
      <c r="D85" s="593" t="s">
        <v>1543</v>
      </c>
      <c r="E85" s="594" t="s">
        <v>11</v>
      </c>
      <c r="G85" s="597" t="s">
        <v>1515</v>
      </c>
      <c r="H85" s="597"/>
      <c r="I85" s="597"/>
      <c r="J85" s="597"/>
      <c r="K85" s="597"/>
      <c r="L85" s="597"/>
      <c r="M85" s="597"/>
      <c r="N85" s="599"/>
    </row>
    <row r="86" spans="1:14">
      <c r="B86" s="582">
        <f t="shared" si="1"/>
        <v>81</v>
      </c>
      <c r="D86" s="593" t="s">
        <v>1624</v>
      </c>
      <c r="E86" s="594" t="s">
        <v>11</v>
      </c>
      <c r="G86" s="597" t="s">
        <v>1515</v>
      </c>
      <c r="H86" s="597"/>
      <c r="I86" s="597"/>
      <c r="J86" s="597"/>
      <c r="K86" s="597"/>
      <c r="L86" s="597"/>
      <c r="M86" s="597"/>
      <c r="N86" s="599"/>
    </row>
    <row r="87" spans="1:14">
      <c r="B87" s="582">
        <f t="shared" si="1"/>
        <v>82</v>
      </c>
      <c r="D87" s="593" t="s">
        <v>1625</v>
      </c>
      <c r="E87" s="594" t="s">
        <v>11</v>
      </c>
      <c r="G87" s="597" t="s">
        <v>1515</v>
      </c>
      <c r="H87" s="597"/>
      <c r="I87" s="597"/>
      <c r="J87" s="597"/>
      <c r="K87" s="597"/>
      <c r="L87" s="597"/>
      <c r="M87" s="597"/>
      <c r="N87" s="599"/>
    </row>
    <row r="88" spans="1:14">
      <c r="B88" s="582">
        <f t="shared" si="1"/>
        <v>83</v>
      </c>
      <c r="D88" s="593" t="s">
        <v>1626</v>
      </c>
      <c r="E88" s="594" t="s">
        <v>11</v>
      </c>
      <c r="G88" s="597" t="s">
        <v>1515</v>
      </c>
      <c r="H88" s="597"/>
      <c r="I88" s="597"/>
      <c r="J88" s="597"/>
      <c r="K88" s="597"/>
      <c r="L88" s="597"/>
      <c r="M88" s="597"/>
      <c r="N88" s="599"/>
    </row>
    <row r="89" spans="1:14" ht="29">
      <c r="A89" s="562" t="s">
        <v>283</v>
      </c>
      <c r="B89" s="582">
        <f t="shared" si="1"/>
        <v>84</v>
      </c>
      <c r="C89" s="592" t="s">
        <v>1627</v>
      </c>
      <c r="D89" s="593" t="s">
        <v>1628</v>
      </c>
      <c r="E89" s="594" t="s">
        <v>11</v>
      </c>
      <c r="F89" s="600">
        <v>14743978</v>
      </c>
      <c r="G89" s="597" t="s">
        <v>1515</v>
      </c>
      <c r="H89" s="597"/>
      <c r="I89" s="597"/>
      <c r="J89" s="597"/>
      <c r="K89" s="597"/>
      <c r="L89" s="597"/>
      <c r="M89" s="597"/>
      <c r="N89" s="599"/>
    </row>
    <row r="90" spans="1:14">
      <c r="B90" s="582">
        <f t="shared" si="1"/>
        <v>85</v>
      </c>
      <c r="D90" s="593" t="s">
        <v>1629</v>
      </c>
      <c r="E90" s="594" t="s">
        <v>11</v>
      </c>
      <c r="G90" s="597" t="s">
        <v>1515</v>
      </c>
      <c r="H90" s="597"/>
      <c r="I90" s="597"/>
      <c r="J90" s="597"/>
      <c r="K90" s="597"/>
      <c r="L90" s="597"/>
      <c r="M90" s="597"/>
      <c r="N90" s="599"/>
    </row>
    <row r="91" spans="1:14">
      <c r="B91" s="582">
        <f t="shared" si="1"/>
        <v>86</v>
      </c>
      <c r="D91" s="593" t="s">
        <v>1630</v>
      </c>
      <c r="E91" s="594" t="s">
        <v>11</v>
      </c>
      <c r="G91" s="597" t="s">
        <v>1515</v>
      </c>
      <c r="H91" s="597"/>
      <c r="I91" s="597"/>
      <c r="J91" s="597"/>
      <c r="K91" s="597"/>
      <c r="L91" s="597"/>
      <c r="M91" s="597"/>
      <c r="N91" s="599"/>
    </row>
    <row r="92" spans="1:14">
      <c r="B92" s="582">
        <f t="shared" si="1"/>
        <v>87</v>
      </c>
      <c r="D92" s="593" t="s">
        <v>1631</v>
      </c>
      <c r="E92" s="594" t="s">
        <v>11</v>
      </c>
      <c r="G92" s="597" t="s">
        <v>1515</v>
      </c>
      <c r="H92" s="597"/>
      <c r="I92" s="597"/>
      <c r="J92" s="597"/>
      <c r="K92" s="597"/>
      <c r="L92" s="597"/>
      <c r="M92" s="597"/>
      <c r="N92" s="599"/>
    </row>
    <row r="93" spans="1:14">
      <c r="B93" s="582">
        <f t="shared" si="1"/>
        <v>88</v>
      </c>
      <c r="D93" s="593" t="s">
        <v>1632</v>
      </c>
      <c r="E93" s="594" t="s">
        <v>11</v>
      </c>
      <c r="G93" s="597" t="s">
        <v>1515</v>
      </c>
      <c r="H93" s="597"/>
      <c r="I93" s="597"/>
      <c r="J93" s="597"/>
      <c r="K93" s="597"/>
      <c r="L93" s="597"/>
      <c r="M93" s="597"/>
      <c r="N93" s="599"/>
    </row>
    <row r="94" spans="1:14" ht="29">
      <c r="B94" s="582">
        <f t="shared" si="1"/>
        <v>89</v>
      </c>
      <c r="D94" s="593" t="s">
        <v>1633</v>
      </c>
      <c r="E94" s="594" t="s">
        <v>11</v>
      </c>
      <c r="G94" s="597" t="s">
        <v>1515</v>
      </c>
      <c r="H94" s="597"/>
      <c r="I94" s="597"/>
      <c r="J94" s="597"/>
      <c r="K94" s="597"/>
      <c r="L94" s="597"/>
      <c r="M94" s="597"/>
      <c r="N94" s="599"/>
    </row>
    <row r="95" spans="1:14">
      <c r="B95" s="582">
        <f t="shared" si="1"/>
        <v>90</v>
      </c>
      <c r="D95" s="593" t="s">
        <v>1634</v>
      </c>
      <c r="E95" s="594" t="s">
        <v>11</v>
      </c>
      <c r="G95" s="597" t="s">
        <v>1515</v>
      </c>
      <c r="H95" s="597"/>
      <c r="I95" s="597"/>
      <c r="J95" s="597"/>
      <c r="K95" s="597"/>
      <c r="L95" s="597"/>
      <c r="M95" s="597"/>
      <c r="N95" s="599"/>
    </row>
    <row r="96" spans="1:14">
      <c r="B96" s="582">
        <f t="shared" si="1"/>
        <v>91</v>
      </c>
      <c r="D96" s="593" t="s">
        <v>1635</v>
      </c>
      <c r="E96" s="594" t="s">
        <v>11</v>
      </c>
      <c r="G96" s="597" t="s">
        <v>1515</v>
      </c>
      <c r="H96" s="597"/>
      <c r="I96" s="597"/>
      <c r="J96" s="597"/>
      <c r="K96" s="597"/>
      <c r="L96" s="597"/>
      <c r="M96" s="597"/>
      <c r="N96" s="599"/>
    </row>
    <row r="97" spans="1:14">
      <c r="B97" s="582">
        <f t="shared" si="1"/>
        <v>92</v>
      </c>
      <c r="D97" s="593" t="s">
        <v>1636</v>
      </c>
      <c r="E97" s="594" t="s">
        <v>11</v>
      </c>
      <c r="G97" s="597" t="s">
        <v>1515</v>
      </c>
      <c r="H97" s="597"/>
      <c r="I97" s="597"/>
      <c r="J97" s="597"/>
      <c r="K97" s="597"/>
      <c r="L97" s="597"/>
      <c r="M97" s="597"/>
      <c r="N97" s="599"/>
    </row>
    <row r="98" spans="1:14">
      <c r="A98" s="562" t="s">
        <v>287</v>
      </c>
      <c r="B98" s="582">
        <f t="shared" si="1"/>
        <v>93</v>
      </c>
      <c r="C98" s="592" t="s">
        <v>1637</v>
      </c>
      <c r="D98" s="593" t="s">
        <v>1638</v>
      </c>
      <c r="E98" s="594" t="s">
        <v>11</v>
      </c>
      <c r="F98" s="600">
        <v>2779274</v>
      </c>
      <c r="G98" s="597" t="s">
        <v>1515</v>
      </c>
      <c r="H98" s="597"/>
      <c r="I98" s="597"/>
      <c r="J98" s="597"/>
      <c r="K98" s="598"/>
      <c r="L98" s="597"/>
      <c r="M98" s="597"/>
      <c r="N98" s="599"/>
    </row>
    <row r="99" spans="1:14">
      <c r="B99" s="582">
        <f t="shared" si="1"/>
        <v>94</v>
      </c>
      <c r="D99" s="593" t="s">
        <v>1639</v>
      </c>
      <c r="E99" s="594" t="s">
        <v>11</v>
      </c>
      <c r="G99" s="597" t="s">
        <v>1515</v>
      </c>
      <c r="H99" s="597"/>
      <c r="I99" s="597"/>
      <c r="J99" s="597"/>
      <c r="K99" s="598"/>
      <c r="L99" s="597"/>
      <c r="M99" s="597"/>
      <c r="N99" s="599"/>
    </row>
    <row r="100" spans="1:14">
      <c r="B100" s="582">
        <f t="shared" si="1"/>
        <v>95</v>
      </c>
      <c r="D100" s="593" t="s">
        <v>1640</v>
      </c>
      <c r="E100" s="594" t="s">
        <v>11</v>
      </c>
      <c r="G100" s="597" t="s">
        <v>1515</v>
      </c>
      <c r="H100" s="597"/>
      <c r="I100" s="597"/>
      <c r="J100" s="597"/>
      <c r="K100" s="598"/>
      <c r="L100" s="597"/>
      <c r="M100" s="597"/>
      <c r="N100" s="599" t="s">
        <v>1641</v>
      </c>
    </row>
    <row r="101" spans="1:14">
      <c r="B101" s="582">
        <f t="shared" si="1"/>
        <v>96</v>
      </c>
      <c r="D101" s="593" t="s">
        <v>1642</v>
      </c>
      <c r="E101" s="594" t="s">
        <v>11</v>
      </c>
      <c r="G101" s="597" t="s">
        <v>1515</v>
      </c>
      <c r="H101" s="597"/>
      <c r="I101" s="597"/>
      <c r="J101" s="597"/>
      <c r="K101" s="598"/>
      <c r="L101" s="597"/>
      <c r="M101" s="597"/>
      <c r="N101" s="599"/>
    </row>
    <row r="102" spans="1:14">
      <c r="B102" s="582">
        <f t="shared" si="1"/>
        <v>97</v>
      </c>
      <c r="D102" s="593" t="s">
        <v>1643</v>
      </c>
      <c r="E102" s="594" t="s">
        <v>11</v>
      </c>
      <c r="G102" s="597" t="s">
        <v>1515</v>
      </c>
      <c r="H102" s="597"/>
      <c r="I102" s="597"/>
      <c r="J102" s="597"/>
      <c r="K102" s="598"/>
      <c r="L102" s="597"/>
      <c r="M102" s="597"/>
      <c r="N102" s="599"/>
    </row>
    <row r="103" spans="1:14">
      <c r="B103" s="582">
        <f t="shared" si="1"/>
        <v>98</v>
      </c>
      <c r="D103" s="593" t="s">
        <v>1644</v>
      </c>
      <c r="E103" s="594" t="s">
        <v>11</v>
      </c>
      <c r="G103" s="597" t="s">
        <v>1515</v>
      </c>
      <c r="H103" s="597"/>
      <c r="I103" s="597"/>
      <c r="J103" s="597"/>
      <c r="K103" s="598"/>
      <c r="L103" s="597"/>
      <c r="M103" s="597"/>
      <c r="N103" s="599"/>
    </row>
    <row r="104" spans="1:14">
      <c r="B104" s="582">
        <f t="shared" si="1"/>
        <v>99</v>
      </c>
      <c r="D104" s="593" t="s">
        <v>1645</v>
      </c>
      <c r="E104" s="594" t="s">
        <v>11</v>
      </c>
      <c r="G104" s="597" t="s">
        <v>1515</v>
      </c>
      <c r="H104" s="597"/>
      <c r="I104" s="597"/>
      <c r="J104" s="597"/>
      <c r="K104" s="598"/>
      <c r="L104" s="597"/>
      <c r="M104" s="597"/>
      <c r="N104" s="599" t="s">
        <v>1646</v>
      </c>
    </row>
    <row r="105" spans="1:14">
      <c r="A105" s="562" t="s">
        <v>289</v>
      </c>
      <c r="B105" s="582">
        <f t="shared" si="1"/>
        <v>100</v>
      </c>
      <c r="C105" s="592" t="s">
        <v>1647</v>
      </c>
      <c r="D105" s="593" t="s">
        <v>1648</v>
      </c>
      <c r="E105" s="594" t="s">
        <v>11</v>
      </c>
      <c r="F105" s="600">
        <v>950210</v>
      </c>
      <c r="G105" s="597" t="s">
        <v>1515</v>
      </c>
      <c r="H105" s="597"/>
      <c r="I105" s="597"/>
      <c r="J105" s="597"/>
      <c r="K105" s="598"/>
      <c r="L105" s="597"/>
      <c r="M105" s="597"/>
      <c r="N105" s="599"/>
    </row>
    <row r="106" spans="1:14">
      <c r="B106" s="582">
        <f t="shared" si="1"/>
        <v>101</v>
      </c>
      <c r="D106" s="593" t="s">
        <v>1649</v>
      </c>
      <c r="G106" s="597" t="s">
        <v>1515</v>
      </c>
      <c r="H106" s="597"/>
      <c r="I106" s="597"/>
      <c r="J106" s="597"/>
      <c r="K106" s="598"/>
      <c r="L106" s="597"/>
      <c r="M106" s="597"/>
      <c r="N106" s="599"/>
    </row>
    <row r="107" spans="1:14">
      <c r="A107" s="562" t="s">
        <v>291</v>
      </c>
      <c r="B107" s="582">
        <f t="shared" si="1"/>
        <v>102</v>
      </c>
      <c r="C107" s="592" t="s">
        <v>1650</v>
      </c>
      <c r="D107" s="593" t="s">
        <v>1651</v>
      </c>
      <c r="E107" s="594" t="s">
        <v>11</v>
      </c>
      <c r="F107" s="600">
        <v>5403827</v>
      </c>
      <c r="G107" s="597" t="s">
        <v>1515</v>
      </c>
      <c r="H107" s="597"/>
      <c r="I107" s="597"/>
      <c r="J107" s="597"/>
      <c r="K107" s="598"/>
      <c r="L107" s="597"/>
      <c r="M107" s="597"/>
      <c r="N107" s="599"/>
    </row>
    <row r="108" spans="1:14">
      <c r="B108" s="582">
        <f t="shared" si="1"/>
        <v>103</v>
      </c>
      <c r="D108" s="593" t="s">
        <v>1652</v>
      </c>
      <c r="E108" s="594" t="s">
        <v>11</v>
      </c>
      <c r="G108" s="597" t="s">
        <v>1515</v>
      </c>
      <c r="H108" s="597"/>
      <c r="I108" s="597"/>
      <c r="J108" s="597"/>
      <c r="K108" s="598"/>
      <c r="L108" s="597"/>
      <c r="M108" s="597"/>
      <c r="N108" s="599"/>
    </row>
    <row r="109" spans="1:14">
      <c r="B109" s="582">
        <f t="shared" si="1"/>
        <v>104</v>
      </c>
      <c r="D109" s="593" t="s">
        <v>1653</v>
      </c>
      <c r="E109" s="594" t="s">
        <v>11</v>
      </c>
      <c r="G109" s="597" t="s">
        <v>1515</v>
      </c>
      <c r="H109" s="597"/>
      <c r="I109" s="597"/>
      <c r="J109" s="597"/>
      <c r="K109" s="598"/>
      <c r="L109" s="597"/>
      <c r="M109" s="597"/>
      <c r="N109" s="599"/>
    </row>
    <row r="110" spans="1:14">
      <c r="B110" s="582">
        <f t="shared" si="1"/>
        <v>105</v>
      </c>
      <c r="D110" s="593" t="s">
        <v>1654</v>
      </c>
      <c r="E110" s="594" t="s">
        <v>11</v>
      </c>
      <c r="G110" s="597" t="s">
        <v>1515</v>
      </c>
      <c r="H110" s="597"/>
      <c r="I110" s="597"/>
      <c r="J110" s="597"/>
      <c r="K110" s="598"/>
      <c r="L110" s="597"/>
      <c r="M110" s="597"/>
      <c r="N110" s="599"/>
    </row>
    <row r="111" spans="1:14">
      <c r="A111" s="562" t="s">
        <v>293</v>
      </c>
      <c r="B111" s="582">
        <f t="shared" si="1"/>
        <v>106</v>
      </c>
      <c r="C111" s="592" t="s">
        <v>1655</v>
      </c>
      <c r="D111" s="593" t="s">
        <v>1656</v>
      </c>
      <c r="E111" s="594" t="s">
        <v>11</v>
      </c>
      <c r="F111" s="600">
        <v>2086660</v>
      </c>
      <c r="G111" s="597" t="s">
        <v>1515</v>
      </c>
      <c r="H111" s="597"/>
      <c r="I111" s="597"/>
      <c r="J111" s="597"/>
      <c r="K111" s="598"/>
      <c r="L111" s="597"/>
      <c r="M111" s="597"/>
      <c r="N111" s="599"/>
    </row>
    <row r="112" spans="1:14">
      <c r="B112" s="582">
        <f t="shared" si="1"/>
        <v>107</v>
      </c>
      <c r="D112" s="593" t="s">
        <v>1657</v>
      </c>
      <c r="E112" s="594" t="s">
        <v>11</v>
      </c>
      <c r="G112" s="597" t="s">
        <v>1515</v>
      </c>
      <c r="H112" s="597"/>
      <c r="I112" s="597"/>
      <c r="J112" s="597"/>
      <c r="K112" s="598"/>
      <c r="L112" s="597"/>
      <c r="M112" s="597"/>
      <c r="N112" s="599"/>
    </row>
    <row r="113" spans="1:14">
      <c r="A113" s="562" t="s">
        <v>297</v>
      </c>
      <c r="B113" s="582">
        <f t="shared" si="1"/>
        <v>108</v>
      </c>
      <c r="C113" s="592" t="s">
        <v>1658</v>
      </c>
      <c r="D113" s="593" t="s">
        <v>1659</v>
      </c>
      <c r="E113" s="594" t="s">
        <v>11</v>
      </c>
      <c r="F113" s="600">
        <v>3121488</v>
      </c>
      <c r="G113" s="597" t="s">
        <v>1515</v>
      </c>
      <c r="H113" s="597"/>
      <c r="I113" s="597"/>
      <c r="J113" s="597"/>
      <c r="K113" s="598"/>
      <c r="L113" s="597"/>
      <c r="M113" s="597"/>
      <c r="N113" s="599"/>
    </row>
    <row r="114" spans="1:14">
      <c r="A114" s="562" t="s">
        <v>299</v>
      </c>
      <c r="B114" s="582">
        <f t="shared" si="1"/>
        <v>109</v>
      </c>
      <c r="C114" s="592" t="s">
        <v>1660</v>
      </c>
      <c r="D114" s="593" t="s">
        <v>1661</v>
      </c>
      <c r="E114" s="594" t="s">
        <v>11</v>
      </c>
      <c r="F114" s="600">
        <v>749768</v>
      </c>
      <c r="G114" s="597" t="s">
        <v>1515</v>
      </c>
      <c r="H114" s="597"/>
      <c r="I114" s="597"/>
      <c r="J114" s="597"/>
      <c r="K114" s="598"/>
      <c r="L114" s="597"/>
      <c r="M114" s="597"/>
      <c r="N114" s="599"/>
    </row>
    <row r="115" spans="1:14">
      <c r="A115" s="562" t="s">
        <v>301</v>
      </c>
      <c r="B115" s="582">
        <f t="shared" si="1"/>
        <v>110</v>
      </c>
      <c r="C115" s="592" t="s">
        <v>1662</v>
      </c>
      <c r="D115" s="593" t="s">
        <v>1663</v>
      </c>
      <c r="E115" s="594" t="s">
        <v>11</v>
      </c>
      <c r="F115" s="600">
        <v>4679262</v>
      </c>
      <c r="G115" s="597" t="s">
        <v>1515</v>
      </c>
      <c r="H115" s="597"/>
      <c r="I115" s="597"/>
      <c r="J115" s="597"/>
      <c r="K115" s="598"/>
      <c r="L115" s="597"/>
      <c r="M115" s="597"/>
      <c r="N115" s="599"/>
    </row>
    <row r="116" spans="1:14">
      <c r="B116" s="582">
        <f t="shared" si="1"/>
        <v>111</v>
      </c>
      <c r="D116" s="593" t="s">
        <v>1664</v>
      </c>
      <c r="E116" s="594" t="s">
        <v>11</v>
      </c>
      <c r="G116" s="597" t="s">
        <v>1515</v>
      </c>
      <c r="H116" s="597"/>
      <c r="I116" s="597"/>
      <c r="J116" s="597"/>
      <c r="K116" s="598"/>
      <c r="L116" s="597"/>
      <c r="M116" s="597"/>
      <c r="N116" s="599"/>
    </row>
    <row r="117" spans="1:14">
      <c r="A117" s="562" t="s">
        <v>303</v>
      </c>
      <c r="B117" s="582">
        <f t="shared" si="1"/>
        <v>112</v>
      </c>
      <c r="C117" s="592" t="s">
        <v>1665</v>
      </c>
      <c r="D117" s="593" t="s">
        <v>1666</v>
      </c>
      <c r="E117" s="594" t="s">
        <v>11</v>
      </c>
      <c r="F117" s="600">
        <v>4296873</v>
      </c>
      <c r="G117" s="597" t="s">
        <v>1515</v>
      </c>
      <c r="H117" s="597"/>
      <c r="I117" s="597"/>
      <c r="J117" s="597"/>
      <c r="K117" s="598"/>
      <c r="L117" s="597"/>
      <c r="M117" s="597"/>
      <c r="N117" s="599"/>
    </row>
    <row r="118" spans="1:14">
      <c r="B118" s="582">
        <f t="shared" si="1"/>
        <v>113</v>
      </c>
      <c r="D118" s="593" t="s">
        <v>1667</v>
      </c>
      <c r="E118" s="594" t="s">
        <v>11</v>
      </c>
      <c r="G118" s="597" t="s">
        <v>1515</v>
      </c>
      <c r="H118" s="597"/>
      <c r="I118" s="597"/>
      <c r="J118" s="597"/>
      <c r="K118" s="598"/>
      <c r="L118" s="597"/>
      <c r="M118" s="597"/>
      <c r="N118" s="599"/>
    </row>
    <row r="119" spans="1:14">
      <c r="A119" s="562" t="s">
        <v>305</v>
      </c>
      <c r="B119" s="582">
        <f t="shared" si="1"/>
        <v>114</v>
      </c>
      <c r="C119" s="592" t="s">
        <v>1668</v>
      </c>
      <c r="D119" s="593" t="s">
        <v>1669</v>
      </c>
      <c r="E119" s="594" t="s">
        <v>11</v>
      </c>
      <c r="F119" s="600">
        <v>757992</v>
      </c>
      <c r="G119" s="597" t="s">
        <v>1515</v>
      </c>
      <c r="H119" s="597"/>
      <c r="I119" s="597"/>
      <c r="J119" s="597"/>
      <c r="K119" s="598"/>
      <c r="L119" s="597"/>
      <c r="M119" s="597"/>
      <c r="N119" s="599"/>
    </row>
    <row r="120" spans="1:14" ht="29">
      <c r="A120" s="562" t="s">
        <v>307</v>
      </c>
      <c r="B120" s="582">
        <f t="shared" si="1"/>
        <v>115</v>
      </c>
      <c r="C120" s="592" t="s">
        <v>1670</v>
      </c>
      <c r="D120" s="593" t="s">
        <v>1671</v>
      </c>
      <c r="E120" s="594" t="s">
        <v>11</v>
      </c>
      <c r="F120" s="600">
        <v>20373151</v>
      </c>
      <c r="G120" s="597" t="s">
        <v>1515</v>
      </c>
      <c r="H120" s="597"/>
      <c r="I120" s="597"/>
      <c r="J120" s="597"/>
      <c r="K120" s="598"/>
      <c r="L120" s="597"/>
      <c r="M120" s="597"/>
      <c r="N120" s="599"/>
    </row>
    <row r="121" spans="1:14" ht="29">
      <c r="B121" s="582">
        <f t="shared" si="1"/>
        <v>116</v>
      </c>
      <c r="D121" s="593" t="s">
        <v>1672</v>
      </c>
      <c r="E121" s="594" t="s">
        <v>11</v>
      </c>
      <c r="G121" s="597" t="s">
        <v>1515</v>
      </c>
      <c r="H121" s="597"/>
      <c r="I121" s="597"/>
      <c r="J121" s="597"/>
      <c r="K121" s="598"/>
      <c r="L121" s="597"/>
      <c r="M121" s="597"/>
      <c r="N121" s="599"/>
    </row>
    <row r="122" spans="1:14">
      <c r="B122" s="582">
        <f t="shared" si="1"/>
        <v>117</v>
      </c>
      <c r="D122" s="593" t="s">
        <v>1673</v>
      </c>
      <c r="E122" s="594" t="s">
        <v>11</v>
      </c>
      <c r="G122" s="597" t="s">
        <v>1515</v>
      </c>
      <c r="H122" s="597"/>
      <c r="I122" s="597"/>
      <c r="J122" s="597"/>
      <c r="K122" s="597"/>
      <c r="L122" s="597"/>
      <c r="M122" s="597"/>
      <c r="N122" s="599"/>
    </row>
    <row r="123" spans="1:14">
      <c r="B123" s="582">
        <f t="shared" si="1"/>
        <v>118</v>
      </c>
      <c r="D123" s="593" t="s">
        <v>1674</v>
      </c>
      <c r="E123" s="594" t="s">
        <v>11</v>
      </c>
      <c r="G123" s="597" t="s">
        <v>1515</v>
      </c>
      <c r="H123" s="597"/>
      <c r="I123" s="597"/>
      <c r="J123" s="597"/>
      <c r="K123" s="597"/>
      <c r="L123" s="597"/>
      <c r="M123" s="597"/>
      <c r="N123" s="599"/>
    </row>
    <row r="124" spans="1:14">
      <c r="B124" s="582">
        <f t="shared" si="1"/>
        <v>119</v>
      </c>
      <c r="D124" s="593" t="s">
        <v>1675</v>
      </c>
      <c r="E124" s="594" t="s">
        <v>11</v>
      </c>
      <c r="G124" s="597" t="s">
        <v>1515</v>
      </c>
      <c r="H124" s="597"/>
      <c r="I124" s="597"/>
      <c r="J124" s="597"/>
      <c r="K124" s="597"/>
      <c r="L124" s="597"/>
      <c r="M124" s="597"/>
      <c r="N124" s="599"/>
    </row>
    <row r="125" spans="1:14">
      <c r="B125" s="582">
        <f t="shared" si="1"/>
        <v>120</v>
      </c>
      <c r="D125" s="593" t="s">
        <v>1676</v>
      </c>
      <c r="E125" s="594" t="s">
        <v>11</v>
      </c>
      <c r="G125" s="597"/>
      <c r="H125" s="597"/>
      <c r="I125" s="597" t="s">
        <v>1515</v>
      </c>
      <c r="J125" s="597"/>
      <c r="K125" s="597"/>
      <c r="L125" s="597"/>
      <c r="M125" s="597"/>
      <c r="N125" s="599" t="s">
        <v>1677</v>
      </c>
    </row>
    <row r="126" spans="1:14">
      <c r="B126" s="582">
        <f t="shared" si="1"/>
        <v>121</v>
      </c>
      <c r="D126" s="593" t="s">
        <v>1678</v>
      </c>
      <c r="E126" s="594" t="s">
        <v>11</v>
      </c>
      <c r="G126" s="597"/>
      <c r="H126" s="597"/>
      <c r="I126" s="597" t="s">
        <v>1515</v>
      </c>
      <c r="J126" s="597"/>
      <c r="K126" s="597"/>
      <c r="L126" s="597"/>
      <c r="M126" s="597"/>
      <c r="N126" s="599" t="s">
        <v>1677</v>
      </c>
    </row>
    <row r="127" spans="1:14">
      <c r="B127" s="582">
        <f t="shared" si="1"/>
        <v>122</v>
      </c>
      <c r="D127" s="593" t="s">
        <v>1679</v>
      </c>
      <c r="E127" s="594" t="s">
        <v>11</v>
      </c>
      <c r="G127" s="597"/>
      <c r="H127" s="597"/>
      <c r="I127" s="597" t="s">
        <v>1515</v>
      </c>
      <c r="J127" s="597"/>
      <c r="K127" s="597"/>
      <c r="L127" s="597"/>
      <c r="M127" s="597"/>
      <c r="N127" s="599" t="s">
        <v>1677</v>
      </c>
    </row>
    <row r="128" spans="1:14">
      <c r="B128" s="582">
        <f t="shared" si="1"/>
        <v>123</v>
      </c>
      <c r="D128" s="593" t="s">
        <v>1680</v>
      </c>
      <c r="E128" s="594" t="s">
        <v>11</v>
      </c>
      <c r="G128" s="597" t="s">
        <v>1515</v>
      </c>
      <c r="H128" s="597"/>
      <c r="I128" s="597"/>
      <c r="J128" s="597"/>
      <c r="K128" s="597"/>
      <c r="L128" s="597"/>
      <c r="M128" s="597"/>
      <c r="N128" s="599"/>
    </row>
    <row r="129" spans="1:14">
      <c r="B129" s="582">
        <f t="shared" si="1"/>
        <v>124</v>
      </c>
      <c r="D129" s="593" t="s">
        <v>1681</v>
      </c>
      <c r="E129" s="594" t="s">
        <v>11</v>
      </c>
      <c r="G129" s="597" t="s">
        <v>1515</v>
      </c>
      <c r="H129" s="597"/>
      <c r="I129" s="597"/>
      <c r="J129" s="597"/>
      <c r="K129" s="597"/>
      <c r="L129" s="597"/>
      <c r="M129" s="597"/>
      <c r="N129" s="599"/>
    </row>
    <row r="130" spans="1:14">
      <c r="B130" s="582">
        <f t="shared" si="1"/>
        <v>125</v>
      </c>
      <c r="D130" s="593" t="s">
        <v>1682</v>
      </c>
      <c r="E130" s="594" t="s">
        <v>11</v>
      </c>
      <c r="G130" s="597" t="s">
        <v>1515</v>
      </c>
      <c r="H130" s="597"/>
      <c r="I130" s="597"/>
      <c r="J130" s="597"/>
      <c r="K130" s="597"/>
      <c r="L130" s="597"/>
      <c r="M130" s="597"/>
      <c r="N130" s="599"/>
    </row>
    <row r="131" spans="1:14">
      <c r="B131" s="582">
        <f t="shared" si="1"/>
        <v>126</v>
      </c>
      <c r="D131" s="593" t="s">
        <v>1683</v>
      </c>
      <c r="E131" s="594" t="s">
        <v>11</v>
      </c>
      <c r="G131" s="597" t="s">
        <v>1515</v>
      </c>
      <c r="H131" s="597"/>
      <c r="I131" s="597"/>
      <c r="J131" s="597"/>
      <c r="K131" s="597"/>
      <c r="L131" s="597"/>
      <c r="M131" s="597"/>
      <c r="N131" s="599"/>
    </row>
    <row r="132" spans="1:14">
      <c r="A132" s="562" t="s">
        <v>309</v>
      </c>
      <c r="B132" s="582">
        <f t="shared" si="1"/>
        <v>127</v>
      </c>
      <c r="C132" s="592" t="s">
        <v>1684</v>
      </c>
      <c r="D132" s="593" t="s">
        <v>1685</v>
      </c>
      <c r="E132" s="594" t="s">
        <v>11</v>
      </c>
      <c r="F132" s="600">
        <v>4222330</v>
      </c>
      <c r="G132" s="597" t="s">
        <v>1515</v>
      </c>
      <c r="H132" s="597"/>
      <c r="I132" s="597"/>
      <c r="J132" s="597"/>
      <c r="K132" s="597"/>
      <c r="L132" s="597"/>
      <c r="M132" s="597"/>
      <c r="N132" s="599"/>
    </row>
    <row r="133" spans="1:14">
      <c r="B133" s="582">
        <f t="shared" si="1"/>
        <v>128</v>
      </c>
      <c r="D133" s="593" t="s">
        <v>1686</v>
      </c>
      <c r="E133" s="594" t="s">
        <v>11</v>
      </c>
      <c r="G133" s="597" t="s">
        <v>1515</v>
      </c>
      <c r="H133" s="597"/>
      <c r="I133" s="597"/>
      <c r="J133" s="597"/>
      <c r="K133" s="597"/>
      <c r="L133" s="597"/>
      <c r="M133" s="597"/>
      <c r="N133" s="599"/>
    </row>
    <row r="134" spans="1:14">
      <c r="B134" s="582">
        <f t="shared" si="1"/>
        <v>129</v>
      </c>
      <c r="D134" s="593" t="s">
        <v>1687</v>
      </c>
      <c r="E134" s="594" t="s">
        <v>11</v>
      </c>
      <c r="G134" s="597" t="s">
        <v>1515</v>
      </c>
      <c r="H134" s="597"/>
      <c r="I134" s="597"/>
      <c r="J134" s="597"/>
      <c r="K134" s="597"/>
      <c r="L134" s="597"/>
      <c r="M134" s="597"/>
      <c r="N134" s="599"/>
    </row>
    <row r="135" spans="1:14" ht="27" customHeight="1">
      <c r="B135" s="582">
        <f t="shared" ref="B135:B198" si="2">B134+1</f>
        <v>130</v>
      </c>
      <c r="D135" s="593" t="s">
        <v>1688</v>
      </c>
      <c r="E135" s="594" t="s">
        <v>11</v>
      </c>
      <c r="G135" s="597"/>
      <c r="H135" s="597" t="s">
        <v>1515</v>
      </c>
      <c r="I135" s="597"/>
      <c r="J135" s="597"/>
      <c r="K135" s="597"/>
      <c r="L135" s="597"/>
      <c r="M135" s="597"/>
      <c r="N135" s="599" t="s">
        <v>1689</v>
      </c>
    </row>
    <row r="136" spans="1:14" ht="27" customHeight="1">
      <c r="B136" s="582">
        <f t="shared" si="2"/>
        <v>131</v>
      </c>
      <c r="D136" s="593" t="s">
        <v>1690</v>
      </c>
      <c r="E136" s="594" t="s">
        <v>11</v>
      </c>
      <c r="G136" s="597"/>
      <c r="H136" s="597" t="s">
        <v>1515</v>
      </c>
      <c r="I136" s="597"/>
      <c r="J136" s="597"/>
      <c r="K136" s="597"/>
      <c r="L136" s="597"/>
      <c r="M136" s="597"/>
      <c r="N136" s="599" t="s">
        <v>1691</v>
      </c>
    </row>
    <row r="137" spans="1:14">
      <c r="A137" s="562" t="s">
        <v>311</v>
      </c>
      <c r="B137" s="582">
        <f t="shared" si="2"/>
        <v>132</v>
      </c>
      <c r="C137" s="592" t="s">
        <v>1692</v>
      </c>
      <c r="D137" s="602" t="s">
        <v>1693</v>
      </c>
      <c r="E137" s="594" t="s">
        <v>11</v>
      </c>
      <c r="F137" s="600">
        <v>5313905</v>
      </c>
      <c r="G137" s="597" t="s">
        <v>1515</v>
      </c>
      <c r="H137" s="597"/>
      <c r="I137" s="597"/>
      <c r="J137" s="597"/>
      <c r="K137" s="597"/>
      <c r="L137" s="597"/>
      <c r="M137" s="597"/>
      <c r="N137" s="599"/>
    </row>
    <row r="138" spans="1:14">
      <c r="B138" s="582">
        <f t="shared" si="2"/>
        <v>133</v>
      </c>
      <c r="D138" s="593" t="s">
        <v>1694</v>
      </c>
      <c r="E138" s="594" t="s">
        <v>11</v>
      </c>
      <c r="G138" s="597" t="s">
        <v>1515</v>
      </c>
      <c r="H138" s="597"/>
      <c r="I138" s="597"/>
      <c r="J138" s="597"/>
      <c r="K138" s="597"/>
      <c r="L138" s="597"/>
      <c r="M138" s="597"/>
      <c r="N138" s="599"/>
    </row>
    <row r="139" spans="1:14">
      <c r="B139" s="582">
        <f t="shared" si="2"/>
        <v>134</v>
      </c>
      <c r="D139" s="593" t="s">
        <v>1695</v>
      </c>
      <c r="E139" s="594" t="s">
        <v>11</v>
      </c>
      <c r="G139" s="597" t="s">
        <v>1515</v>
      </c>
      <c r="H139" s="597"/>
      <c r="I139" s="597"/>
      <c r="J139" s="597"/>
      <c r="K139" s="597"/>
      <c r="L139" s="597"/>
      <c r="M139" s="597"/>
      <c r="N139" s="599"/>
    </row>
    <row r="140" spans="1:14">
      <c r="B140" s="582">
        <f t="shared" si="2"/>
        <v>135</v>
      </c>
      <c r="D140" s="593" t="s">
        <v>1696</v>
      </c>
      <c r="E140" s="594" t="s">
        <v>11</v>
      </c>
      <c r="G140" s="597" t="s">
        <v>1515</v>
      </c>
      <c r="H140" s="597"/>
      <c r="I140" s="597"/>
      <c r="J140" s="597"/>
      <c r="K140" s="597"/>
      <c r="L140" s="597"/>
      <c r="M140" s="597"/>
      <c r="N140" s="599"/>
    </row>
    <row r="141" spans="1:14">
      <c r="B141" s="582">
        <f t="shared" si="2"/>
        <v>136</v>
      </c>
      <c r="D141" s="593" t="s">
        <v>2341</v>
      </c>
      <c r="E141" s="594" t="s">
        <v>11</v>
      </c>
      <c r="G141" s="597" t="s">
        <v>1515</v>
      </c>
      <c r="H141" s="597"/>
      <c r="I141" s="597"/>
      <c r="J141" s="597"/>
      <c r="K141" s="597"/>
      <c r="L141" s="597"/>
      <c r="M141" s="597"/>
      <c r="N141" s="599"/>
    </row>
    <row r="142" spans="1:14">
      <c r="B142" s="582">
        <f t="shared" si="2"/>
        <v>137</v>
      </c>
      <c r="D142" s="593" t="s">
        <v>1697</v>
      </c>
      <c r="E142" s="594" t="s">
        <v>11</v>
      </c>
      <c r="G142" s="597" t="s">
        <v>1515</v>
      </c>
      <c r="H142" s="597"/>
      <c r="I142" s="597"/>
      <c r="J142" s="597"/>
      <c r="K142" s="597"/>
      <c r="L142" s="597"/>
      <c r="M142" s="597"/>
      <c r="N142" s="599"/>
    </row>
    <row r="143" spans="1:14" ht="43.5">
      <c r="A143" s="562" t="s">
        <v>317</v>
      </c>
      <c r="B143" s="582">
        <f t="shared" si="2"/>
        <v>138</v>
      </c>
      <c r="C143" s="592" t="s">
        <v>1698</v>
      </c>
      <c r="D143" s="593" t="s">
        <v>1699</v>
      </c>
      <c r="E143" s="594" t="s">
        <v>11</v>
      </c>
      <c r="F143" s="600">
        <v>15371304</v>
      </c>
      <c r="G143" s="597" t="s">
        <v>1515</v>
      </c>
      <c r="H143" s="597"/>
      <c r="I143" s="597"/>
      <c r="J143" s="597"/>
      <c r="K143" s="597"/>
      <c r="L143" s="597"/>
      <c r="M143" s="597"/>
      <c r="N143" s="599"/>
    </row>
    <row r="144" spans="1:14">
      <c r="B144" s="582">
        <f t="shared" si="2"/>
        <v>139</v>
      </c>
      <c r="D144" s="593" t="s">
        <v>1700</v>
      </c>
      <c r="E144" s="594" t="s">
        <v>11</v>
      </c>
      <c r="G144" s="597" t="s">
        <v>1515</v>
      </c>
      <c r="H144" s="597"/>
      <c r="I144" s="597"/>
      <c r="J144" s="597"/>
      <c r="K144" s="597"/>
      <c r="L144" s="597"/>
      <c r="M144" s="597"/>
      <c r="N144" s="599"/>
    </row>
    <row r="145" spans="1:14">
      <c r="B145" s="582">
        <f t="shared" si="2"/>
        <v>140</v>
      </c>
      <c r="D145" s="593" t="s">
        <v>1701</v>
      </c>
      <c r="E145" s="594" t="s">
        <v>11</v>
      </c>
      <c r="G145" s="597" t="s">
        <v>1515</v>
      </c>
      <c r="H145" s="597"/>
      <c r="I145" s="597"/>
      <c r="J145" s="597"/>
      <c r="K145" s="597"/>
      <c r="L145" s="597"/>
      <c r="M145" s="597"/>
      <c r="N145" s="599"/>
    </row>
    <row r="146" spans="1:14">
      <c r="B146" s="582">
        <f t="shared" si="2"/>
        <v>141</v>
      </c>
      <c r="D146" s="593" t="s">
        <v>1702</v>
      </c>
      <c r="E146" s="594" t="s">
        <v>11</v>
      </c>
      <c r="G146" s="597" t="s">
        <v>1515</v>
      </c>
      <c r="H146" s="597"/>
      <c r="I146" s="597"/>
      <c r="J146" s="597"/>
      <c r="K146" s="597"/>
      <c r="L146" s="597"/>
      <c r="M146" s="597"/>
      <c r="N146" s="599"/>
    </row>
    <row r="147" spans="1:14">
      <c r="B147" s="582">
        <f t="shared" si="2"/>
        <v>142</v>
      </c>
      <c r="D147" s="593" t="s">
        <v>1703</v>
      </c>
      <c r="E147" s="594" t="s">
        <v>11</v>
      </c>
      <c r="G147" s="597" t="s">
        <v>1515</v>
      </c>
      <c r="H147" s="597"/>
      <c r="I147" s="597"/>
      <c r="J147" s="597"/>
      <c r="K147" s="597"/>
      <c r="L147" s="597"/>
      <c r="M147" s="597"/>
      <c r="N147" s="599"/>
    </row>
    <row r="148" spans="1:14">
      <c r="B148" s="582">
        <f t="shared" si="2"/>
        <v>143</v>
      </c>
      <c r="D148" s="593" t="s">
        <v>1704</v>
      </c>
      <c r="E148" s="594" t="s">
        <v>11</v>
      </c>
      <c r="G148" s="597" t="s">
        <v>1515</v>
      </c>
      <c r="H148" s="597"/>
      <c r="I148" s="597"/>
      <c r="J148" s="597"/>
      <c r="K148" s="597"/>
      <c r="L148" s="597"/>
      <c r="M148" s="597"/>
      <c r="N148" s="599"/>
    </row>
    <row r="149" spans="1:14">
      <c r="A149" s="562" t="s">
        <v>315</v>
      </c>
      <c r="B149" s="582">
        <f t="shared" si="2"/>
        <v>144</v>
      </c>
      <c r="C149" s="592" t="s">
        <v>1705</v>
      </c>
      <c r="D149" s="593" t="s">
        <v>1706</v>
      </c>
      <c r="E149" s="594" t="s">
        <v>11</v>
      </c>
      <c r="F149" s="600">
        <v>10761312</v>
      </c>
      <c r="G149" s="597" t="s">
        <v>1515</v>
      </c>
      <c r="H149" s="597"/>
      <c r="I149" s="597"/>
      <c r="J149" s="597"/>
      <c r="K149" s="597"/>
      <c r="L149" s="597"/>
      <c r="M149" s="597"/>
      <c r="N149" s="599"/>
    </row>
    <row r="150" spans="1:14">
      <c r="B150" s="582">
        <f t="shared" si="2"/>
        <v>145</v>
      </c>
      <c r="D150" s="593" t="s">
        <v>1707</v>
      </c>
      <c r="E150" s="594" t="s">
        <v>11</v>
      </c>
      <c r="G150" s="597" t="s">
        <v>1515</v>
      </c>
      <c r="H150" s="597"/>
      <c r="I150" s="597"/>
      <c r="J150" s="597"/>
      <c r="K150" s="597"/>
      <c r="L150" s="597"/>
      <c r="M150" s="597"/>
      <c r="N150" s="599"/>
    </row>
    <row r="151" spans="1:14">
      <c r="B151" s="582">
        <f t="shared" si="2"/>
        <v>146</v>
      </c>
      <c r="D151" s="593" t="s">
        <v>1708</v>
      </c>
      <c r="E151" s="594" t="s">
        <v>11</v>
      </c>
      <c r="G151" s="597" t="s">
        <v>1515</v>
      </c>
      <c r="H151" s="597"/>
      <c r="I151" s="597"/>
      <c r="J151" s="597"/>
      <c r="K151" s="597"/>
      <c r="L151" s="597"/>
      <c r="M151" s="597"/>
      <c r="N151" s="599"/>
    </row>
    <row r="152" spans="1:14">
      <c r="B152" s="582">
        <f t="shared" si="2"/>
        <v>147</v>
      </c>
      <c r="D152" s="593" t="s">
        <v>1709</v>
      </c>
      <c r="E152" s="594" t="s">
        <v>11</v>
      </c>
      <c r="G152" s="597" t="s">
        <v>1515</v>
      </c>
      <c r="H152" s="597"/>
      <c r="I152" s="597"/>
      <c r="J152" s="597"/>
      <c r="K152" s="597"/>
      <c r="L152" s="597"/>
      <c r="M152" s="597"/>
      <c r="N152" s="599"/>
    </row>
    <row r="153" spans="1:14">
      <c r="B153" s="582">
        <f t="shared" si="2"/>
        <v>148</v>
      </c>
      <c r="D153" s="593" t="s">
        <v>1710</v>
      </c>
      <c r="E153" s="594" t="s">
        <v>11</v>
      </c>
      <c r="G153" s="597" t="s">
        <v>1515</v>
      </c>
      <c r="H153" s="597"/>
      <c r="I153" s="597"/>
      <c r="J153" s="597"/>
      <c r="K153" s="597"/>
      <c r="L153" s="597"/>
      <c r="M153" s="597"/>
      <c r="N153" s="599"/>
    </row>
    <row r="154" spans="1:14">
      <c r="B154" s="582">
        <f t="shared" si="2"/>
        <v>149</v>
      </c>
      <c r="D154" s="593" t="s">
        <v>1711</v>
      </c>
      <c r="E154" s="594" t="s">
        <v>11</v>
      </c>
      <c r="G154" s="597" t="s">
        <v>1515</v>
      </c>
      <c r="H154" s="597"/>
      <c r="I154" s="597"/>
      <c r="J154" s="597"/>
      <c r="K154" s="597"/>
      <c r="L154" s="597"/>
      <c r="M154" s="597"/>
      <c r="N154" s="599"/>
    </row>
    <row r="155" spans="1:14">
      <c r="B155" s="582">
        <f t="shared" si="2"/>
        <v>150</v>
      </c>
      <c r="D155" s="593" t="s">
        <v>1712</v>
      </c>
      <c r="E155" s="594" t="s">
        <v>11</v>
      </c>
      <c r="G155" s="597" t="s">
        <v>1515</v>
      </c>
      <c r="H155" s="597"/>
      <c r="I155" s="597"/>
      <c r="J155" s="597"/>
      <c r="K155" s="597"/>
      <c r="L155" s="597"/>
      <c r="M155" s="597"/>
      <c r="N155" s="599"/>
    </row>
    <row r="156" spans="1:14">
      <c r="B156" s="582">
        <f t="shared" si="2"/>
        <v>151</v>
      </c>
      <c r="D156" s="593" t="s">
        <v>1713</v>
      </c>
      <c r="E156" s="594" t="s">
        <v>11</v>
      </c>
      <c r="G156" s="597" t="s">
        <v>1515</v>
      </c>
      <c r="H156" s="597"/>
      <c r="I156" s="597"/>
      <c r="J156" s="597"/>
      <c r="K156" s="597"/>
      <c r="L156" s="597"/>
      <c r="M156" s="597"/>
      <c r="N156" s="599"/>
    </row>
    <row r="157" spans="1:14">
      <c r="A157" s="562" t="s">
        <v>319</v>
      </c>
      <c r="B157" s="582">
        <f t="shared" si="2"/>
        <v>152</v>
      </c>
      <c r="C157" s="592" t="s">
        <v>1714</v>
      </c>
      <c r="D157" s="593" t="s">
        <v>1715</v>
      </c>
      <c r="E157" s="594" t="s">
        <v>11</v>
      </c>
      <c r="F157" s="600">
        <v>1725310</v>
      </c>
      <c r="G157" s="597" t="s">
        <v>1515</v>
      </c>
      <c r="H157" s="597"/>
      <c r="I157" s="597"/>
      <c r="J157" s="597"/>
      <c r="K157" s="597"/>
      <c r="L157" s="597"/>
      <c r="M157" s="597"/>
      <c r="N157" s="599"/>
    </row>
    <row r="158" spans="1:14">
      <c r="B158" s="582">
        <f t="shared" si="2"/>
        <v>153</v>
      </c>
      <c r="D158" s="593" t="s">
        <v>1716</v>
      </c>
      <c r="E158" s="594" t="s">
        <v>11</v>
      </c>
      <c r="G158" s="597"/>
      <c r="H158" s="597" t="s">
        <v>1515</v>
      </c>
      <c r="I158" s="597"/>
      <c r="J158" s="597"/>
      <c r="K158" s="597"/>
      <c r="L158" s="597"/>
      <c r="M158" s="597"/>
      <c r="N158" s="599" t="s">
        <v>1717</v>
      </c>
    </row>
    <row r="159" spans="1:14">
      <c r="B159" s="582">
        <f t="shared" si="2"/>
        <v>154</v>
      </c>
      <c r="D159" s="593" t="s">
        <v>1718</v>
      </c>
      <c r="E159" s="594" t="s">
        <v>11</v>
      </c>
      <c r="G159" s="597"/>
      <c r="H159" s="597" t="s">
        <v>1515</v>
      </c>
      <c r="I159" s="597"/>
      <c r="J159" s="597"/>
      <c r="K159" s="597"/>
      <c r="L159" s="597"/>
      <c r="M159" s="597"/>
      <c r="N159" s="599" t="s">
        <v>1717</v>
      </c>
    </row>
    <row r="160" spans="1:14" ht="29">
      <c r="A160" s="562" t="s">
        <v>321</v>
      </c>
      <c r="B160" s="582">
        <f t="shared" si="2"/>
        <v>155</v>
      </c>
      <c r="C160" s="592" t="s">
        <v>1719</v>
      </c>
      <c r="D160" s="593" t="s">
        <v>1720</v>
      </c>
      <c r="E160" s="594" t="s">
        <v>11</v>
      </c>
      <c r="F160" s="600">
        <v>10146043</v>
      </c>
      <c r="G160" s="597" t="s">
        <v>1515</v>
      </c>
      <c r="H160" s="597"/>
      <c r="I160" s="597"/>
      <c r="J160" s="597"/>
      <c r="K160" s="597"/>
      <c r="L160" s="597"/>
      <c r="M160" s="597"/>
      <c r="N160" s="599"/>
    </row>
    <row r="161" spans="1:14">
      <c r="B161" s="582">
        <f t="shared" si="2"/>
        <v>156</v>
      </c>
      <c r="D161" s="593" t="s">
        <v>1597</v>
      </c>
      <c r="E161" s="594" t="s">
        <v>11</v>
      </c>
      <c r="G161" s="597" t="s">
        <v>1515</v>
      </c>
      <c r="H161" s="597"/>
      <c r="I161" s="597"/>
      <c r="J161" s="597"/>
      <c r="K161" s="597"/>
      <c r="L161" s="597"/>
      <c r="M161" s="597"/>
      <c r="N161" s="599"/>
    </row>
    <row r="162" spans="1:14">
      <c r="B162" s="582">
        <f t="shared" si="2"/>
        <v>157</v>
      </c>
      <c r="D162" s="593" t="s">
        <v>1721</v>
      </c>
      <c r="E162" s="594" t="s">
        <v>11</v>
      </c>
      <c r="G162" s="597" t="s">
        <v>1515</v>
      </c>
      <c r="H162" s="597"/>
      <c r="I162" s="597"/>
      <c r="J162" s="597"/>
      <c r="K162" s="597"/>
      <c r="L162" s="597"/>
      <c r="M162" s="597"/>
      <c r="N162" s="599"/>
    </row>
    <row r="163" spans="1:14">
      <c r="B163" s="582">
        <f t="shared" si="2"/>
        <v>158</v>
      </c>
      <c r="D163" s="593" t="s">
        <v>1722</v>
      </c>
      <c r="E163" s="594" t="s">
        <v>11</v>
      </c>
      <c r="G163" s="597" t="s">
        <v>1515</v>
      </c>
      <c r="H163" s="597"/>
      <c r="I163" s="597"/>
      <c r="J163" s="597"/>
      <c r="K163" s="597"/>
      <c r="L163" s="597"/>
      <c r="M163" s="597"/>
      <c r="N163" s="599"/>
    </row>
    <row r="164" spans="1:14">
      <c r="B164" s="582">
        <f t="shared" si="2"/>
        <v>159</v>
      </c>
      <c r="D164" s="593" t="s">
        <v>1723</v>
      </c>
      <c r="E164" s="594" t="s">
        <v>11</v>
      </c>
      <c r="G164" s="597" t="s">
        <v>1515</v>
      </c>
      <c r="H164" s="597"/>
      <c r="I164" s="597"/>
      <c r="J164" s="597"/>
      <c r="K164" s="597"/>
      <c r="L164" s="597"/>
      <c r="M164" s="597"/>
      <c r="N164" s="599"/>
    </row>
    <row r="165" spans="1:14">
      <c r="B165" s="582">
        <f t="shared" si="2"/>
        <v>160</v>
      </c>
      <c r="D165" s="593" t="s">
        <v>1724</v>
      </c>
      <c r="E165" s="594" t="s">
        <v>11</v>
      </c>
      <c r="G165" s="597" t="s">
        <v>1515</v>
      </c>
      <c r="H165" s="597"/>
      <c r="I165" s="597"/>
      <c r="J165" s="597"/>
      <c r="K165" s="597"/>
      <c r="L165" s="597"/>
      <c r="M165" s="597"/>
      <c r="N165" s="599"/>
    </row>
    <row r="166" spans="1:14" ht="29">
      <c r="B166" s="582">
        <f t="shared" si="2"/>
        <v>161</v>
      </c>
      <c r="D166" s="593" t="s">
        <v>1725</v>
      </c>
      <c r="E166" s="594" t="s">
        <v>11</v>
      </c>
      <c r="G166" s="597"/>
      <c r="H166" s="597"/>
      <c r="I166" s="597" t="s">
        <v>1515</v>
      </c>
      <c r="J166" s="597"/>
      <c r="K166" s="597"/>
      <c r="L166" s="597"/>
      <c r="M166" s="597"/>
      <c r="N166" s="599" t="s">
        <v>1726</v>
      </c>
    </row>
    <row r="167" spans="1:14">
      <c r="B167" s="582">
        <f t="shared" si="2"/>
        <v>162</v>
      </c>
      <c r="D167" s="593" t="s">
        <v>1727</v>
      </c>
      <c r="E167" s="594" t="s">
        <v>11</v>
      </c>
      <c r="G167" s="597" t="s">
        <v>1515</v>
      </c>
      <c r="H167" s="597"/>
      <c r="I167" s="597"/>
      <c r="J167" s="597"/>
      <c r="K167" s="597"/>
      <c r="L167" s="597"/>
      <c r="M167" s="597"/>
      <c r="N167" s="599"/>
    </row>
    <row r="168" spans="1:14" ht="29">
      <c r="A168" s="562" t="s">
        <v>323</v>
      </c>
      <c r="B168" s="582">
        <f t="shared" si="2"/>
        <v>163</v>
      </c>
      <c r="C168" s="592" t="s">
        <v>1728</v>
      </c>
      <c r="D168" s="593" t="s">
        <v>1729</v>
      </c>
      <c r="E168" s="594" t="s">
        <v>11</v>
      </c>
      <c r="F168" s="600">
        <v>12342545</v>
      </c>
      <c r="G168" s="597" t="s">
        <v>1515</v>
      </c>
      <c r="H168" s="597"/>
      <c r="I168" s="597"/>
      <c r="J168" s="597"/>
      <c r="K168" s="597"/>
      <c r="L168" s="597"/>
      <c r="M168" s="597"/>
      <c r="N168" s="599"/>
    </row>
    <row r="169" spans="1:14">
      <c r="B169" s="582">
        <f t="shared" si="2"/>
        <v>164</v>
      </c>
      <c r="D169" s="593" t="s">
        <v>1730</v>
      </c>
      <c r="E169" s="594" t="s">
        <v>11</v>
      </c>
      <c r="G169" s="597" t="s">
        <v>1515</v>
      </c>
      <c r="H169" s="597"/>
      <c r="I169" s="597"/>
      <c r="J169" s="597"/>
      <c r="K169" s="598"/>
      <c r="L169" s="597"/>
      <c r="M169" s="597"/>
      <c r="N169" s="599"/>
    </row>
    <row r="170" spans="1:14">
      <c r="B170" s="582">
        <f t="shared" si="2"/>
        <v>165</v>
      </c>
      <c r="D170" s="593" t="s">
        <v>1731</v>
      </c>
      <c r="E170" s="594" t="s">
        <v>11</v>
      </c>
      <c r="G170" s="597" t="s">
        <v>1515</v>
      </c>
      <c r="H170" s="597"/>
      <c r="I170" s="597"/>
      <c r="J170" s="597"/>
      <c r="K170" s="598"/>
      <c r="L170" s="597"/>
      <c r="M170" s="597"/>
      <c r="N170" s="599"/>
    </row>
    <row r="171" spans="1:14">
      <c r="B171" s="582">
        <f t="shared" si="2"/>
        <v>166</v>
      </c>
      <c r="D171" s="593" t="s">
        <v>1732</v>
      </c>
      <c r="E171" s="594" t="s">
        <v>11</v>
      </c>
      <c r="G171" s="597" t="s">
        <v>1515</v>
      </c>
      <c r="H171" s="597"/>
      <c r="I171" s="597"/>
      <c r="J171" s="597"/>
      <c r="K171" s="598"/>
      <c r="L171" s="597"/>
      <c r="M171" s="597"/>
      <c r="N171" s="599"/>
    </row>
    <row r="172" spans="1:14">
      <c r="B172" s="582">
        <f t="shared" si="2"/>
        <v>167</v>
      </c>
      <c r="D172" s="593" t="s">
        <v>1733</v>
      </c>
      <c r="E172" s="594" t="s">
        <v>11</v>
      </c>
      <c r="G172" s="597" t="s">
        <v>1515</v>
      </c>
      <c r="H172" s="597"/>
      <c r="I172" s="597"/>
      <c r="J172" s="597"/>
      <c r="K172" s="598"/>
      <c r="L172" s="597"/>
      <c r="M172" s="597"/>
      <c r="N172" s="599"/>
    </row>
    <row r="173" spans="1:14">
      <c r="B173" s="582">
        <f t="shared" si="2"/>
        <v>168</v>
      </c>
      <c r="D173" s="593" t="s">
        <v>1734</v>
      </c>
      <c r="E173" s="594" t="s">
        <v>11</v>
      </c>
      <c r="G173" s="597" t="s">
        <v>1515</v>
      </c>
      <c r="H173" s="597"/>
      <c r="I173" s="597"/>
      <c r="J173" s="597"/>
      <c r="K173" s="598"/>
      <c r="L173" s="597"/>
      <c r="M173" s="597"/>
      <c r="N173" s="599"/>
    </row>
    <row r="174" spans="1:14">
      <c r="B174" s="582">
        <f t="shared" si="2"/>
        <v>169</v>
      </c>
      <c r="C174" s="592" t="s">
        <v>2342</v>
      </c>
      <c r="D174" s="593" t="s">
        <v>2343</v>
      </c>
      <c r="G174" s="597" t="s">
        <v>1515</v>
      </c>
      <c r="H174" s="597"/>
      <c r="I174" s="597"/>
      <c r="J174" s="597"/>
      <c r="K174" s="598"/>
      <c r="L174" s="597"/>
      <c r="M174" s="597"/>
      <c r="N174" s="599"/>
    </row>
    <row r="175" spans="1:14">
      <c r="B175" s="582">
        <f t="shared" si="2"/>
        <v>170</v>
      </c>
      <c r="D175" s="593" t="s">
        <v>2344</v>
      </c>
      <c r="G175" s="597" t="s">
        <v>1515</v>
      </c>
      <c r="H175" s="597"/>
      <c r="I175" s="597"/>
      <c r="J175" s="597"/>
      <c r="K175" s="598"/>
      <c r="L175" s="597"/>
      <c r="M175" s="597"/>
      <c r="N175" s="599"/>
    </row>
    <row r="176" spans="1:14" ht="29">
      <c r="A176" s="562" t="s">
        <v>325</v>
      </c>
      <c r="B176" s="582">
        <f t="shared" si="2"/>
        <v>171</v>
      </c>
      <c r="C176" s="592" t="s">
        <v>1735</v>
      </c>
      <c r="D176" s="593" t="s">
        <v>1736</v>
      </c>
      <c r="E176" s="594" t="s">
        <v>11</v>
      </c>
      <c r="F176" s="600">
        <v>19532694</v>
      </c>
      <c r="G176" s="597" t="s">
        <v>1515</v>
      </c>
      <c r="H176" s="597"/>
      <c r="I176" s="597"/>
      <c r="J176" s="597"/>
      <c r="K176" s="598"/>
      <c r="L176" s="597"/>
      <c r="M176" s="597"/>
      <c r="N176" s="599"/>
    </row>
    <row r="177" spans="1:14">
      <c r="B177" s="582">
        <f t="shared" si="2"/>
        <v>172</v>
      </c>
      <c r="D177" s="593" t="s">
        <v>1737</v>
      </c>
      <c r="E177" s="594" t="s">
        <v>11</v>
      </c>
      <c r="G177" s="597" t="s">
        <v>1515</v>
      </c>
      <c r="H177" s="597"/>
      <c r="I177" s="597"/>
      <c r="J177" s="597"/>
      <c r="K177" s="598"/>
      <c r="L177" s="597"/>
      <c r="M177" s="597"/>
      <c r="N177" s="599"/>
    </row>
    <row r="178" spans="1:14">
      <c r="B178" s="582">
        <f t="shared" si="2"/>
        <v>173</v>
      </c>
      <c r="D178" s="593" t="s">
        <v>1738</v>
      </c>
      <c r="E178" s="594" t="s">
        <v>11</v>
      </c>
      <c r="G178" s="597" t="s">
        <v>1515</v>
      </c>
      <c r="H178" s="597"/>
      <c r="I178" s="597"/>
      <c r="J178" s="597"/>
      <c r="K178" s="598"/>
      <c r="L178" s="597"/>
      <c r="M178" s="597"/>
      <c r="N178" s="599"/>
    </row>
    <row r="179" spans="1:14">
      <c r="B179" s="582">
        <f t="shared" si="2"/>
        <v>174</v>
      </c>
      <c r="D179" s="593" t="s">
        <v>1553</v>
      </c>
      <c r="E179" s="594" t="s">
        <v>11</v>
      </c>
      <c r="G179" s="597" t="s">
        <v>1515</v>
      </c>
      <c r="H179" s="597"/>
      <c r="I179" s="597"/>
      <c r="J179" s="597"/>
      <c r="K179" s="598"/>
      <c r="L179" s="597"/>
      <c r="M179" s="597"/>
      <c r="N179" s="599"/>
    </row>
    <row r="180" spans="1:14">
      <c r="B180" s="582">
        <f t="shared" si="2"/>
        <v>175</v>
      </c>
      <c r="D180" s="593" t="s">
        <v>1739</v>
      </c>
      <c r="E180" s="594" t="s">
        <v>11</v>
      </c>
      <c r="G180" s="597" t="s">
        <v>1515</v>
      </c>
      <c r="H180" s="597"/>
      <c r="I180" s="597"/>
      <c r="J180" s="597"/>
      <c r="K180" s="598"/>
      <c r="L180" s="597"/>
      <c r="M180" s="597"/>
      <c r="N180" s="599"/>
    </row>
    <row r="181" spans="1:14" ht="29">
      <c r="B181" s="582">
        <f t="shared" si="2"/>
        <v>176</v>
      </c>
      <c r="D181" s="593" t="s">
        <v>1740</v>
      </c>
      <c r="E181" s="594" t="s">
        <v>11</v>
      </c>
      <c r="G181" s="597" t="s">
        <v>1515</v>
      </c>
      <c r="H181" s="597"/>
      <c r="I181" s="597"/>
      <c r="J181" s="597"/>
      <c r="K181" s="597"/>
      <c r="L181" s="597"/>
      <c r="M181" s="597"/>
      <c r="N181" s="599"/>
    </row>
    <row r="182" spans="1:14">
      <c r="B182" s="582">
        <f t="shared" si="2"/>
        <v>177</v>
      </c>
      <c r="D182" s="593" t="s">
        <v>1741</v>
      </c>
      <c r="E182" s="594" t="s">
        <v>11</v>
      </c>
      <c r="G182" s="597" t="s">
        <v>1515</v>
      </c>
      <c r="H182" s="597"/>
      <c r="I182" s="597"/>
      <c r="J182" s="597"/>
      <c r="K182" s="597"/>
      <c r="L182" s="597"/>
      <c r="M182" s="597"/>
      <c r="N182" s="599"/>
    </row>
    <row r="183" spans="1:14">
      <c r="B183" s="582">
        <f t="shared" si="2"/>
        <v>178</v>
      </c>
      <c r="D183" s="593" t="s">
        <v>1742</v>
      </c>
      <c r="E183" s="594" t="s">
        <v>11</v>
      </c>
      <c r="G183" s="597" t="s">
        <v>1515</v>
      </c>
      <c r="H183" s="597"/>
      <c r="I183" s="597"/>
      <c r="J183" s="597"/>
      <c r="K183" s="597"/>
      <c r="L183" s="597"/>
      <c r="M183" s="597"/>
      <c r="N183" s="599"/>
    </row>
    <row r="184" spans="1:14">
      <c r="B184" s="582">
        <f t="shared" si="2"/>
        <v>179</v>
      </c>
      <c r="D184" s="593" t="s">
        <v>1743</v>
      </c>
      <c r="E184" s="594" t="s">
        <v>11</v>
      </c>
      <c r="G184" s="597" t="s">
        <v>1515</v>
      </c>
      <c r="H184" s="597"/>
      <c r="I184" s="597"/>
      <c r="J184" s="597"/>
      <c r="K184" s="597"/>
      <c r="L184" s="597"/>
      <c r="M184" s="597"/>
      <c r="N184" s="599"/>
    </row>
    <row r="185" spans="1:14">
      <c r="B185" s="582">
        <f t="shared" si="2"/>
        <v>180</v>
      </c>
      <c r="D185" s="593" t="s">
        <v>1744</v>
      </c>
      <c r="E185" s="594" t="s">
        <v>11</v>
      </c>
      <c r="G185" s="597" t="s">
        <v>1515</v>
      </c>
      <c r="H185" s="597"/>
      <c r="I185" s="597"/>
      <c r="J185" s="597"/>
      <c r="K185" s="597"/>
      <c r="L185" s="597"/>
      <c r="M185" s="597"/>
      <c r="N185" s="599"/>
    </row>
    <row r="186" spans="1:14">
      <c r="B186" s="582">
        <f t="shared" si="2"/>
        <v>181</v>
      </c>
      <c r="D186" s="593" t="s">
        <v>1745</v>
      </c>
      <c r="E186" s="594" t="s">
        <v>11</v>
      </c>
      <c r="G186" s="597" t="s">
        <v>1515</v>
      </c>
      <c r="H186" s="597"/>
      <c r="I186" s="597"/>
      <c r="J186" s="597"/>
      <c r="K186" s="597"/>
      <c r="L186" s="597"/>
      <c r="M186" s="597"/>
      <c r="N186" s="599"/>
    </row>
    <row r="187" spans="1:14">
      <c r="A187" s="562" t="s">
        <v>327</v>
      </c>
      <c r="B187" s="582">
        <f t="shared" si="2"/>
        <v>182</v>
      </c>
      <c r="C187" s="592" t="s">
        <v>1746</v>
      </c>
      <c r="D187" s="593" t="s">
        <v>1747</v>
      </c>
      <c r="E187" s="594" t="s">
        <v>36</v>
      </c>
      <c r="F187" s="600">
        <v>8188497</v>
      </c>
      <c r="G187" s="597"/>
      <c r="H187" s="597"/>
      <c r="I187" s="597" t="s">
        <v>1515</v>
      </c>
      <c r="J187" s="597"/>
      <c r="K187" s="597"/>
      <c r="L187" s="597"/>
      <c r="M187" s="597"/>
      <c r="N187" s="599" t="s">
        <v>1748</v>
      </c>
    </row>
    <row r="188" spans="1:14">
      <c r="B188" s="582">
        <f t="shared" si="2"/>
        <v>183</v>
      </c>
      <c r="D188" s="593" t="s">
        <v>1749</v>
      </c>
      <c r="E188" s="594" t="s">
        <v>36</v>
      </c>
      <c r="G188" s="597"/>
      <c r="H188" s="597"/>
      <c r="I188" s="597" t="s">
        <v>1515</v>
      </c>
      <c r="J188" s="597"/>
      <c r="K188" s="597"/>
      <c r="L188" s="597"/>
      <c r="M188" s="597"/>
      <c r="N188" s="599" t="s">
        <v>1748</v>
      </c>
    </row>
    <row r="189" spans="1:14">
      <c r="B189" s="582">
        <f t="shared" si="2"/>
        <v>184</v>
      </c>
      <c r="D189" s="593" t="s">
        <v>1630</v>
      </c>
      <c r="E189" s="594" t="s">
        <v>36</v>
      </c>
      <c r="G189" s="597" t="s">
        <v>1515</v>
      </c>
      <c r="H189" s="597"/>
      <c r="I189" s="597"/>
      <c r="J189" s="597"/>
      <c r="K189" s="597"/>
      <c r="L189" s="597"/>
      <c r="M189" s="597"/>
      <c r="N189" s="599"/>
    </row>
    <row r="190" spans="1:14">
      <c r="B190" s="582">
        <f t="shared" si="2"/>
        <v>185</v>
      </c>
      <c r="D190" s="593" t="s">
        <v>1750</v>
      </c>
      <c r="E190" s="594" t="s">
        <v>36</v>
      </c>
      <c r="G190" s="597" t="s">
        <v>1515</v>
      </c>
      <c r="H190" s="597"/>
      <c r="I190" s="597"/>
      <c r="J190" s="597"/>
      <c r="K190" s="597"/>
      <c r="L190" s="597"/>
      <c r="M190" s="597"/>
      <c r="N190" s="599"/>
    </row>
    <row r="191" spans="1:14">
      <c r="B191" s="582">
        <f t="shared" si="2"/>
        <v>186</v>
      </c>
      <c r="D191" s="593" t="s">
        <v>1751</v>
      </c>
      <c r="E191" s="594" t="s">
        <v>36</v>
      </c>
      <c r="G191" s="597" t="s">
        <v>1515</v>
      </c>
      <c r="H191" s="597"/>
      <c r="I191" s="597"/>
      <c r="J191" s="597"/>
      <c r="K191" s="597"/>
      <c r="L191" s="597"/>
      <c r="M191" s="597"/>
      <c r="N191" s="599"/>
    </row>
    <row r="192" spans="1:14">
      <c r="A192" s="562" t="s">
        <v>329</v>
      </c>
      <c r="B192" s="582">
        <f t="shared" si="2"/>
        <v>187</v>
      </c>
      <c r="C192" s="592" t="s">
        <v>1752</v>
      </c>
      <c r="D192" s="593" t="s">
        <v>1753</v>
      </c>
      <c r="E192" s="594" t="s">
        <v>11</v>
      </c>
      <c r="F192" s="600">
        <v>1506124</v>
      </c>
      <c r="G192" s="597" t="s">
        <v>1515</v>
      </c>
      <c r="H192" s="597"/>
      <c r="I192" s="597"/>
      <c r="J192" s="597"/>
      <c r="K192" s="597"/>
      <c r="L192" s="597"/>
      <c r="M192" s="597"/>
      <c r="N192" s="599"/>
    </row>
    <row r="193" spans="1:14">
      <c r="B193" s="582">
        <f t="shared" si="2"/>
        <v>188</v>
      </c>
      <c r="D193" s="593" t="s">
        <v>1754</v>
      </c>
      <c r="E193" s="594" t="s">
        <v>11</v>
      </c>
      <c r="G193" s="597" t="s">
        <v>1515</v>
      </c>
      <c r="H193" s="597"/>
      <c r="I193" s="597"/>
      <c r="J193" s="597"/>
      <c r="K193" s="597"/>
      <c r="L193" s="597"/>
      <c r="M193" s="597"/>
      <c r="N193" s="599"/>
    </row>
    <row r="194" spans="1:14" ht="29">
      <c r="A194" s="562" t="s">
        <v>331</v>
      </c>
      <c r="B194" s="582">
        <f t="shared" si="2"/>
        <v>189</v>
      </c>
      <c r="C194" s="592" t="s">
        <v>1755</v>
      </c>
      <c r="D194" s="593" t="s">
        <v>1756</v>
      </c>
      <c r="E194" s="594" t="s">
        <v>11</v>
      </c>
      <c r="F194" s="600">
        <v>4239318</v>
      </c>
      <c r="G194" s="597" t="s">
        <v>1515</v>
      </c>
      <c r="H194" s="597"/>
      <c r="I194" s="597"/>
      <c r="J194" s="597"/>
      <c r="K194" s="597"/>
      <c r="L194" s="597"/>
      <c r="M194" s="597"/>
      <c r="N194" s="599" t="s">
        <v>2345</v>
      </c>
    </row>
    <row r="195" spans="1:14">
      <c r="B195" s="582">
        <f t="shared" si="2"/>
        <v>190</v>
      </c>
      <c r="D195" s="593" t="s">
        <v>1757</v>
      </c>
      <c r="E195" s="594" t="s">
        <v>11</v>
      </c>
      <c r="G195" s="597" t="s">
        <v>1515</v>
      </c>
      <c r="H195" s="597"/>
      <c r="I195" s="597"/>
      <c r="J195" s="597"/>
      <c r="K195" s="597"/>
      <c r="L195" s="597"/>
      <c r="M195" s="597"/>
      <c r="N195" s="599"/>
    </row>
    <row r="196" spans="1:14">
      <c r="B196" s="582">
        <f t="shared" si="2"/>
        <v>191</v>
      </c>
      <c r="D196" s="593" t="s">
        <v>1758</v>
      </c>
      <c r="E196" s="594" t="s">
        <v>11</v>
      </c>
      <c r="G196" s="597"/>
      <c r="H196" s="597" t="s">
        <v>1515</v>
      </c>
      <c r="I196" s="597"/>
      <c r="J196" s="597"/>
      <c r="K196" s="597"/>
      <c r="L196" s="597"/>
      <c r="M196" s="597"/>
      <c r="N196" s="599" t="s">
        <v>1759</v>
      </c>
    </row>
    <row r="197" spans="1:14">
      <c r="B197" s="582">
        <f t="shared" si="2"/>
        <v>192</v>
      </c>
      <c r="D197" s="593" t="s">
        <v>1760</v>
      </c>
      <c r="G197" s="597" t="s">
        <v>1515</v>
      </c>
      <c r="H197" s="597"/>
      <c r="I197" s="597"/>
      <c r="J197" s="597"/>
      <c r="K197" s="597"/>
      <c r="L197" s="597"/>
      <c r="M197" s="597"/>
      <c r="N197" s="599"/>
    </row>
    <row r="198" spans="1:14">
      <c r="B198" s="582">
        <f t="shared" si="2"/>
        <v>193</v>
      </c>
      <c r="D198" s="593" t="s">
        <v>1761</v>
      </c>
      <c r="G198" s="597" t="s">
        <v>1515</v>
      </c>
      <c r="H198" s="597"/>
      <c r="I198" s="597"/>
      <c r="J198" s="597"/>
      <c r="K198" s="597"/>
      <c r="L198" s="597"/>
      <c r="M198" s="597"/>
      <c r="N198" s="599" t="s">
        <v>1762</v>
      </c>
    </row>
    <row r="199" spans="1:14">
      <c r="B199" s="582">
        <f t="shared" ref="B199:B262" si="3">B198+1</f>
        <v>194</v>
      </c>
      <c r="D199" s="593" t="s">
        <v>2346</v>
      </c>
      <c r="G199" s="597" t="s">
        <v>1515</v>
      </c>
      <c r="H199" s="597"/>
      <c r="I199" s="597"/>
      <c r="J199" s="597"/>
      <c r="K199" s="597"/>
      <c r="L199" s="597"/>
      <c r="M199" s="597"/>
      <c r="N199" s="599" t="s">
        <v>2347</v>
      </c>
    </row>
    <row r="200" spans="1:14" ht="29">
      <c r="B200" s="582">
        <f t="shared" si="3"/>
        <v>195</v>
      </c>
      <c r="C200" s="592" t="s">
        <v>2348</v>
      </c>
      <c r="D200" s="593" t="s">
        <v>2349</v>
      </c>
      <c r="G200" s="597" t="s">
        <v>1515</v>
      </c>
      <c r="H200" s="597"/>
      <c r="I200" s="597"/>
      <c r="J200" s="597"/>
      <c r="K200" s="597"/>
      <c r="L200" s="597"/>
      <c r="M200" s="597"/>
      <c r="N200" s="599"/>
    </row>
    <row r="201" spans="1:14">
      <c r="A201" s="562" t="s">
        <v>333</v>
      </c>
      <c r="B201" s="582">
        <f t="shared" si="3"/>
        <v>196</v>
      </c>
      <c r="C201" s="592" t="s">
        <v>1763</v>
      </c>
      <c r="D201" s="593" t="s">
        <v>1764</v>
      </c>
      <c r="E201" s="594" t="s">
        <v>36</v>
      </c>
      <c r="F201" s="600">
        <v>10685663</v>
      </c>
      <c r="G201" s="597" t="s">
        <v>1515</v>
      </c>
      <c r="H201" s="597"/>
      <c r="I201" s="597"/>
      <c r="J201" s="597"/>
      <c r="K201" s="597"/>
      <c r="L201" s="597"/>
      <c r="M201" s="597"/>
      <c r="N201" s="599"/>
    </row>
    <row r="202" spans="1:14">
      <c r="B202" s="582">
        <f t="shared" si="3"/>
        <v>197</v>
      </c>
      <c r="D202" s="593" t="s">
        <v>1765</v>
      </c>
      <c r="E202" s="594" t="s">
        <v>36</v>
      </c>
      <c r="G202" s="597"/>
      <c r="H202" s="597" t="s">
        <v>1515</v>
      </c>
      <c r="I202" s="597"/>
      <c r="J202" s="597"/>
      <c r="K202" s="597"/>
      <c r="L202" s="597"/>
      <c r="M202" s="597"/>
      <c r="N202" s="599" t="s">
        <v>1766</v>
      </c>
    </row>
    <row r="203" spans="1:14">
      <c r="B203" s="582">
        <f t="shared" si="3"/>
        <v>198</v>
      </c>
      <c r="D203" s="593" t="s">
        <v>1767</v>
      </c>
      <c r="E203" s="594" t="s">
        <v>36</v>
      </c>
      <c r="G203" s="597" t="s">
        <v>1515</v>
      </c>
      <c r="H203" s="597"/>
      <c r="I203" s="597"/>
      <c r="J203" s="597"/>
      <c r="K203" s="597"/>
      <c r="L203" s="597"/>
      <c r="M203" s="597"/>
      <c r="N203" s="599"/>
    </row>
    <row r="204" spans="1:14">
      <c r="B204" s="582">
        <f t="shared" si="3"/>
        <v>199</v>
      </c>
      <c r="D204" s="593" t="s">
        <v>1768</v>
      </c>
      <c r="E204" s="594" t="s">
        <v>36</v>
      </c>
      <c r="G204" s="597" t="s">
        <v>1515</v>
      </c>
      <c r="H204" s="597"/>
      <c r="I204" s="597"/>
      <c r="J204" s="597"/>
      <c r="K204" s="597"/>
      <c r="L204" s="597"/>
      <c r="M204" s="597"/>
      <c r="N204" s="599"/>
    </row>
    <row r="205" spans="1:14">
      <c r="B205" s="582">
        <f t="shared" si="3"/>
        <v>200</v>
      </c>
      <c r="D205" s="593" t="s">
        <v>1769</v>
      </c>
      <c r="E205" s="594" t="s">
        <v>36</v>
      </c>
      <c r="G205" s="597" t="s">
        <v>1515</v>
      </c>
      <c r="H205" s="597"/>
      <c r="I205" s="597"/>
      <c r="J205" s="597"/>
      <c r="K205" s="597"/>
      <c r="L205" s="597"/>
      <c r="M205" s="597"/>
      <c r="N205" s="599"/>
    </row>
    <row r="206" spans="1:14">
      <c r="B206" s="582">
        <f t="shared" si="3"/>
        <v>201</v>
      </c>
      <c r="D206" s="593" t="s">
        <v>1770</v>
      </c>
      <c r="E206" s="594" t="s">
        <v>36</v>
      </c>
      <c r="G206" s="597" t="s">
        <v>1515</v>
      </c>
      <c r="H206" s="597"/>
      <c r="I206" s="597"/>
      <c r="J206" s="597"/>
      <c r="K206" s="597"/>
      <c r="L206" s="597"/>
      <c r="M206" s="597"/>
      <c r="N206" s="599"/>
    </row>
    <row r="207" spans="1:14">
      <c r="B207" s="582">
        <f t="shared" si="3"/>
        <v>202</v>
      </c>
      <c r="C207" s="592" t="s">
        <v>2350</v>
      </c>
      <c r="D207" s="593" t="s">
        <v>2351</v>
      </c>
      <c r="G207" s="597" t="s">
        <v>1515</v>
      </c>
      <c r="H207" s="597"/>
      <c r="I207" s="597"/>
      <c r="J207" s="597"/>
      <c r="K207" s="597"/>
      <c r="L207" s="597"/>
      <c r="M207" s="597"/>
      <c r="N207" s="599"/>
    </row>
    <row r="208" spans="1:14">
      <c r="A208" s="562" t="s">
        <v>335</v>
      </c>
      <c r="B208" s="582">
        <f t="shared" si="3"/>
        <v>203</v>
      </c>
      <c r="C208" s="592" t="s">
        <v>1771</v>
      </c>
      <c r="D208" s="593" t="s">
        <v>1772</v>
      </c>
      <c r="E208" s="594" t="s">
        <v>11</v>
      </c>
      <c r="F208" s="600">
        <v>3684814</v>
      </c>
      <c r="G208" s="597" t="s">
        <v>1515</v>
      </c>
      <c r="H208" s="597"/>
      <c r="I208" s="597"/>
      <c r="J208" s="597"/>
      <c r="K208" s="597"/>
      <c r="L208" s="597"/>
      <c r="M208" s="597"/>
      <c r="N208" s="606"/>
    </row>
    <row r="209" spans="1:14" ht="29">
      <c r="A209" s="562" t="s">
        <v>337</v>
      </c>
      <c r="B209" s="582">
        <f t="shared" si="3"/>
        <v>204</v>
      </c>
      <c r="C209" s="592" t="s">
        <v>1773</v>
      </c>
      <c r="D209" s="593" t="s">
        <v>1774</v>
      </c>
      <c r="E209" s="594" t="s">
        <v>11</v>
      </c>
      <c r="F209" s="600">
        <v>10553364</v>
      </c>
      <c r="G209" s="597" t="s">
        <v>1515</v>
      </c>
      <c r="H209" s="597"/>
      <c r="I209" s="597"/>
      <c r="J209" s="597"/>
      <c r="K209" s="597"/>
      <c r="L209" s="597"/>
      <c r="M209" s="597"/>
      <c r="N209" s="599"/>
    </row>
    <row r="210" spans="1:14">
      <c r="B210" s="582">
        <f t="shared" si="3"/>
        <v>205</v>
      </c>
      <c r="D210" s="593" t="s">
        <v>1775</v>
      </c>
      <c r="E210" s="594" t="s">
        <v>11</v>
      </c>
      <c r="G210" s="597" t="s">
        <v>1515</v>
      </c>
      <c r="H210" s="597"/>
      <c r="I210" s="597"/>
      <c r="J210" s="597"/>
      <c r="K210" s="597"/>
      <c r="L210" s="597"/>
      <c r="M210" s="597"/>
      <c r="N210" s="599"/>
    </row>
    <row r="211" spans="1:14">
      <c r="B211" s="582">
        <f t="shared" si="3"/>
        <v>206</v>
      </c>
      <c r="D211" s="593" t="s">
        <v>1776</v>
      </c>
      <c r="E211" s="594" t="s">
        <v>11</v>
      </c>
      <c r="G211" s="597" t="s">
        <v>1515</v>
      </c>
      <c r="H211" s="597"/>
      <c r="I211" s="597"/>
      <c r="J211" s="597"/>
      <c r="K211" s="597"/>
      <c r="L211" s="597"/>
      <c r="M211" s="597"/>
      <c r="N211" s="599"/>
    </row>
    <row r="212" spans="1:14">
      <c r="B212" s="582">
        <f t="shared" si="3"/>
        <v>207</v>
      </c>
      <c r="D212" s="593" t="s">
        <v>1777</v>
      </c>
      <c r="E212" s="594" t="s">
        <v>11</v>
      </c>
      <c r="G212" s="597" t="s">
        <v>1515</v>
      </c>
      <c r="H212" s="597"/>
      <c r="I212" s="597"/>
      <c r="J212" s="597"/>
      <c r="K212" s="597"/>
      <c r="L212" s="597"/>
      <c r="M212" s="597"/>
      <c r="N212" s="599"/>
    </row>
    <row r="213" spans="1:14" ht="29">
      <c r="B213" s="582">
        <f t="shared" si="3"/>
        <v>208</v>
      </c>
      <c r="D213" s="593" t="s">
        <v>2352</v>
      </c>
      <c r="E213" s="594" t="s">
        <v>11</v>
      </c>
      <c r="G213" s="597" t="s">
        <v>1515</v>
      </c>
      <c r="H213" s="597"/>
      <c r="I213" s="597"/>
      <c r="J213" s="597"/>
      <c r="K213" s="597"/>
      <c r="L213" s="597"/>
      <c r="M213" s="597"/>
      <c r="N213" s="599"/>
    </row>
    <row r="214" spans="1:14" ht="29">
      <c r="A214" s="562" t="s">
        <v>339</v>
      </c>
      <c r="B214" s="582">
        <f t="shared" si="3"/>
        <v>209</v>
      </c>
      <c r="C214" s="592" t="s">
        <v>1778</v>
      </c>
      <c r="D214" s="593" t="s">
        <v>1779</v>
      </c>
      <c r="E214" s="594" t="s">
        <v>11</v>
      </c>
      <c r="F214" s="600">
        <v>17106123</v>
      </c>
      <c r="G214" s="597" t="s">
        <v>1515</v>
      </c>
      <c r="H214" s="597"/>
      <c r="I214" s="597"/>
      <c r="J214" s="597"/>
      <c r="K214" s="597"/>
      <c r="L214" s="597"/>
      <c r="M214" s="597"/>
      <c r="N214" s="599"/>
    </row>
    <row r="215" spans="1:14" ht="29">
      <c r="B215" s="582">
        <f t="shared" si="3"/>
        <v>210</v>
      </c>
      <c r="D215" s="593" t="s">
        <v>1780</v>
      </c>
      <c r="E215" s="594" t="s">
        <v>11</v>
      </c>
      <c r="G215" s="597" t="s">
        <v>1515</v>
      </c>
      <c r="H215" s="597"/>
      <c r="I215" s="597"/>
      <c r="J215" s="597"/>
      <c r="K215" s="597"/>
      <c r="L215" s="597"/>
      <c r="M215" s="597"/>
      <c r="N215" s="599" t="s">
        <v>1781</v>
      </c>
    </row>
    <row r="216" spans="1:14">
      <c r="B216" s="582">
        <f t="shared" si="3"/>
        <v>211</v>
      </c>
      <c r="D216" s="593" t="s">
        <v>1782</v>
      </c>
      <c r="E216" s="594" t="s">
        <v>11</v>
      </c>
      <c r="G216" s="597" t="s">
        <v>1515</v>
      </c>
      <c r="H216" s="597"/>
      <c r="I216" s="597"/>
      <c r="J216" s="597"/>
      <c r="K216" s="597"/>
      <c r="L216" s="597"/>
      <c r="M216" s="597"/>
      <c r="N216" s="599"/>
    </row>
    <row r="217" spans="1:14">
      <c r="B217" s="582">
        <f t="shared" si="3"/>
        <v>212</v>
      </c>
      <c r="D217" s="593" t="s">
        <v>1783</v>
      </c>
      <c r="E217" s="594" t="s">
        <v>11</v>
      </c>
      <c r="G217" s="597" t="s">
        <v>1515</v>
      </c>
      <c r="H217" s="597"/>
      <c r="I217" s="597"/>
      <c r="J217" s="597"/>
      <c r="K217" s="597"/>
      <c r="L217" s="597"/>
      <c r="M217" s="597"/>
      <c r="N217" s="599"/>
    </row>
    <row r="218" spans="1:14">
      <c r="B218" s="582">
        <f t="shared" si="3"/>
        <v>213</v>
      </c>
      <c r="D218" s="593" t="s">
        <v>1784</v>
      </c>
      <c r="E218" s="594" t="s">
        <v>11</v>
      </c>
      <c r="G218" s="597" t="s">
        <v>1515</v>
      </c>
      <c r="H218" s="597"/>
      <c r="I218" s="597"/>
      <c r="J218" s="597"/>
      <c r="K218" s="597"/>
      <c r="L218" s="597"/>
      <c r="M218" s="597"/>
      <c r="N218" s="599"/>
    </row>
    <row r="219" spans="1:14">
      <c r="B219" s="582">
        <f t="shared" si="3"/>
        <v>214</v>
      </c>
      <c r="D219" s="593" t="s">
        <v>1785</v>
      </c>
      <c r="E219" s="594" t="s">
        <v>11</v>
      </c>
      <c r="G219" s="597" t="s">
        <v>1515</v>
      </c>
      <c r="H219" s="597"/>
      <c r="I219" s="597"/>
      <c r="J219" s="597"/>
      <c r="K219" s="597"/>
      <c r="L219" s="597"/>
      <c r="M219" s="597"/>
      <c r="N219" s="599"/>
    </row>
    <row r="220" spans="1:14">
      <c r="B220" s="582">
        <f t="shared" si="3"/>
        <v>215</v>
      </c>
      <c r="D220" s="593" t="s">
        <v>1786</v>
      </c>
      <c r="E220" s="594" t="s">
        <v>11</v>
      </c>
      <c r="G220" s="597" t="s">
        <v>1515</v>
      </c>
      <c r="H220" s="597"/>
      <c r="I220" s="597"/>
      <c r="J220" s="597"/>
      <c r="K220" s="597"/>
      <c r="L220" s="597"/>
      <c r="M220" s="597"/>
      <c r="N220" s="599"/>
    </row>
    <row r="221" spans="1:14">
      <c r="B221" s="582">
        <f t="shared" si="3"/>
        <v>216</v>
      </c>
      <c r="D221" s="593" t="s">
        <v>1787</v>
      </c>
      <c r="E221" s="594" t="s">
        <v>11</v>
      </c>
      <c r="G221" s="597" t="s">
        <v>1515</v>
      </c>
      <c r="H221" s="597"/>
      <c r="I221" s="597"/>
      <c r="J221" s="597"/>
      <c r="K221" s="597"/>
      <c r="L221" s="597"/>
      <c r="M221" s="597"/>
      <c r="N221" s="599"/>
    </row>
    <row r="222" spans="1:14">
      <c r="B222" s="582">
        <f t="shared" si="3"/>
        <v>217</v>
      </c>
      <c r="D222" s="593" t="s">
        <v>1788</v>
      </c>
      <c r="E222" s="594" t="s">
        <v>11</v>
      </c>
      <c r="G222" s="597" t="s">
        <v>1515</v>
      </c>
      <c r="H222" s="597"/>
      <c r="I222" s="597"/>
      <c r="J222" s="597"/>
      <c r="K222" s="597"/>
      <c r="L222" s="597"/>
      <c r="M222" s="597"/>
      <c r="N222" s="599"/>
    </row>
    <row r="223" spans="1:14">
      <c r="A223" s="562" t="s">
        <v>341</v>
      </c>
      <c r="B223" s="582">
        <f t="shared" si="3"/>
        <v>218</v>
      </c>
      <c r="C223" s="592" t="s">
        <v>1789</v>
      </c>
      <c r="D223" s="593" t="s">
        <v>1790</v>
      </c>
      <c r="E223" s="594" t="s">
        <v>11</v>
      </c>
      <c r="F223" s="600">
        <v>6032465</v>
      </c>
      <c r="G223" s="597" t="s">
        <v>1515</v>
      </c>
      <c r="H223" s="597"/>
      <c r="I223" s="597"/>
      <c r="J223" s="597"/>
      <c r="K223" s="597"/>
      <c r="L223" s="597"/>
      <c r="M223" s="597"/>
      <c r="N223" s="599"/>
    </row>
    <row r="224" spans="1:14">
      <c r="B224" s="582">
        <f t="shared" si="3"/>
        <v>219</v>
      </c>
      <c r="D224" s="593" t="s">
        <v>1791</v>
      </c>
      <c r="G224" s="597" t="s">
        <v>1515</v>
      </c>
      <c r="H224" s="597"/>
      <c r="I224" s="597"/>
      <c r="J224" s="597"/>
      <c r="K224" s="597"/>
      <c r="L224" s="597"/>
      <c r="M224" s="597"/>
      <c r="N224" s="599"/>
    </row>
    <row r="225" spans="1:14">
      <c r="B225" s="582">
        <f t="shared" si="3"/>
        <v>220</v>
      </c>
      <c r="D225" s="593" t="s">
        <v>1792</v>
      </c>
      <c r="E225" s="594" t="s">
        <v>11</v>
      </c>
      <c r="G225" s="597" t="s">
        <v>1515</v>
      </c>
      <c r="H225" s="597"/>
      <c r="I225" s="597"/>
      <c r="J225" s="597"/>
      <c r="K225" s="597"/>
      <c r="L225" s="597"/>
      <c r="M225" s="597"/>
      <c r="N225" s="599"/>
    </row>
    <row r="226" spans="1:14">
      <c r="A226" s="562" t="s">
        <v>343</v>
      </c>
      <c r="B226" s="582">
        <f t="shared" si="3"/>
        <v>221</v>
      </c>
      <c r="C226" s="592" t="s">
        <v>1793</v>
      </c>
      <c r="D226" s="593" t="s">
        <v>1794</v>
      </c>
      <c r="E226" s="594" t="s">
        <v>11</v>
      </c>
      <c r="F226" s="600">
        <v>2709424</v>
      </c>
      <c r="G226" s="597" t="s">
        <v>1515</v>
      </c>
      <c r="H226" s="597"/>
      <c r="I226" s="597"/>
      <c r="J226" s="597"/>
      <c r="K226" s="597"/>
      <c r="L226" s="597"/>
      <c r="M226" s="597"/>
      <c r="N226" s="599"/>
    </row>
    <row r="227" spans="1:14">
      <c r="B227" s="582">
        <f t="shared" si="3"/>
        <v>222</v>
      </c>
      <c r="D227" s="593" t="s">
        <v>1796</v>
      </c>
      <c r="E227" s="594" t="s">
        <v>11</v>
      </c>
      <c r="G227" s="597" t="s">
        <v>1515</v>
      </c>
      <c r="H227" s="597"/>
      <c r="I227" s="597"/>
      <c r="J227" s="597"/>
      <c r="K227" s="597"/>
      <c r="L227" s="597"/>
      <c r="M227" s="597"/>
      <c r="N227" s="599"/>
    </row>
    <row r="228" spans="1:14">
      <c r="A228" s="562" t="s">
        <v>345</v>
      </c>
      <c r="B228" s="582">
        <f t="shared" si="3"/>
        <v>223</v>
      </c>
      <c r="C228" s="592" t="s">
        <v>1797</v>
      </c>
      <c r="D228" s="593" t="s">
        <v>1798</v>
      </c>
      <c r="E228" s="594" t="s">
        <v>11</v>
      </c>
      <c r="F228" s="600">
        <v>3760923</v>
      </c>
      <c r="G228" s="597" t="s">
        <v>1515</v>
      </c>
      <c r="H228" s="597"/>
      <c r="I228" s="597"/>
      <c r="J228" s="597"/>
      <c r="K228" s="597"/>
      <c r="L228" s="597"/>
      <c r="M228" s="597"/>
      <c r="N228" s="599"/>
    </row>
    <row r="229" spans="1:14">
      <c r="B229" s="582">
        <f t="shared" si="3"/>
        <v>224</v>
      </c>
      <c r="D229" s="593" t="s">
        <v>1799</v>
      </c>
      <c r="E229" s="594" t="s">
        <v>11</v>
      </c>
      <c r="G229" s="597" t="s">
        <v>1515</v>
      </c>
      <c r="H229" s="597"/>
      <c r="I229" s="597"/>
      <c r="J229" s="597"/>
      <c r="K229" s="597"/>
      <c r="L229" s="597"/>
      <c r="M229" s="597"/>
      <c r="N229" s="599"/>
    </row>
    <row r="230" spans="1:14">
      <c r="B230" s="582">
        <f t="shared" si="3"/>
        <v>225</v>
      </c>
      <c r="D230" s="593" t="s">
        <v>1800</v>
      </c>
      <c r="E230" s="594" t="s">
        <v>11</v>
      </c>
      <c r="G230" s="597" t="s">
        <v>1515</v>
      </c>
      <c r="H230" s="597"/>
      <c r="I230" s="597"/>
      <c r="J230" s="597"/>
      <c r="K230" s="597"/>
      <c r="L230" s="597"/>
      <c r="M230" s="597"/>
      <c r="N230" s="599"/>
    </row>
    <row r="231" spans="1:14">
      <c r="B231" s="582">
        <f t="shared" si="3"/>
        <v>226</v>
      </c>
      <c r="D231" s="593" t="s">
        <v>1801</v>
      </c>
      <c r="E231" s="594" t="s">
        <v>11</v>
      </c>
      <c r="G231" s="597" t="s">
        <v>1515</v>
      </c>
      <c r="H231" s="597"/>
      <c r="I231" s="597"/>
      <c r="J231" s="597"/>
      <c r="K231" s="597"/>
      <c r="L231" s="597"/>
      <c r="M231" s="597"/>
      <c r="N231" s="599"/>
    </row>
    <row r="232" spans="1:14">
      <c r="B232" s="582">
        <f t="shared" si="3"/>
        <v>227</v>
      </c>
      <c r="D232" s="593" t="s">
        <v>1802</v>
      </c>
      <c r="E232" s="594" t="s">
        <v>11</v>
      </c>
      <c r="G232" s="597" t="s">
        <v>1515</v>
      </c>
      <c r="H232" s="597"/>
      <c r="I232" s="597"/>
      <c r="J232" s="597"/>
      <c r="K232" s="597"/>
      <c r="L232" s="597"/>
      <c r="M232" s="597"/>
      <c r="N232" s="599"/>
    </row>
    <row r="233" spans="1:14">
      <c r="A233" s="562" t="s">
        <v>347</v>
      </c>
      <c r="B233" s="582">
        <f t="shared" si="3"/>
        <v>228</v>
      </c>
      <c r="C233" s="592" t="s">
        <v>1803</v>
      </c>
      <c r="D233" s="593" t="s">
        <v>1804</v>
      </c>
      <c r="E233" s="594" t="s">
        <v>11</v>
      </c>
      <c r="F233" s="600">
        <v>10852062</v>
      </c>
      <c r="G233" s="597" t="s">
        <v>1515</v>
      </c>
      <c r="H233" s="597"/>
      <c r="I233" s="597"/>
      <c r="J233" s="597"/>
      <c r="K233" s="597"/>
      <c r="L233" s="597"/>
      <c r="M233" s="597"/>
      <c r="N233" s="599" t="s">
        <v>1805</v>
      </c>
    </row>
    <row r="234" spans="1:14">
      <c r="B234" s="582">
        <f t="shared" si="3"/>
        <v>229</v>
      </c>
      <c r="D234" s="593" t="s">
        <v>1806</v>
      </c>
      <c r="E234" s="594" t="s">
        <v>11</v>
      </c>
      <c r="G234" s="597" t="s">
        <v>1515</v>
      </c>
      <c r="H234" s="597"/>
      <c r="I234" s="597"/>
      <c r="J234" s="597"/>
      <c r="K234" s="597"/>
      <c r="L234" s="597"/>
      <c r="M234" s="597"/>
      <c r="N234" s="599"/>
    </row>
    <row r="235" spans="1:14">
      <c r="B235" s="582">
        <f t="shared" si="3"/>
        <v>230</v>
      </c>
      <c r="D235" s="593" t="s">
        <v>1807</v>
      </c>
      <c r="E235" s="594" t="s">
        <v>11</v>
      </c>
      <c r="G235" s="597" t="s">
        <v>1515</v>
      </c>
      <c r="H235" s="597"/>
      <c r="I235" s="597"/>
      <c r="J235" s="597"/>
      <c r="K235" s="597"/>
      <c r="L235" s="597"/>
      <c r="M235" s="597"/>
      <c r="N235" s="599"/>
    </row>
    <row r="236" spans="1:14">
      <c r="B236" s="582">
        <f t="shared" si="3"/>
        <v>231</v>
      </c>
      <c r="D236" s="593" t="s">
        <v>1808</v>
      </c>
      <c r="E236" s="594" t="s">
        <v>11</v>
      </c>
      <c r="G236" s="597" t="s">
        <v>1515</v>
      </c>
      <c r="H236" s="597"/>
      <c r="I236" s="597"/>
      <c r="J236" s="597"/>
      <c r="K236" s="597"/>
      <c r="L236" s="597"/>
      <c r="M236" s="597"/>
      <c r="N236" s="599"/>
    </row>
    <row r="237" spans="1:14">
      <c r="A237" s="562" t="s">
        <v>351</v>
      </c>
      <c r="B237" s="582">
        <f t="shared" si="3"/>
        <v>232</v>
      </c>
      <c r="C237" s="592" t="s">
        <v>1809</v>
      </c>
      <c r="D237" s="593" t="s">
        <v>2454</v>
      </c>
      <c r="E237" s="594" t="s">
        <v>11</v>
      </c>
      <c r="F237" s="600">
        <v>845694</v>
      </c>
      <c r="G237" s="597" t="s">
        <v>1515</v>
      </c>
      <c r="H237" s="597"/>
      <c r="I237" s="597"/>
      <c r="J237" s="597"/>
      <c r="K237" s="597"/>
      <c r="L237" s="597"/>
      <c r="M237" s="597"/>
      <c r="N237" s="599"/>
    </row>
    <row r="238" spans="1:14">
      <c r="B238" s="582">
        <f t="shared" si="3"/>
        <v>233</v>
      </c>
      <c r="D238" s="593" t="s">
        <v>1810</v>
      </c>
      <c r="E238" s="594" t="s">
        <v>11</v>
      </c>
      <c r="G238" s="597" t="s">
        <v>1515</v>
      </c>
      <c r="H238" s="597"/>
      <c r="I238" s="597"/>
      <c r="J238" s="597"/>
      <c r="K238" s="597"/>
      <c r="L238" s="597"/>
      <c r="M238" s="597"/>
      <c r="N238" s="599"/>
    </row>
    <row r="239" spans="1:14">
      <c r="A239" s="562" t="s">
        <v>353</v>
      </c>
      <c r="B239" s="582">
        <f t="shared" si="3"/>
        <v>234</v>
      </c>
      <c r="C239" s="592" t="s">
        <v>1811</v>
      </c>
      <c r="D239" s="593" t="s">
        <v>1812</v>
      </c>
      <c r="E239" s="594" t="s">
        <v>11</v>
      </c>
      <c r="F239" s="600">
        <v>7737533</v>
      </c>
      <c r="G239" s="597" t="s">
        <v>1515</v>
      </c>
      <c r="H239" s="597"/>
      <c r="I239" s="597"/>
      <c r="J239" s="597"/>
      <c r="K239" s="597"/>
      <c r="L239" s="597"/>
      <c r="M239" s="597"/>
      <c r="N239" s="599"/>
    </row>
    <row r="240" spans="1:14">
      <c r="B240" s="582">
        <f t="shared" si="3"/>
        <v>235</v>
      </c>
      <c r="D240" s="593" t="s">
        <v>1597</v>
      </c>
      <c r="E240" s="594" t="s">
        <v>11</v>
      </c>
      <c r="G240" s="597" t="s">
        <v>1515</v>
      </c>
      <c r="H240" s="597"/>
      <c r="I240" s="597"/>
      <c r="J240" s="597"/>
      <c r="K240" s="597"/>
      <c r="L240" s="597"/>
      <c r="M240" s="597"/>
      <c r="N240" s="599"/>
    </row>
    <row r="241" spans="1:14">
      <c r="B241" s="582">
        <f t="shared" si="3"/>
        <v>236</v>
      </c>
      <c r="D241" s="593" t="s">
        <v>2586</v>
      </c>
      <c r="G241" s="597" t="s">
        <v>1515</v>
      </c>
      <c r="H241" s="597"/>
      <c r="I241" s="597"/>
      <c r="J241" s="597"/>
      <c r="K241" s="597"/>
      <c r="L241" s="597"/>
      <c r="M241" s="597"/>
      <c r="N241" s="599"/>
    </row>
    <row r="242" spans="1:14">
      <c r="B242" s="582">
        <f t="shared" si="3"/>
        <v>237</v>
      </c>
      <c r="D242" s="593" t="s">
        <v>1813</v>
      </c>
      <c r="E242" s="594" t="s">
        <v>11</v>
      </c>
      <c r="G242" s="597" t="s">
        <v>1515</v>
      </c>
      <c r="H242" s="597"/>
      <c r="I242" s="597"/>
      <c r="J242" s="597"/>
      <c r="K242" s="597"/>
      <c r="L242" s="597"/>
      <c r="M242" s="597"/>
      <c r="N242" s="599"/>
    </row>
    <row r="243" spans="1:14">
      <c r="B243" s="582">
        <f t="shared" si="3"/>
        <v>238</v>
      </c>
      <c r="D243" s="593" t="s">
        <v>1814</v>
      </c>
      <c r="E243" s="594" t="s">
        <v>11</v>
      </c>
      <c r="G243" s="597" t="s">
        <v>1515</v>
      </c>
      <c r="H243" s="597"/>
      <c r="I243" s="597"/>
      <c r="J243" s="597"/>
      <c r="K243" s="597"/>
      <c r="L243" s="597"/>
      <c r="M243" s="597"/>
      <c r="N243" s="599"/>
    </row>
    <row r="244" spans="1:14">
      <c r="B244" s="582">
        <f t="shared" si="3"/>
        <v>239</v>
      </c>
      <c r="D244" s="593" t="s">
        <v>1815</v>
      </c>
      <c r="E244" s="594" t="s">
        <v>11</v>
      </c>
      <c r="G244" s="597" t="s">
        <v>1515</v>
      </c>
      <c r="H244" s="597"/>
      <c r="I244" s="597"/>
      <c r="J244" s="597"/>
      <c r="K244" s="597"/>
      <c r="L244" s="597"/>
      <c r="M244" s="597"/>
      <c r="N244" s="599"/>
    </row>
    <row r="245" spans="1:14">
      <c r="B245" s="582">
        <f t="shared" si="3"/>
        <v>240</v>
      </c>
      <c r="D245" s="593" t="s">
        <v>1816</v>
      </c>
      <c r="E245" s="594" t="s">
        <v>11</v>
      </c>
      <c r="G245" s="597" t="s">
        <v>1515</v>
      </c>
      <c r="H245" s="597"/>
      <c r="I245" s="597"/>
      <c r="J245" s="597"/>
      <c r="K245" s="597"/>
      <c r="L245" s="597"/>
      <c r="M245" s="597"/>
      <c r="N245" s="599"/>
    </row>
    <row r="246" spans="1:14">
      <c r="A246" s="562" t="s">
        <v>355</v>
      </c>
      <c r="B246" s="582">
        <f t="shared" si="3"/>
        <v>241</v>
      </c>
      <c r="C246" s="592" t="s">
        <v>1817</v>
      </c>
      <c r="D246" s="593" t="s">
        <v>1818</v>
      </c>
      <c r="E246" s="594" t="s">
        <v>11</v>
      </c>
      <c r="F246" s="600">
        <v>689069</v>
      </c>
      <c r="G246" s="597" t="s">
        <v>1515</v>
      </c>
      <c r="H246" s="597"/>
      <c r="I246" s="597"/>
      <c r="J246" s="597"/>
      <c r="K246" s="597"/>
      <c r="L246" s="597"/>
      <c r="M246" s="597"/>
      <c r="N246" s="599"/>
    </row>
    <row r="247" spans="1:14">
      <c r="B247" s="582">
        <f t="shared" si="3"/>
        <v>242</v>
      </c>
      <c r="D247" s="593" t="s">
        <v>1819</v>
      </c>
      <c r="E247" s="594" t="s">
        <v>11</v>
      </c>
      <c r="G247" s="597" t="s">
        <v>1515</v>
      </c>
      <c r="H247" s="597"/>
      <c r="I247" s="597"/>
      <c r="J247" s="597"/>
      <c r="K247" s="597"/>
      <c r="L247" s="597"/>
      <c r="M247" s="597"/>
      <c r="N247" s="599"/>
    </row>
    <row r="248" spans="1:14">
      <c r="A248" s="562" t="s">
        <v>361</v>
      </c>
      <c r="B248" s="582">
        <f t="shared" si="3"/>
        <v>243</v>
      </c>
      <c r="C248" s="592" t="s">
        <v>1820</v>
      </c>
      <c r="D248" s="593" t="s">
        <v>1821</v>
      </c>
      <c r="E248" s="594" t="s">
        <v>11</v>
      </c>
      <c r="F248" s="600">
        <v>875329</v>
      </c>
      <c r="G248" s="597"/>
      <c r="H248" s="597" t="s">
        <v>1515</v>
      </c>
      <c r="I248" s="597" t="s">
        <v>1515</v>
      </c>
      <c r="J248" s="597"/>
      <c r="K248" s="597"/>
      <c r="L248" s="597"/>
      <c r="M248" s="597"/>
      <c r="N248" s="599" t="s">
        <v>1822</v>
      </c>
    </row>
    <row r="249" spans="1:14">
      <c r="A249" s="562" t="s">
        <v>357</v>
      </c>
      <c r="B249" s="582">
        <f t="shared" si="3"/>
        <v>244</v>
      </c>
      <c r="C249" s="592" t="s">
        <v>1823</v>
      </c>
      <c r="D249" s="593" t="s">
        <v>1824</v>
      </c>
      <c r="E249" s="594" t="s">
        <v>11</v>
      </c>
      <c r="F249" s="600">
        <v>6387656</v>
      </c>
      <c r="G249" s="597" t="s">
        <v>1515</v>
      </c>
      <c r="H249" s="597"/>
      <c r="I249" s="597"/>
      <c r="J249" s="597"/>
      <c r="K249" s="597"/>
      <c r="L249" s="597"/>
      <c r="M249" s="597"/>
      <c r="N249" s="599"/>
    </row>
    <row r="250" spans="1:14">
      <c r="B250" s="582">
        <f t="shared" si="3"/>
        <v>245</v>
      </c>
      <c r="D250" s="593" t="s">
        <v>1597</v>
      </c>
      <c r="E250" s="594" t="s">
        <v>11</v>
      </c>
      <c r="G250" s="597" t="s">
        <v>1515</v>
      </c>
      <c r="H250" s="597"/>
      <c r="I250" s="597"/>
      <c r="J250" s="597"/>
      <c r="K250" s="597"/>
      <c r="L250" s="597"/>
      <c r="M250" s="597"/>
      <c r="N250" s="599"/>
    </row>
    <row r="251" spans="1:14" ht="29">
      <c r="B251" s="582">
        <f t="shared" si="3"/>
        <v>246</v>
      </c>
      <c r="D251" s="593" t="s">
        <v>1825</v>
      </c>
      <c r="E251" s="594" t="s">
        <v>11</v>
      </c>
      <c r="G251" s="597" t="s">
        <v>1515</v>
      </c>
      <c r="H251" s="597"/>
      <c r="I251" s="597"/>
      <c r="J251" s="597"/>
      <c r="K251" s="597"/>
      <c r="L251" s="597"/>
      <c r="M251" s="597"/>
      <c r="N251" s="599"/>
    </row>
    <row r="252" spans="1:14">
      <c r="B252" s="582">
        <f t="shared" si="3"/>
        <v>247</v>
      </c>
      <c r="D252" s="593" t="s">
        <v>1826</v>
      </c>
      <c r="E252" s="594" t="s">
        <v>11</v>
      </c>
      <c r="G252" s="597" t="s">
        <v>1515</v>
      </c>
      <c r="H252" s="597"/>
      <c r="I252" s="597"/>
      <c r="J252" s="597"/>
      <c r="K252" s="597"/>
      <c r="L252" s="597"/>
      <c r="M252" s="597"/>
      <c r="N252" s="599"/>
    </row>
    <row r="253" spans="1:14">
      <c r="B253" s="582">
        <f t="shared" si="3"/>
        <v>248</v>
      </c>
      <c r="D253" s="593" t="s">
        <v>1827</v>
      </c>
      <c r="E253" s="594" t="s">
        <v>11</v>
      </c>
      <c r="G253" s="597" t="s">
        <v>1515</v>
      </c>
      <c r="H253" s="597"/>
      <c r="I253" s="597"/>
      <c r="J253" s="597"/>
      <c r="K253" s="597"/>
      <c r="L253" s="597"/>
      <c r="M253" s="597"/>
      <c r="N253" s="599"/>
    </row>
    <row r="254" spans="1:14">
      <c r="B254" s="582">
        <f t="shared" si="3"/>
        <v>249</v>
      </c>
      <c r="D254" s="593" t="s">
        <v>1828</v>
      </c>
      <c r="E254" s="594" t="s">
        <v>11</v>
      </c>
      <c r="G254" s="597" t="s">
        <v>1515</v>
      </c>
      <c r="H254" s="597"/>
      <c r="I254" s="597"/>
      <c r="J254" s="597"/>
      <c r="K254" s="597"/>
      <c r="L254" s="597"/>
      <c r="M254" s="597"/>
      <c r="N254" s="599"/>
    </row>
    <row r="255" spans="1:14">
      <c r="A255" s="562" t="s">
        <v>359</v>
      </c>
      <c r="B255" s="582">
        <f t="shared" si="3"/>
        <v>250</v>
      </c>
      <c r="C255" s="592" t="s">
        <v>1829</v>
      </c>
      <c r="D255" s="593" t="s">
        <v>1830</v>
      </c>
      <c r="E255" s="594" t="s">
        <v>36</v>
      </c>
      <c r="F255" s="600">
        <v>1895702</v>
      </c>
      <c r="G255" s="597" t="s">
        <v>1515</v>
      </c>
      <c r="H255" s="597"/>
      <c r="I255" s="597"/>
      <c r="J255" s="597"/>
      <c r="K255" s="597"/>
      <c r="L255" s="597"/>
      <c r="M255" s="597"/>
      <c r="N255" s="599"/>
    </row>
    <row r="256" spans="1:14">
      <c r="B256" s="582">
        <f t="shared" si="3"/>
        <v>251</v>
      </c>
      <c r="C256" s="592" t="s">
        <v>2353</v>
      </c>
      <c r="D256" s="593" t="s">
        <v>2354</v>
      </c>
      <c r="G256" s="597" t="s">
        <v>1515</v>
      </c>
      <c r="H256" s="597"/>
      <c r="I256" s="597"/>
      <c r="J256" s="597"/>
      <c r="K256" s="597"/>
      <c r="L256" s="597"/>
      <c r="M256" s="597"/>
      <c r="N256" s="599"/>
    </row>
    <row r="257" spans="1:14">
      <c r="B257" s="582">
        <f t="shared" si="3"/>
        <v>252</v>
      </c>
      <c r="D257" s="593" t="s">
        <v>2355</v>
      </c>
      <c r="F257" s="595"/>
      <c r="G257" s="607" t="s">
        <v>1515</v>
      </c>
      <c r="H257" s="607"/>
      <c r="I257" s="608"/>
      <c r="J257" s="608"/>
      <c r="K257" s="607"/>
      <c r="L257" s="609"/>
      <c r="M257" s="610"/>
      <c r="N257" s="599"/>
    </row>
    <row r="258" spans="1:14">
      <c r="A258" s="562" t="s">
        <v>363</v>
      </c>
      <c r="B258" s="582">
        <f t="shared" si="3"/>
        <v>253</v>
      </c>
      <c r="C258" s="592" t="s">
        <v>1831</v>
      </c>
      <c r="D258" s="593" t="s">
        <v>1832</v>
      </c>
      <c r="E258" s="594" t="s">
        <v>11</v>
      </c>
      <c r="F258" s="600">
        <v>2888367</v>
      </c>
      <c r="G258" s="597" t="s">
        <v>1515</v>
      </c>
      <c r="H258" s="597"/>
      <c r="I258" s="597"/>
      <c r="J258" s="597"/>
      <c r="K258" s="597"/>
      <c r="L258" s="597"/>
      <c r="M258" s="597"/>
      <c r="N258" s="599"/>
    </row>
    <row r="259" spans="1:14">
      <c r="B259" s="582">
        <f t="shared" si="3"/>
        <v>254</v>
      </c>
      <c r="D259" s="593" t="s">
        <v>1833</v>
      </c>
      <c r="E259" s="594" t="s">
        <v>11</v>
      </c>
      <c r="G259" s="597" t="s">
        <v>1515</v>
      </c>
      <c r="H259" s="597"/>
      <c r="I259" s="597"/>
      <c r="J259" s="597"/>
      <c r="K259" s="597"/>
      <c r="L259" s="597"/>
      <c r="M259" s="597"/>
      <c r="N259" s="599"/>
    </row>
    <row r="260" spans="1:14">
      <c r="B260" s="582">
        <f t="shared" si="3"/>
        <v>255</v>
      </c>
      <c r="D260" s="593" t="s">
        <v>1834</v>
      </c>
      <c r="E260" s="594" t="s">
        <v>11</v>
      </c>
      <c r="G260" s="597" t="s">
        <v>1515</v>
      </c>
      <c r="H260" s="597"/>
      <c r="I260" s="597"/>
      <c r="J260" s="597"/>
      <c r="K260" s="598"/>
      <c r="L260" s="597"/>
      <c r="M260" s="597"/>
      <c r="N260" s="599"/>
    </row>
    <row r="261" spans="1:14">
      <c r="B261" s="582">
        <f t="shared" si="3"/>
        <v>256</v>
      </c>
      <c r="D261" s="593" t="s">
        <v>1835</v>
      </c>
      <c r="E261" s="594" t="s">
        <v>11</v>
      </c>
      <c r="G261" s="597" t="s">
        <v>1515</v>
      </c>
      <c r="H261" s="597"/>
      <c r="I261" s="597"/>
      <c r="J261" s="597"/>
      <c r="K261" s="598"/>
      <c r="L261" s="597"/>
      <c r="M261" s="597"/>
      <c r="N261" s="599"/>
    </row>
    <row r="262" spans="1:14">
      <c r="B262" s="582">
        <f t="shared" si="3"/>
        <v>257</v>
      </c>
      <c r="D262" s="593" t="s">
        <v>1836</v>
      </c>
      <c r="E262" s="594" t="s">
        <v>11</v>
      </c>
      <c r="G262" s="597" t="s">
        <v>1515</v>
      </c>
      <c r="H262" s="597"/>
      <c r="I262" s="597"/>
      <c r="J262" s="597"/>
      <c r="K262" s="598"/>
      <c r="L262" s="597"/>
      <c r="M262" s="597"/>
      <c r="N262" s="599"/>
    </row>
    <row r="263" spans="1:14">
      <c r="A263" s="562" t="s">
        <v>365</v>
      </c>
      <c r="B263" s="582">
        <f t="shared" ref="B263:B326" si="4">B262+1</f>
        <v>258</v>
      </c>
      <c r="C263" s="592" t="s">
        <v>1837</v>
      </c>
      <c r="D263" s="593" t="s">
        <v>1838</v>
      </c>
      <c r="E263" s="594" t="s">
        <v>11</v>
      </c>
      <c r="F263" s="600">
        <v>7229447</v>
      </c>
      <c r="G263" s="597" t="s">
        <v>1515</v>
      </c>
      <c r="H263" s="597"/>
      <c r="I263" s="597"/>
      <c r="J263" s="597"/>
      <c r="K263" s="598"/>
      <c r="L263" s="597"/>
      <c r="M263" s="597"/>
      <c r="N263" s="599"/>
    </row>
    <row r="264" spans="1:14">
      <c r="B264" s="582">
        <f t="shared" si="4"/>
        <v>259</v>
      </c>
      <c r="D264" s="593" t="s">
        <v>1597</v>
      </c>
      <c r="E264" s="594" t="s">
        <v>11</v>
      </c>
      <c r="G264" s="597" t="s">
        <v>1515</v>
      </c>
      <c r="H264" s="597"/>
      <c r="I264" s="597"/>
      <c r="J264" s="597"/>
      <c r="K264" s="598"/>
      <c r="L264" s="597"/>
      <c r="M264" s="597"/>
      <c r="N264" s="599"/>
    </row>
    <row r="265" spans="1:14">
      <c r="B265" s="582">
        <f t="shared" si="4"/>
        <v>260</v>
      </c>
      <c r="D265" s="593" t="s">
        <v>1839</v>
      </c>
      <c r="E265" s="594" t="s">
        <v>11</v>
      </c>
      <c r="G265" s="597" t="s">
        <v>1515</v>
      </c>
      <c r="H265" s="597"/>
      <c r="I265" s="597"/>
      <c r="J265" s="597"/>
      <c r="K265" s="598"/>
      <c r="L265" s="597"/>
      <c r="M265" s="597"/>
      <c r="N265" s="599"/>
    </row>
    <row r="266" spans="1:14">
      <c r="B266" s="582">
        <f t="shared" si="4"/>
        <v>261</v>
      </c>
      <c r="D266" s="593" t="s">
        <v>1840</v>
      </c>
      <c r="E266" s="594" t="s">
        <v>11</v>
      </c>
      <c r="G266" s="597" t="s">
        <v>1515</v>
      </c>
      <c r="H266" s="597"/>
      <c r="I266" s="597"/>
      <c r="J266" s="597"/>
      <c r="K266" s="611"/>
      <c r="L266" s="597"/>
      <c r="M266" s="597"/>
      <c r="N266" s="599"/>
    </row>
    <row r="267" spans="1:14">
      <c r="A267" s="562" t="s">
        <v>367</v>
      </c>
      <c r="B267" s="582">
        <f t="shared" si="4"/>
        <v>262</v>
      </c>
      <c r="C267" s="592" t="s">
        <v>1841</v>
      </c>
      <c r="D267" s="593" t="s">
        <v>1842</v>
      </c>
      <c r="E267" s="594" t="s">
        <v>11</v>
      </c>
      <c r="F267" s="600">
        <v>1769604</v>
      </c>
      <c r="G267" s="597" t="s">
        <v>1515</v>
      </c>
      <c r="H267" s="597"/>
      <c r="I267" s="597"/>
      <c r="J267" s="597"/>
      <c r="K267" s="611"/>
      <c r="L267" s="597"/>
      <c r="M267" s="597"/>
      <c r="N267" s="599"/>
    </row>
    <row r="268" spans="1:14">
      <c r="B268" s="582">
        <f t="shared" si="4"/>
        <v>263</v>
      </c>
      <c r="D268" s="593" t="s">
        <v>1843</v>
      </c>
      <c r="E268" s="594" t="s">
        <v>11</v>
      </c>
      <c r="G268" s="597" t="s">
        <v>1515</v>
      </c>
      <c r="H268" s="597"/>
      <c r="I268" s="597"/>
      <c r="J268" s="597"/>
      <c r="K268" s="598"/>
      <c r="L268" s="597"/>
      <c r="M268" s="597"/>
      <c r="N268" s="599"/>
    </row>
    <row r="269" spans="1:14" ht="29">
      <c r="B269" s="582">
        <f t="shared" si="4"/>
        <v>264</v>
      </c>
      <c r="D269" s="593" t="s">
        <v>1522</v>
      </c>
      <c r="E269" s="594" t="s">
        <v>11</v>
      </c>
      <c r="G269" s="597"/>
      <c r="H269" s="597" t="s">
        <v>1515</v>
      </c>
      <c r="I269" s="597"/>
      <c r="J269" s="597"/>
      <c r="K269" s="598"/>
      <c r="L269" s="597"/>
      <c r="M269" s="597"/>
      <c r="N269" s="599" t="s">
        <v>1844</v>
      </c>
    </row>
    <row r="270" spans="1:14">
      <c r="A270" s="562" t="s">
        <v>369</v>
      </c>
      <c r="B270" s="582">
        <f t="shared" si="4"/>
        <v>265</v>
      </c>
      <c r="C270" s="592" t="s">
        <v>1845</v>
      </c>
      <c r="D270" s="593" t="s">
        <v>1661</v>
      </c>
      <c r="E270" s="594" t="s">
        <v>11</v>
      </c>
      <c r="F270" s="600">
        <v>1910050</v>
      </c>
      <c r="G270" s="597" t="s">
        <v>1515</v>
      </c>
      <c r="H270" s="597"/>
      <c r="I270" s="597"/>
      <c r="J270" s="597"/>
      <c r="K270" s="598"/>
      <c r="L270" s="597"/>
      <c r="M270" s="597"/>
      <c r="N270" s="599"/>
    </row>
    <row r="271" spans="1:14" ht="29">
      <c r="A271" s="562" t="s">
        <v>371</v>
      </c>
      <c r="B271" s="582">
        <f t="shared" si="4"/>
        <v>266</v>
      </c>
      <c r="C271" s="592" t="s">
        <v>1846</v>
      </c>
      <c r="D271" s="593" t="s">
        <v>1847</v>
      </c>
      <c r="E271" s="594" t="s">
        <v>11</v>
      </c>
      <c r="F271" s="600">
        <v>16311512</v>
      </c>
      <c r="G271" s="597" t="s">
        <v>1515</v>
      </c>
      <c r="H271" s="597"/>
      <c r="I271" s="597"/>
      <c r="J271" s="597"/>
      <c r="K271" s="598"/>
      <c r="L271" s="597"/>
      <c r="M271" s="597"/>
      <c r="N271" s="599"/>
    </row>
    <row r="272" spans="1:14">
      <c r="B272" s="582">
        <f t="shared" si="4"/>
        <v>267</v>
      </c>
      <c r="D272" s="593" t="s">
        <v>1848</v>
      </c>
      <c r="E272" s="594" t="s">
        <v>11</v>
      </c>
      <c r="G272" s="597" t="s">
        <v>1515</v>
      </c>
      <c r="H272" s="597"/>
      <c r="I272" s="597"/>
      <c r="J272" s="597"/>
      <c r="K272" s="598"/>
      <c r="L272" s="597"/>
      <c r="M272" s="597"/>
      <c r="N272" s="599"/>
    </row>
    <row r="273" spans="1:14">
      <c r="B273" s="582">
        <f t="shared" si="4"/>
        <v>268</v>
      </c>
      <c r="D273" s="593" t="s">
        <v>1849</v>
      </c>
      <c r="E273" s="594" t="s">
        <v>11</v>
      </c>
      <c r="G273" s="597" t="s">
        <v>1515</v>
      </c>
      <c r="H273" s="597"/>
      <c r="I273" s="597"/>
      <c r="J273" s="597"/>
      <c r="K273" s="598"/>
      <c r="L273" s="597"/>
      <c r="M273" s="597"/>
      <c r="N273" s="599"/>
    </row>
    <row r="274" spans="1:14" ht="29">
      <c r="B274" s="582">
        <f t="shared" si="4"/>
        <v>269</v>
      </c>
      <c r="D274" s="593" t="s">
        <v>1850</v>
      </c>
      <c r="E274" s="594" t="s">
        <v>11</v>
      </c>
      <c r="G274" s="597" t="s">
        <v>1515</v>
      </c>
      <c r="H274" s="597"/>
      <c r="I274" s="597"/>
      <c r="J274" s="597"/>
      <c r="K274" s="598"/>
      <c r="L274" s="597"/>
      <c r="M274" s="597"/>
      <c r="N274" s="599"/>
    </row>
    <row r="275" spans="1:14">
      <c r="B275" s="582">
        <f t="shared" si="4"/>
        <v>270</v>
      </c>
      <c r="D275" s="593" t="s">
        <v>1851</v>
      </c>
      <c r="E275" s="594" t="s">
        <v>11</v>
      </c>
      <c r="G275" s="597" t="s">
        <v>1515</v>
      </c>
      <c r="H275" s="597"/>
      <c r="I275" s="597"/>
      <c r="J275" s="597"/>
      <c r="K275" s="598"/>
      <c r="L275" s="597"/>
      <c r="M275" s="597"/>
      <c r="N275" s="599"/>
    </row>
    <row r="276" spans="1:14">
      <c r="B276" s="582">
        <f t="shared" si="4"/>
        <v>271</v>
      </c>
      <c r="D276" s="593" t="s">
        <v>1852</v>
      </c>
      <c r="E276" s="594" t="s">
        <v>11</v>
      </c>
      <c r="G276" s="597" t="s">
        <v>1515</v>
      </c>
      <c r="H276" s="597"/>
      <c r="I276" s="597"/>
      <c r="J276" s="597"/>
      <c r="K276" s="598"/>
      <c r="L276" s="597"/>
      <c r="M276" s="597"/>
      <c r="N276" s="599"/>
    </row>
    <row r="277" spans="1:14">
      <c r="B277" s="582">
        <f t="shared" si="4"/>
        <v>272</v>
      </c>
      <c r="D277" s="593" t="s">
        <v>1703</v>
      </c>
      <c r="E277" s="594" t="s">
        <v>11</v>
      </c>
      <c r="G277" s="597" t="s">
        <v>1515</v>
      </c>
      <c r="H277" s="597"/>
      <c r="I277" s="597"/>
      <c r="J277" s="597"/>
      <c r="K277" s="598"/>
      <c r="L277" s="597"/>
      <c r="M277" s="597"/>
      <c r="N277" s="599"/>
    </row>
    <row r="278" spans="1:14">
      <c r="A278" s="562" t="s">
        <v>373</v>
      </c>
      <c r="B278" s="582">
        <f t="shared" si="4"/>
        <v>273</v>
      </c>
      <c r="C278" s="592" t="s">
        <v>1853</v>
      </c>
      <c r="D278" s="593" t="s">
        <v>1854</v>
      </c>
      <c r="E278" s="594" t="s">
        <v>11</v>
      </c>
      <c r="F278" s="600">
        <v>722677</v>
      </c>
      <c r="G278" s="597" t="s">
        <v>1515</v>
      </c>
      <c r="H278" s="597"/>
      <c r="I278" s="597"/>
      <c r="J278" s="597"/>
      <c r="K278" s="598"/>
      <c r="L278" s="597"/>
      <c r="M278" s="597"/>
      <c r="N278" s="599"/>
    </row>
    <row r="279" spans="1:14">
      <c r="B279" s="582">
        <f t="shared" si="4"/>
        <v>274</v>
      </c>
      <c r="D279" s="593" t="s">
        <v>1688</v>
      </c>
      <c r="E279" s="594" t="s">
        <v>11</v>
      </c>
      <c r="G279" s="597"/>
      <c r="H279" s="597" t="s">
        <v>1515</v>
      </c>
      <c r="I279" s="597"/>
      <c r="J279" s="597"/>
      <c r="K279" s="598"/>
      <c r="L279" s="597"/>
      <c r="M279" s="597"/>
      <c r="N279" s="599" t="s">
        <v>1855</v>
      </c>
    </row>
    <row r="280" spans="1:14">
      <c r="B280" s="582">
        <f t="shared" si="4"/>
        <v>275</v>
      </c>
      <c r="D280" s="593" t="s">
        <v>1856</v>
      </c>
      <c r="G280" s="597" t="s">
        <v>1515</v>
      </c>
      <c r="H280" s="597"/>
      <c r="I280" s="597"/>
      <c r="J280" s="597"/>
      <c r="K280" s="598"/>
      <c r="L280" s="597"/>
      <c r="M280" s="597"/>
      <c r="N280" s="599"/>
    </row>
    <row r="281" spans="1:14">
      <c r="A281" s="562" t="s">
        <v>375</v>
      </c>
      <c r="B281" s="582">
        <f t="shared" si="4"/>
        <v>276</v>
      </c>
      <c r="C281" s="592" t="s">
        <v>1857</v>
      </c>
      <c r="D281" s="593" t="s">
        <v>1858</v>
      </c>
      <c r="E281" s="594" t="s">
        <v>11</v>
      </c>
      <c r="F281" s="600">
        <v>1673183</v>
      </c>
      <c r="G281" s="597" t="s">
        <v>1515</v>
      </c>
      <c r="H281" s="597"/>
      <c r="I281" s="597"/>
      <c r="J281" s="597"/>
      <c r="K281" s="598"/>
      <c r="L281" s="597"/>
      <c r="M281" s="597"/>
      <c r="N281" s="599"/>
    </row>
    <row r="282" spans="1:14">
      <c r="B282" s="582">
        <f t="shared" si="4"/>
        <v>277</v>
      </c>
      <c r="D282" s="593" t="s">
        <v>1688</v>
      </c>
      <c r="E282" s="594" t="s">
        <v>11</v>
      </c>
      <c r="G282" s="597"/>
      <c r="H282" s="597" t="s">
        <v>1515</v>
      </c>
      <c r="I282" s="597"/>
      <c r="J282" s="597"/>
      <c r="K282" s="598"/>
      <c r="L282" s="597"/>
      <c r="M282" s="597"/>
      <c r="N282" s="599" t="s">
        <v>1859</v>
      </c>
    </row>
    <row r="283" spans="1:14">
      <c r="B283" s="582">
        <f t="shared" si="4"/>
        <v>278</v>
      </c>
      <c r="D283" s="593" t="s">
        <v>1860</v>
      </c>
      <c r="E283" s="594" t="s">
        <v>11</v>
      </c>
      <c r="G283" s="597"/>
      <c r="H283" s="597" t="s">
        <v>1515</v>
      </c>
      <c r="I283" s="597"/>
      <c r="J283" s="597"/>
      <c r="K283" s="598"/>
      <c r="L283" s="597"/>
      <c r="M283" s="597"/>
      <c r="N283" s="599" t="s">
        <v>1859</v>
      </c>
    </row>
    <row r="284" spans="1:14">
      <c r="B284" s="582">
        <f t="shared" si="4"/>
        <v>279</v>
      </c>
      <c r="D284" s="593" t="s">
        <v>1861</v>
      </c>
      <c r="G284" s="597" t="s">
        <v>1515</v>
      </c>
      <c r="H284" s="597"/>
      <c r="I284" s="597"/>
      <c r="J284" s="597"/>
      <c r="K284" s="598"/>
      <c r="L284" s="597"/>
      <c r="M284" s="597"/>
      <c r="N284" s="599"/>
    </row>
    <row r="285" spans="1:14">
      <c r="A285" s="562" t="s">
        <v>1862</v>
      </c>
      <c r="B285" s="582">
        <f t="shared" si="4"/>
        <v>280</v>
      </c>
      <c r="C285" s="592" t="s">
        <v>1863</v>
      </c>
      <c r="D285" s="593" t="s">
        <v>1864</v>
      </c>
      <c r="E285" s="594" t="s">
        <v>36</v>
      </c>
      <c r="G285" s="597" t="s">
        <v>1515</v>
      </c>
      <c r="H285" s="597"/>
      <c r="I285" s="597"/>
      <c r="J285" s="597"/>
      <c r="K285" s="598"/>
      <c r="L285" s="597"/>
      <c r="M285" s="597"/>
      <c r="N285" s="599"/>
    </row>
    <row r="286" spans="1:14">
      <c r="A286" s="562" t="s">
        <v>377</v>
      </c>
      <c r="B286" s="582">
        <f t="shared" si="4"/>
        <v>281</v>
      </c>
      <c r="C286" s="592" t="s">
        <v>1865</v>
      </c>
      <c r="D286" s="593" t="s">
        <v>1866</v>
      </c>
      <c r="E286" s="594" t="s">
        <v>11</v>
      </c>
      <c r="F286" s="600">
        <v>1663692</v>
      </c>
      <c r="G286" s="597" t="s">
        <v>1515</v>
      </c>
      <c r="H286" s="597"/>
      <c r="I286" s="597"/>
      <c r="J286" s="597"/>
      <c r="K286" s="598"/>
      <c r="L286" s="597"/>
      <c r="M286" s="597"/>
      <c r="N286" s="599"/>
    </row>
    <row r="287" spans="1:14">
      <c r="B287" s="582">
        <f t="shared" si="4"/>
        <v>282</v>
      </c>
      <c r="D287" s="593" t="s">
        <v>1867</v>
      </c>
      <c r="E287" s="594" t="s">
        <v>11</v>
      </c>
      <c r="G287" s="597" t="s">
        <v>1515</v>
      </c>
      <c r="H287" s="597"/>
      <c r="I287" s="597"/>
      <c r="J287" s="597"/>
      <c r="K287" s="598"/>
      <c r="L287" s="597"/>
      <c r="M287" s="597"/>
      <c r="N287" s="599"/>
    </row>
    <row r="288" spans="1:14">
      <c r="A288" s="562" t="s">
        <v>379</v>
      </c>
      <c r="B288" s="582">
        <f t="shared" si="4"/>
        <v>283</v>
      </c>
      <c r="C288" s="592" t="s">
        <v>1868</v>
      </c>
      <c r="D288" s="593" t="s">
        <v>1869</v>
      </c>
      <c r="E288" s="594" t="s">
        <v>11</v>
      </c>
      <c r="F288" s="600">
        <v>3881526</v>
      </c>
      <c r="G288" s="597" t="s">
        <v>1515</v>
      </c>
      <c r="H288" s="597"/>
      <c r="I288" s="597"/>
      <c r="J288" s="597"/>
      <c r="K288" s="598"/>
      <c r="L288" s="597"/>
      <c r="M288" s="597"/>
      <c r="N288" s="599"/>
    </row>
    <row r="289" spans="1:14">
      <c r="B289" s="582">
        <f t="shared" si="4"/>
        <v>284</v>
      </c>
      <c r="D289" s="593" t="s">
        <v>1870</v>
      </c>
      <c r="E289" s="594" t="s">
        <v>11</v>
      </c>
      <c r="G289" s="597" t="s">
        <v>1515</v>
      </c>
      <c r="H289" s="597"/>
      <c r="I289" s="597"/>
      <c r="J289" s="597"/>
      <c r="K289" s="598"/>
      <c r="L289" s="597"/>
      <c r="M289" s="597"/>
      <c r="N289" s="599"/>
    </row>
    <row r="290" spans="1:14">
      <c r="B290" s="582">
        <f t="shared" si="4"/>
        <v>285</v>
      </c>
      <c r="D290" s="593" t="s">
        <v>1871</v>
      </c>
      <c r="E290" s="594" t="s">
        <v>11</v>
      </c>
      <c r="G290" s="597" t="s">
        <v>1515</v>
      </c>
      <c r="H290" s="597"/>
      <c r="I290" s="597"/>
      <c r="J290" s="597"/>
      <c r="K290" s="598"/>
      <c r="L290" s="597"/>
      <c r="M290" s="597"/>
      <c r="N290" s="599"/>
    </row>
    <row r="291" spans="1:14" ht="29">
      <c r="B291" s="582">
        <f t="shared" si="4"/>
        <v>286</v>
      </c>
      <c r="D291" s="593" t="s">
        <v>1872</v>
      </c>
      <c r="E291" s="594" t="s">
        <v>11</v>
      </c>
      <c r="G291" s="597"/>
      <c r="H291" s="597" t="s">
        <v>1515</v>
      </c>
      <c r="I291" s="597"/>
      <c r="J291" s="597"/>
      <c r="K291" s="598"/>
      <c r="L291" s="597"/>
      <c r="M291" s="597"/>
      <c r="N291" s="599" t="s">
        <v>1873</v>
      </c>
    </row>
    <row r="292" spans="1:14">
      <c r="B292" s="582">
        <f t="shared" si="4"/>
        <v>287</v>
      </c>
      <c r="D292" s="593" t="s">
        <v>1874</v>
      </c>
      <c r="G292" s="597" t="s">
        <v>1515</v>
      </c>
      <c r="H292" s="597"/>
      <c r="I292" s="597"/>
      <c r="J292" s="597"/>
      <c r="K292" s="598"/>
      <c r="L292" s="597"/>
      <c r="M292" s="597"/>
      <c r="N292" s="599"/>
    </row>
    <row r="293" spans="1:14" ht="29">
      <c r="A293" s="562" t="s">
        <v>383</v>
      </c>
      <c r="B293" s="582">
        <f t="shared" si="4"/>
        <v>288</v>
      </c>
      <c r="C293" s="592" t="s">
        <v>1875</v>
      </c>
      <c r="D293" s="593" t="s">
        <v>1876</v>
      </c>
      <c r="E293" s="594" t="s">
        <v>11</v>
      </c>
      <c r="F293" s="600">
        <v>4281555</v>
      </c>
      <c r="G293" s="597" t="s">
        <v>1515</v>
      </c>
      <c r="H293" s="597"/>
      <c r="I293" s="597"/>
      <c r="J293" s="597"/>
      <c r="K293" s="597"/>
      <c r="L293" s="597"/>
      <c r="M293" s="597"/>
      <c r="N293" s="599"/>
    </row>
    <row r="294" spans="1:14">
      <c r="B294" s="582">
        <f t="shared" si="4"/>
        <v>289</v>
      </c>
      <c r="D294" s="593" t="s">
        <v>1877</v>
      </c>
      <c r="E294" s="594" t="s">
        <v>11</v>
      </c>
      <c r="G294" s="597" t="s">
        <v>1515</v>
      </c>
      <c r="H294" s="597"/>
      <c r="I294" s="597"/>
      <c r="J294" s="597"/>
      <c r="K294" s="597"/>
      <c r="L294" s="597"/>
      <c r="M294" s="597"/>
      <c r="N294" s="599"/>
    </row>
    <row r="295" spans="1:14">
      <c r="B295" s="582">
        <f t="shared" si="4"/>
        <v>290</v>
      </c>
      <c r="D295" s="593" t="s">
        <v>1878</v>
      </c>
      <c r="E295" s="594" t="s">
        <v>11</v>
      </c>
      <c r="G295" s="597" t="s">
        <v>1515</v>
      </c>
      <c r="H295" s="597"/>
      <c r="I295" s="597"/>
      <c r="J295" s="597"/>
      <c r="K295" s="597"/>
      <c r="L295" s="597"/>
      <c r="M295" s="597"/>
      <c r="N295" s="599"/>
    </row>
    <row r="296" spans="1:14">
      <c r="B296" s="582">
        <f t="shared" si="4"/>
        <v>291</v>
      </c>
      <c r="D296" s="593" t="s">
        <v>1879</v>
      </c>
      <c r="E296" s="594" t="s">
        <v>11</v>
      </c>
      <c r="G296" s="597" t="s">
        <v>1515</v>
      </c>
      <c r="H296" s="597"/>
      <c r="I296" s="597"/>
      <c r="J296" s="597"/>
      <c r="K296" s="597"/>
      <c r="L296" s="597"/>
      <c r="M296" s="597"/>
      <c r="N296" s="599"/>
    </row>
    <row r="297" spans="1:14">
      <c r="A297" s="562" t="s">
        <v>387</v>
      </c>
      <c r="B297" s="582">
        <f t="shared" si="4"/>
        <v>292</v>
      </c>
      <c r="C297" s="592" t="s">
        <v>1880</v>
      </c>
      <c r="D297" s="593" t="s">
        <v>1881</v>
      </c>
      <c r="E297" s="594" t="s">
        <v>11</v>
      </c>
      <c r="F297" s="600">
        <v>623513</v>
      </c>
      <c r="G297" s="597" t="s">
        <v>1515</v>
      </c>
      <c r="H297" s="597"/>
      <c r="I297" s="597"/>
      <c r="J297" s="597"/>
      <c r="K297" s="597"/>
      <c r="L297" s="597"/>
      <c r="M297" s="597"/>
      <c r="N297" s="599"/>
    </row>
    <row r="298" spans="1:14">
      <c r="A298" s="562" t="s">
        <v>389</v>
      </c>
      <c r="B298" s="582">
        <f t="shared" si="4"/>
        <v>293</v>
      </c>
      <c r="C298" s="592" t="s">
        <v>1882</v>
      </c>
      <c r="D298" s="593" t="s">
        <v>1883</v>
      </c>
      <c r="E298" s="594" t="s">
        <v>36</v>
      </c>
      <c r="F298" s="600">
        <v>1147874</v>
      </c>
      <c r="G298" s="597" t="s">
        <v>1515</v>
      </c>
      <c r="H298" s="597"/>
      <c r="I298" s="597"/>
      <c r="J298" s="597"/>
      <c r="K298" s="597"/>
      <c r="L298" s="597"/>
      <c r="M298" s="597"/>
      <c r="N298" s="599"/>
    </row>
    <row r="299" spans="1:14">
      <c r="B299" s="582">
        <f t="shared" si="4"/>
        <v>294</v>
      </c>
      <c r="D299" s="593" t="s">
        <v>1884</v>
      </c>
      <c r="E299" s="594" t="s">
        <v>36</v>
      </c>
      <c r="G299" s="597" t="s">
        <v>1515</v>
      </c>
      <c r="H299" s="597"/>
      <c r="I299" s="597"/>
      <c r="J299" s="597"/>
      <c r="K299" s="597"/>
      <c r="L299" s="597"/>
      <c r="M299" s="597"/>
      <c r="N299" s="599"/>
    </row>
    <row r="300" spans="1:14" ht="29">
      <c r="A300" s="562" t="s">
        <v>391</v>
      </c>
      <c r="B300" s="582">
        <f t="shared" si="4"/>
        <v>295</v>
      </c>
      <c r="C300" s="592" t="s">
        <v>1885</v>
      </c>
      <c r="D300" s="593" t="s">
        <v>2356</v>
      </c>
      <c r="E300" s="594" t="s">
        <v>11</v>
      </c>
      <c r="F300" s="600">
        <v>5686832</v>
      </c>
      <c r="G300" s="597" t="s">
        <v>1515</v>
      </c>
      <c r="H300" s="597"/>
      <c r="I300" s="597"/>
      <c r="J300" s="597"/>
      <c r="K300" s="597"/>
      <c r="L300" s="597"/>
      <c r="M300" s="597"/>
      <c r="N300" s="599"/>
    </row>
    <row r="301" spans="1:14">
      <c r="B301" s="582">
        <f t="shared" si="4"/>
        <v>296</v>
      </c>
      <c r="D301" s="593" t="s">
        <v>1886</v>
      </c>
      <c r="E301" s="594" t="s">
        <v>11</v>
      </c>
      <c r="G301" s="597" t="s">
        <v>1515</v>
      </c>
      <c r="H301" s="597"/>
      <c r="I301" s="597"/>
      <c r="J301" s="597"/>
      <c r="K301" s="597"/>
      <c r="L301" s="597"/>
      <c r="M301" s="597"/>
      <c r="N301" s="599"/>
    </row>
    <row r="302" spans="1:14">
      <c r="B302" s="582">
        <f t="shared" si="4"/>
        <v>297</v>
      </c>
      <c r="D302" s="593" t="s">
        <v>1887</v>
      </c>
      <c r="E302" s="594" t="s">
        <v>11</v>
      </c>
      <c r="G302" s="597" t="s">
        <v>1515</v>
      </c>
      <c r="H302" s="597"/>
      <c r="I302" s="597"/>
      <c r="J302" s="597"/>
      <c r="K302" s="597"/>
      <c r="L302" s="597"/>
      <c r="M302" s="597"/>
      <c r="N302" s="599"/>
    </row>
    <row r="303" spans="1:14">
      <c r="B303" s="582">
        <f t="shared" si="4"/>
        <v>298</v>
      </c>
      <c r="D303" s="593" t="s">
        <v>1888</v>
      </c>
      <c r="G303" s="597" t="s">
        <v>1515</v>
      </c>
      <c r="H303" s="597"/>
      <c r="I303" s="597"/>
      <c r="J303" s="597"/>
      <c r="K303" s="597"/>
      <c r="L303" s="597"/>
      <c r="M303" s="597"/>
      <c r="N303" s="599"/>
    </row>
    <row r="304" spans="1:14">
      <c r="A304" s="562" t="s">
        <v>397</v>
      </c>
      <c r="B304" s="582">
        <f t="shared" si="4"/>
        <v>299</v>
      </c>
      <c r="C304" s="592" t="s">
        <v>1889</v>
      </c>
      <c r="D304" s="593" t="s">
        <v>1890</v>
      </c>
      <c r="E304" s="594" t="s">
        <v>36</v>
      </c>
      <c r="F304" s="600">
        <v>5035255</v>
      </c>
      <c r="G304" s="597" t="s">
        <v>1515</v>
      </c>
      <c r="H304" s="597"/>
      <c r="I304" s="597"/>
      <c r="J304" s="597"/>
      <c r="K304" s="597"/>
      <c r="L304" s="597"/>
      <c r="M304" s="597"/>
      <c r="N304" s="599"/>
    </row>
    <row r="305" spans="1:14">
      <c r="B305" s="582">
        <f t="shared" si="4"/>
        <v>300</v>
      </c>
      <c r="D305" s="593" t="s">
        <v>1806</v>
      </c>
      <c r="E305" s="594" t="s">
        <v>36</v>
      </c>
      <c r="G305" s="597" t="s">
        <v>1515</v>
      </c>
      <c r="H305" s="597"/>
      <c r="I305" s="597"/>
      <c r="J305" s="597"/>
      <c r="K305" s="597"/>
      <c r="L305" s="597"/>
      <c r="M305" s="597"/>
      <c r="N305" s="599"/>
    </row>
    <row r="306" spans="1:14">
      <c r="B306" s="582">
        <f t="shared" si="4"/>
        <v>301</v>
      </c>
      <c r="D306" s="593" t="s">
        <v>1891</v>
      </c>
      <c r="E306" s="594" t="s">
        <v>36</v>
      </c>
      <c r="G306" s="597" t="s">
        <v>1515</v>
      </c>
      <c r="H306" s="597"/>
      <c r="I306" s="597"/>
      <c r="J306" s="597"/>
      <c r="K306" s="597"/>
      <c r="L306" s="597"/>
      <c r="M306" s="597"/>
      <c r="N306" s="599"/>
    </row>
    <row r="307" spans="1:14">
      <c r="B307" s="582">
        <f t="shared" si="4"/>
        <v>302</v>
      </c>
      <c r="D307" s="593" t="s">
        <v>1616</v>
      </c>
      <c r="E307" s="594" t="s">
        <v>36</v>
      </c>
      <c r="G307" s="597" t="s">
        <v>1515</v>
      </c>
      <c r="H307" s="597"/>
      <c r="I307" s="597"/>
      <c r="J307" s="597"/>
      <c r="K307" s="597"/>
      <c r="L307" s="597"/>
      <c r="M307" s="597"/>
      <c r="N307" s="599"/>
    </row>
    <row r="308" spans="1:14">
      <c r="B308" s="582">
        <f t="shared" si="4"/>
        <v>303</v>
      </c>
      <c r="D308" s="593" t="s">
        <v>1892</v>
      </c>
      <c r="E308" s="594" t="s">
        <v>36</v>
      </c>
      <c r="G308" s="597" t="s">
        <v>1515</v>
      </c>
      <c r="H308" s="597"/>
      <c r="I308" s="597"/>
      <c r="J308" s="597"/>
      <c r="K308" s="597"/>
      <c r="L308" s="597"/>
      <c r="M308" s="597"/>
      <c r="N308" s="599"/>
    </row>
    <row r="309" spans="1:14" ht="29">
      <c r="A309" s="562" t="s">
        <v>1893</v>
      </c>
      <c r="B309" s="582">
        <f t="shared" si="4"/>
        <v>304</v>
      </c>
      <c r="C309" s="592" t="s">
        <v>1894</v>
      </c>
      <c r="D309" s="593" t="s">
        <v>1895</v>
      </c>
      <c r="E309" s="594" t="s">
        <v>11</v>
      </c>
      <c r="F309" s="600">
        <v>16733099</v>
      </c>
      <c r="G309" s="597" t="s">
        <v>1515</v>
      </c>
      <c r="H309" s="597"/>
      <c r="I309" s="597"/>
      <c r="J309" s="597"/>
      <c r="K309" s="597"/>
      <c r="L309" s="597"/>
      <c r="M309" s="597"/>
      <c r="N309" s="599"/>
    </row>
    <row r="310" spans="1:14">
      <c r="B310" s="582">
        <f t="shared" si="4"/>
        <v>305</v>
      </c>
      <c r="D310" s="593" t="s">
        <v>1896</v>
      </c>
      <c r="E310" s="594" t="s">
        <v>11</v>
      </c>
      <c r="G310" s="597" t="s">
        <v>1515</v>
      </c>
      <c r="H310" s="597"/>
      <c r="I310" s="597"/>
      <c r="J310" s="597"/>
      <c r="K310" s="597"/>
      <c r="L310" s="597"/>
      <c r="M310" s="597"/>
      <c r="N310" s="599"/>
    </row>
    <row r="311" spans="1:14">
      <c r="B311" s="582">
        <f t="shared" si="4"/>
        <v>306</v>
      </c>
      <c r="D311" s="593" t="s">
        <v>1897</v>
      </c>
      <c r="E311" s="594" t="s">
        <v>11</v>
      </c>
      <c r="G311" s="597" t="s">
        <v>1515</v>
      </c>
      <c r="H311" s="597"/>
      <c r="I311" s="597"/>
      <c r="J311" s="597"/>
      <c r="K311" s="597"/>
      <c r="L311" s="597"/>
      <c r="M311" s="597"/>
      <c r="N311" s="599"/>
    </row>
    <row r="312" spans="1:14">
      <c r="B312" s="582">
        <f t="shared" si="4"/>
        <v>307</v>
      </c>
      <c r="D312" s="593" t="s">
        <v>1898</v>
      </c>
      <c r="E312" s="594" t="s">
        <v>11</v>
      </c>
      <c r="G312" s="597" t="s">
        <v>1515</v>
      </c>
      <c r="H312" s="597"/>
      <c r="I312" s="597"/>
      <c r="J312" s="597"/>
      <c r="K312" s="597"/>
      <c r="L312" s="597"/>
      <c r="M312" s="597"/>
      <c r="N312" s="599"/>
    </row>
    <row r="313" spans="1:14">
      <c r="B313" s="582">
        <f t="shared" si="4"/>
        <v>308</v>
      </c>
      <c r="D313" s="593" t="s">
        <v>1899</v>
      </c>
      <c r="E313" s="594" t="s">
        <v>11</v>
      </c>
      <c r="G313" s="597" t="s">
        <v>1515</v>
      </c>
      <c r="H313" s="597"/>
      <c r="I313" s="597"/>
      <c r="J313" s="597"/>
      <c r="K313" s="597"/>
      <c r="L313" s="597"/>
      <c r="M313" s="597"/>
      <c r="N313" s="599"/>
    </row>
    <row r="314" spans="1:14">
      <c r="B314" s="582">
        <f t="shared" si="4"/>
        <v>309</v>
      </c>
      <c r="D314" s="593" t="s">
        <v>1900</v>
      </c>
      <c r="E314" s="594" t="s">
        <v>11</v>
      </c>
      <c r="G314" s="597" t="s">
        <v>1515</v>
      </c>
      <c r="H314" s="597" t="s">
        <v>1515</v>
      </c>
      <c r="I314" s="597"/>
      <c r="J314" s="597"/>
      <c r="K314" s="597"/>
      <c r="L314" s="597"/>
      <c r="M314" s="597"/>
      <c r="N314" s="599" t="s">
        <v>1901</v>
      </c>
    </row>
    <row r="315" spans="1:14">
      <c r="A315" s="562" t="s">
        <v>399</v>
      </c>
      <c r="B315" s="582">
        <f t="shared" si="4"/>
        <v>310</v>
      </c>
      <c r="C315" s="592" t="s">
        <v>1902</v>
      </c>
      <c r="D315" s="593" t="s">
        <v>1903</v>
      </c>
      <c r="E315" s="594" t="s">
        <v>11</v>
      </c>
      <c r="F315" s="600">
        <v>11004091</v>
      </c>
      <c r="G315" s="597" t="s">
        <v>1515</v>
      </c>
      <c r="H315" s="597"/>
      <c r="I315" s="597"/>
      <c r="J315" s="597"/>
      <c r="K315" s="597"/>
      <c r="L315" s="597"/>
      <c r="M315" s="597"/>
      <c r="N315" s="599"/>
    </row>
    <row r="316" spans="1:14">
      <c r="B316" s="582">
        <f t="shared" si="4"/>
        <v>311</v>
      </c>
      <c r="D316" s="593" t="s">
        <v>1904</v>
      </c>
      <c r="E316" s="594" t="s">
        <v>11</v>
      </c>
      <c r="G316" s="597" t="s">
        <v>1515</v>
      </c>
      <c r="H316" s="597"/>
      <c r="I316" s="597"/>
      <c r="J316" s="597"/>
      <c r="K316" s="597"/>
      <c r="L316" s="597"/>
      <c r="M316" s="597"/>
      <c r="N316" s="599"/>
    </row>
    <row r="317" spans="1:14">
      <c r="B317" s="582">
        <f t="shared" si="4"/>
        <v>312</v>
      </c>
      <c r="D317" s="593" t="s">
        <v>1905</v>
      </c>
      <c r="E317" s="594" t="s">
        <v>11</v>
      </c>
      <c r="G317" s="597" t="s">
        <v>1515</v>
      </c>
      <c r="H317" s="597"/>
      <c r="I317" s="597"/>
      <c r="J317" s="597"/>
      <c r="K317" s="597"/>
      <c r="L317" s="597"/>
      <c r="M317" s="597"/>
      <c r="N317" s="599"/>
    </row>
    <row r="318" spans="1:14">
      <c r="B318" s="582">
        <f t="shared" si="4"/>
        <v>313</v>
      </c>
      <c r="D318" s="593" t="s">
        <v>1906</v>
      </c>
      <c r="E318" s="594" t="s">
        <v>11</v>
      </c>
      <c r="G318" s="597" t="s">
        <v>1515</v>
      </c>
      <c r="H318" s="597"/>
      <c r="I318" s="597"/>
      <c r="J318" s="597"/>
      <c r="K318" s="597"/>
      <c r="L318" s="597"/>
      <c r="M318" s="597"/>
      <c r="N318" s="599"/>
    </row>
    <row r="319" spans="1:14">
      <c r="B319" s="582">
        <f t="shared" si="4"/>
        <v>314</v>
      </c>
      <c r="D319" s="593" t="s">
        <v>1907</v>
      </c>
      <c r="E319" s="594" t="s">
        <v>11</v>
      </c>
      <c r="G319" s="597" t="s">
        <v>1515</v>
      </c>
      <c r="H319" s="597"/>
      <c r="I319" s="597"/>
      <c r="J319" s="597"/>
      <c r="K319" s="597"/>
      <c r="L319" s="597"/>
      <c r="M319" s="597"/>
      <c r="N319" s="599"/>
    </row>
    <row r="320" spans="1:14">
      <c r="B320" s="582">
        <f t="shared" si="4"/>
        <v>315</v>
      </c>
      <c r="D320" s="593" t="s">
        <v>1908</v>
      </c>
      <c r="E320" s="594" t="s">
        <v>11</v>
      </c>
      <c r="G320" s="597" t="s">
        <v>1515</v>
      </c>
      <c r="H320" s="597"/>
      <c r="I320" s="597"/>
      <c r="J320" s="597"/>
      <c r="K320" s="597"/>
      <c r="L320" s="597"/>
      <c r="M320" s="597"/>
      <c r="N320" s="599"/>
    </row>
    <row r="321" spans="1:14" ht="29">
      <c r="A321" s="562" t="s">
        <v>403</v>
      </c>
      <c r="B321" s="582">
        <f t="shared" si="4"/>
        <v>316</v>
      </c>
      <c r="C321" s="592" t="s">
        <v>1909</v>
      </c>
      <c r="D321" s="593" t="s">
        <v>1910</v>
      </c>
      <c r="E321" s="594" t="s">
        <v>11</v>
      </c>
      <c r="F321" s="600">
        <v>12916958</v>
      </c>
      <c r="G321" s="597" t="s">
        <v>1515</v>
      </c>
      <c r="H321" s="597"/>
      <c r="I321" s="597"/>
      <c r="J321" s="597"/>
      <c r="K321" s="597"/>
      <c r="L321" s="597"/>
      <c r="M321" s="597"/>
      <c r="N321" s="599"/>
    </row>
    <row r="322" spans="1:14">
      <c r="B322" s="582">
        <f t="shared" si="4"/>
        <v>317</v>
      </c>
      <c r="D322" s="593" t="s">
        <v>1911</v>
      </c>
      <c r="E322" s="594" t="s">
        <v>11</v>
      </c>
      <c r="G322" s="597" t="s">
        <v>1515</v>
      </c>
      <c r="H322" s="597"/>
      <c r="I322" s="597"/>
      <c r="J322" s="597"/>
      <c r="K322" s="597"/>
      <c r="L322" s="597"/>
      <c r="M322" s="597"/>
      <c r="N322" s="599"/>
    </row>
    <row r="323" spans="1:14">
      <c r="B323" s="582">
        <f t="shared" si="4"/>
        <v>318</v>
      </c>
      <c r="D323" s="593" t="s">
        <v>1912</v>
      </c>
      <c r="E323" s="594" t="s">
        <v>11</v>
      </c>
      <c r="G323" s="597" t="s">
        <v>1515</v>
      </c>
      <c r="H323" s="597"/>
      <c r="I323" s="597"/>
      <c r="J323" s="597"/>
      <c r="K323" s="597"/>
      <c r="L323" s="597"/>
      <c r="M323" s="597"/>
      <c r="N323" s="599"/>
    </row>
    <row r="324" spans="1:14">
      <c r="B324" s="582">
        <f t="shared" si="4"/>
        <v>319</v>
      </c>
      <c r="D324" s="593" t="s">
        <v>1913</v>
      </c>
      <c r="E324" s="594" t="s">
        <v>11</v>
      </c>
      <c r="G324" s="597" t="s">
        <v>1515</v>
      </c>
      <c r="H324" s="597"/>
      <c r="I324" s="597"/>
      <c r="J324" s="597"/>
      <c r="K324" s="597"/>
      <c r="L324" s="597"/>
      <c r="M324" s="597"/>
      <c r="N324" s="599"/>
    </row>
    <row r="325" spans="1:14">
      <c r="B325" s="582">
        <f t="shared" si="4"/>
        <v>320</v>
      </c>
      <c r="D325" s="593" t="s">
        <v>1914</v>
      </c>
      <c r="E325" s="594" t="s">
        <v>11</v>
      </c>
      <c r="G325" s="597" t="s">
        <v>1515</v>
      </c>
      <c r="H325" s="597"/>
      <c r="I325" s="597"/>
      <c r="J325" s="597"/>
      <c r="K325" s="597"/>
      <c r="L325" s="597"/>
      <c r="M325" s="597"/>
      <c r="N325" s="599"/>
    </row>
    <row r="326" spans="1:14" ht="29">
      <c r="B326" s="582">
        <f t="shared" si="4"/>
        <v>321</v>
      </c>
      <c r="D326" s="593" t="s">
        <v>2403</v>
      </c>
      <c r="E326" s="594" t="s">
        <v>11</v>
      </c>
      <c r="G326" s="597" t="s">
        <v>1515</v>
      </c>
      <c r="H326" s="597"/>
      <c r="I326" s="597"/>
      <c r="J326" s="597"/>
      <c r="K326" s="597"/>
      <c r="L326" s="597"/>
      <c r="M326" s="597"/>
      <c r="N326" s="599"/>
    </row>
    <row r="327" spans="1:14">
      <c r="A327" s="562" t="s">
        <v>405</v>
      </c>
      <c r="B327" s="582">
        <f t="shared" ref="B327:B390" si="5">B326+1</f>
        <v>322</v>
      </c>
      <c r="C327" s="592" t="s">
        <v>1915</v>
      </c>
      <c r="D327" s="593" t="s">
        <v>2357</v>
      </c>
      <c r="E327" s="594" t="s">
        <v>11</v>
      </c>
      <c r="F327" s="600">
        <v>2518646</v>
      </c>
      <c r="G327" s="597" t="s">
        <v>1515</v>
      </c>
      <c r="H327" s="597"/>
      <c r="I327" s="597"/>
      <c r="J327" s="597"/>
      <c r="K327" s="597"/>
      <c r="L327" s="597"/>
      <c r="M327" s="597"/>
      <c r="N327" s="599"/>
    </row>
    <row r="328" spans="1:14">
      <c r="B328" s="582">
        <f t="shared" si="5"/>
        <v>323</v>
      </c>
      <c r="D328" s="593" t="s">
        <v>2358</v>
      </c>
      <c r="E328" s="594" t="s">
        <v>11</v>
      </c>
      <c r="G328" s="597" t="s">
        <v>1515</v>
      </c>
      <c r="H328" s="597"/>
      <c r="I328" s="597"/>
      <c r="J328" s="597"/>
      <c r="K328" s="597"/>
      <c r="L328" s="597"/>
      <c r="M328" s="597"/>
      <c r="N328" s="599"/>
    </row>
    <row r="329" spans="1:14">
      <c r="B329" s="582">
        <f t="shared" si="5"/>
        <v>324</v>
      </c>
      <c r="D329" s="593" t="s">
        <v>2359</v>
      </c>
      <c r="E329" s="594" t="s">
        <v>11</v>
      </c>
      <c r="G329" s="597" t="s">
        <v>1515</v>
      </c>
      <c r="H329" s="597"/>
      <c r="I329" s="597"/>
      <c r="J329" s="597"/>
      <c r="K329" s="597"/>
      <c r="L329" s="597"/>
      <c r="M329" s="597"/>
      <c r="N329" s="599"/>
    </row>
    <row r="330" spans="1:14">
      <c r="B330" s="582">
        <f t="shared" si="5"/>
        <v>325</v>
      </c>
      <c r="D330" s="593" t="s">
        <v>2360</v>
      </c>
      <c r="E330" s="594" t="s">
        <v>11</v>
      </c>
      <c r="G330" s="597" t="s">
        <v>1515</v>
      </c>
      <c r="H330" s="597" t="s">
        <v>1515</v>
      </c>
      <c r="I330" s="597"/>
      <c r="J330" s="597"/>
      <c r="K330" s="597"/>
      <c r="L330" s="597"/>
      <c r="M330" s="597"/>
      <c r="N330" s="599" t="s">
        <v>1916</v>
      </c>
    </row>
    <row r="331" spans="1:14">
      <c r="B331" s="582">
        <f t="shared" si="5"/>
        <v>326</v>
      </c>
      <c r="D331" s="593" t="s">
        <v>2361</v>
      </c>
      <c r="E331" s="594" t="s">
        <v>11</v>
      </c>
      <c r="G331" s="597" t="s">
        <v>1515</v>
      </c>
      <c r="H331" s="597"/>
      <c r="I331" s="597"/>
      <c r="J331" s="597"/>
      <c r="K331" s="597"/>
      <c r="L331" s="597"/>
      <c r="M331" s="597"/>
      <c r="N331" s="599"/>
    </row>
    <row r="332" spans="1:14">
      <c r="B332" s="582">
        <f t="shared" si="5"/>
        <v>327</v>
      </c>
      <c r="C332" s="592" t="s">
        <v>1917</v>
      </c>
      <c r="D332" s="612" t="s">
        <v>2362</v>
      </c>
      <c r="G332" s="597" t="s">
        <v>1515</v>
      </c>
      <c r="H332" s="597"/>
      <c r="I332" s="597"/>
      <c r="J332" s="597"/>
      <c r="K332" s="597"/>
      <c r="L332" s="597"/>
      <c r="M332" s="597"/>
      <c r="N332" s="599"/>
    </row>
    <row r="333" spans="1:14">
      <c r="B333" s="582">
        <f t="shared" si="5"/>
        <v>328</v>
      </c>
      <c r="D333" s="612" t="s">
        <v>1918</v>
      </c>
      <c r="G333" s="597" t="s">
        <v>1515</v>
      </c>
      <c r="H333" s="597"/>
      <c r="I333" s="597"/>
      <c r="J333" s="597"/>
      <c r="K333" s="597"/>
      <c r="L333" s="597"/>
      <c r="M333" s="597"/>
      <c r="N333" s="599"/>
    </row>
    <row r="334" spans="1:14">
      <c r="A334" s="562" t="s">
        <v>409</v>
      </c>
      <c r="B334" s="582">
        <f t="shared" si="5"/>
        <v>329</v>
      </c>
      <c r="C334" s="592" t="s">
        <v>1919</v>
      </c>
      <c r="D334" s="593" t="s">
        <v>1920</v>
      </c>
      <c r="E334" s="594" t="s">
        <v>11</v>
      </c>
      <c r="F334" s="600">
        <v>2344448</v>
      </c>
      <c r="G334" s="597" t="s">
        <v>1515</v>
      </c>
      <c r="H334" s="597"/>
      <c r="I334" s="597"/>
      <c r="J334" s="597"/>
      <c r="K334" s="597"/>
      <c r="L334" s="597"/>
      <c r="M334" s="597"/>
      <c r="N334" s="599"/>
    </row>
    <row r="335" spans="1:14">
      <c r="B335" s="582">
        <f t="shared" si="5"/>
        <v>330</v>
      </c>
      <c r="D335" s="593" t="s">
        <v>1921</v>
      </c>
      <c r="E335" s="594" t="s">
        <v>11</v>
      </c>
      <c r="G335" s="597" t="s">
        <v>1515</v>
      </c>
      <c r="H335" s="597"/>
      <c r="I335" s="597"/>
      <c r="J335" s="597"/>
      <c r="K335" s="597"/>
      <c r="L335" s="597"/>
      <c r="M335" s="597"/>
      <c r="N335" s="599"/>
    </row>
    <row r="336" spans="1:14" ht="29">
      <c r="B336" s="582">
        <f t="shared" si="5"/>
        <v>331</v>
      </c>
      <c r="D336" s="593" t="s">
        <v>1522</v>
      </c>
      <c r="E336" s="594" t="s">
        <v>11</v>
      </c>
      <c r="G336" s="597"/>
      <c r="H336" s="597" t="s">
        <v>1515</v>
      </c>
      <c r="I336" s="597"/>
      <c r="J336" s="597"/>
      <c r="K336" s="597"/>
      <c r="L336" s="597"/>
      <c r="M336" s="597"/>
      <c r="N336" s="599" t="s">
        <v>1922</v>
      </c>
    </row>
    <row r="337" spans="1:14" ht="29">
      <c r="B337" s="582">
        <f t="shared" si="5"/>
        <v>332</v>
      </c>
      <c r="D337" s="593" t="s">
        <v>1923</v>
      </c>
      <c r="E337" s="594" t="s">
        <v>11</v>
      </c>
      <c r="G337" s="597"/>
      <c r="H337" s="597" t="s">
        <v>1515</v>
      </c>
      <c r="I337" s="597"/>
      <c r="J337" s="597"/>
      <c r="K337" s="597"/>
      <c r="L337" s="597"/>
      <c r="M337" s="597"/>
      <c r="N337" s="599" t="s">
        <v>1924</v>
      </c>
    </row>
    <row r="338" spans="1:14">
      <c r="A338" s="562" t="s">
        <v>944</v>
      </c>
      <c r="B338" s="582">
        <f t="shared" si="5"/>
        <v>333</v>
      </c>
      <c r="C338" s="592" t="s">
        <v>1925</v>
      </c>
      <c r="D338" s="593" t="s">
        <v>1926</v>
      </c>
      <c r="E338" s="594" t="s">
        <v>36</v>
      </c>
      <c r="G338" s="597"/>
      <c r="H338" s="597" t="s">
        <v>1515</v>
      </c>
      <c r="I338" s="597"/>
      <c r="J338" s="597"/>
      <c r="K338" s="597"/>
      <c r="L338" s="597"/>
      <c r="M338" s="597"/>
      <c r="N338" s="599" t="s">
        <v>1927</v>
      </c>
    </row>
    <row r="339" spans="1:14">
      <c r="B339" s="582">
        <f t="shared" si="5"/>
        <v>334</v>
      </c>
      <c r="C339" s="592" t="s">
        <v>2363</v>
      </c>
      <c r="D339" s="593" t="s">
        <v>2455</v>
      </c>
      <c r="G339" s="597" t="s">
        <v>1515</v>
      </c>
      <c r="H339" s="597"/>
      <c r="I339" s="597"/>
      <c r="J339" s="597"/>
      <c r="K339" s="597"/>
      <c r="L339" s="597"/>
      <c r="M339" s="597"/>
      <c r="N339" s="599"/>
    </row>
    <row r="340" spans="1:14">
      <c r="B340" s="582"/>
      <c r="D340" s="593" t="s">
        <v>2456</v>
      </c>
      <c r="G340" s="597" t="s">
        <v>1515</v>
      </c>
      <c r="H340" s="597"/>
      <c r="I340" s="597"/>
      <c r="J340" s="597"/>
      <c r="K340" s="597"/>
      <c r="L340" s="597"/>
      <c r="M340" s="597"/>
      <c r="N340" s="599"/>
    </row>
    <row r="341" spans="1:14">
      <c r="A341" s="562" t="s">
        <v>411</v>
      </c>
      <c r="B341" s="582">
        <f>B339+1</f>
        <v>335</v>
      </c>
      <c r="C341" s="592" t="s">
        <v>1928</v>
      </c>
      <c r="D341" s="593" t="s">
        <v>1929</v>
      </c>
      <c r="E341" s="594" t="s">
        <v>11</v>
      </c>
      <c r="F341" s="600">
        <v>882074</v>
      </c>
      <c r="G341" s="597" t="s">
        <v>1515</v>
      </c>
      <c r="H341" s="597"/>
      <c r="I341" s="597"/>
      <c r="J341" s="597"/>
      <c r="K341" s="597"/>
      <c r="L341" s="597"/>
      <c r="M341" s="597"/>
      <c r="N341" s="599"/>
    </row>
    <row r="342" spans="1:14">
      <c r="B342" s="582">
        <f t="shared" si="5"/>
        <v>336</v>
      </c>
      <c r="D342" s="593" t="s">
        <v>1930</v>
      </c>
      <c r="E342" s="594" t="s">
        <v>11</v>
      </c>
      <c r="G342" s="597" t="s">
        <v>1515</v>
      </c>
      <c r="H342" s="597"/>
      <c r="I342" s="597"/>
      <c r="J342" s="597"/>
      <c r="K342" s="597"/>
      <c r="L342" s="597"/>
      <c r="M342" s="597"/>
      <c r="N342" s="599"/>
    </row>
    <row r="343" spans="1:14">
      <c r="A343" s="562" t="s">
        <v>413</v>
      </c>
      <c r="B343" s="582">
        <f t="shared" si="5"/>
        <v>337</v>
      </c>
      <c r="C343" s="592" t="s">
        <v>1931</v>
      </c>
      <c r="D343" s="593" t="s">
        <v>1932</v>
      </c>
      <c r="E343" s="594" t="s">
        <v>11</v>
      </c>
      <c r="F343" s="600">
        <v>12863876</v>
      </c>
      <c r="G343" s="597" t="s">
        <v>1515</v>
      </c>
      <c r="H343" s="597"/>
      <c r="I343" s="597"/>
      <c r="J343" s="597"/>
      <c r="K343" s="597"/>
      <c r="L343" s="597"/>
      <c r="M343" s="597"/>
      <c r="N343" s="599"/>
    </row>
    <row r="344" spans="1:14">
      <c r="B344" s="582">
        <f t="shared" si="5"/>
        <v>338</v>
      </c>
      <c r="D344" s="593" t="s">
        <v>1806</v>
      </c>
      <c r="E344" s="594" t="s">
        <v>11</v>
      </c>
      <c r="G344" s="597" t="s">
        <v>1515</v>
      </c>
      <c r="H344" s="597"/>
      <c r="I344" s="597"/>
      <c r="J344" s="597"/>
      <c r="K344" s="597"/>
      <c r="L344" s="597"/>
      <c r="M344" s="597"/>
      <c r="N344" s="599"/>
    </row>
    <row r="345" spans="1:14">
      <c r="B345" s="582">
        <f t="shared" si="5"/>
        <v>339</v>
      </c>
      <c r="D345" s="593" t="s">
        <v>1933</v>
      </c>
      <c r="E345" s="594" t="s">
        <v>11</v>
      </c>
      <c r="G345" s="597" t="s">
        <v>1515</v>
      </c>
      <c r="H345" s="597"/>
      <c r="I345" s="597"/>
      <c r="J345" s="597"/>
      <c r="K345" s="597"/>
      <c r="L345" s="597"/>
      <c r="M345" s="597"/>
      <c r="N345" s="599"/>
    </row>
    <row r="346" spans="1:14">
      <c r="B346" s="582">
        <f t="shared" si="5"/>
        <v>340</v>
      </c>
      <c r="D346" s="593" t="s">
        <v>1934</v>
      </c>
      <c r="E346" s="594" t="s">
        <v>11</v>
      </c>
      <c r="G346" s="597" t="s">
        <v>1515</v>
      </c>
      <c r="H346" s="597"/>
      <c r="I346" s="597"/>
      <c r="J346" s="597"/>
      <c r="K346" s="597"/>
      <c r="L346" s="597"/>
      <c r="M346" s="597"/>
      <c r="N346" s="599"/>
    </row>
    <row r="347" spans="1:14">
      <c r="A347" s="562" t="s">
        <v>415</v>
      </c>
      <c r="B347" s="582">
        <f t="shared" si="5"/>
        <v>341</v>
      </c>
      <c r="C347" s="592" t="s">
        <v>1935</v>
      </c>
      <c r="D347" s="593" t="s">
        <v>1936</v>
      </c>
      <c r="E347" s="594" t="s">
        <v>11</v>
      </c>
      <c r="F347" s="600">
        <v>3786849</v>
      </c>
      <c r="G347" s="597" t="s">
        <v>1515</v>
      </c>
      <c r="H347" s="597"/>
      <c r="I347" s="597"/>
      <c r="J347" s="597"/>
      <c r="K347" s="597"/>
      <c r="L347" s="597"/>
      <c r="M347" s="597"/>
      <c r="N347" s="599"/>
    </row>
    <row r="348" spans="1:14">
      <c r="B348" s="582">
        <f t="shared" si="5"/>
        <v>342</v>
      </c>
      <c r="D348" s="593" t="s">
        <v>1688</v>
      </c>
      <c r="E348" s="594" t="s">
        <v>11</v>
      </c>
      <c r="G348" s="597"/>
      <c r="H348" s="597" t="s">
        <v>1515</v>
      </c>
      <c r="I348" s="597" t="s">
        <v>1515</v>
      </c>
      <c r="J348" s="597"/>
      <c r="K348" s="597"/>
      <c r="L348" s="597"/>
      <c r="M348" s="597"/>
      <c r="N348" s="599" t="s">
        <v>1937</v>
      </c>
    </row>
    <row r="349" spans="1:14">
      <c r="B349" s="582">
        <f t="shared" si="5"/>
        <v>343</v>
      </c>
      <c r="D349" s="593" t="s">
        <v>1938</v>
      </c>
      <c r="E349" s="594" t="s">
        <v>11</v>
      </c>
      <c r="G349" s="597" t="s">
        <v>1515</v>
      </c>
      <c r="H349" s="597"/>
      <c r="I349" s="597"/>
      <c r="J349" s="597"/>
      <c r="K349" s="597"/>
      <c r="L349" s="597"/>
      <c r="M349" s="597"/>
      <c r="N349" s="599"/>
    </row>
    <row r="350" spans="1:14">
      <c r="A350" s="562" t="s">
        <v>419</v>
      </c>
      <c r="B350" s="582">
        <f t="shared" si="5"/>
        <v>344</v>
      </c>
      <c r="C350" s="592" t="s">
        <v>1939</v>
      </c>
      <c r="D350" s="593" t="s">
        <v>1940</v>
      </c>
      <c r="E350" s="594" t="s">
        <v>11</v>
      </c>
      <c r="F350" s="600">
        <v>3206763</v>
      </c>
      <c r="G350" s="597" t="s">
        <v>1515</v>
      </c>
      <c r="H350" s="597"/>
      <c r="I350" s="597"/>
      <c r="J350" s="597"/>
      <c r="K350" s="597"/>
      <c r="L350" s="597"/>
      <c r="M350" s="597"/>
      <c r="N350" s="599"/>
    </row>
    <row r="351" spans="1:14">
      <c r="B351" s="582">
        <f t="shared" si="5"/>
        <v>345</v>
      </c>
      <c r="D351" s="593" t="s">
        <v>1941</v>
      </c>
      <c r="G351" s="597" t="s">
        <v>1515</v>
      </c>
      <c r="H351" s="597"/>
      <c r="I351" s="597"/>
      <c r="J351" s="597"/>
      <c r="K351" s="597"/>
      <c r="L351" s="597"/>
      <c r="M351" s="597"/>
      <c r="N351" s="599"/>
    </row>
    <row r="352" spans="1:14">
      <c r="B352" s="582">
        <f t="shared" si="5"/>
        <v>346</v>
      </c>
      <c r="C352" s="592" t="s">
        <v>2364</v>
      </c>
      <c r="D352" s="593" t="s">
        <v>2457</v>
      </c>
      <c r="G352" s="597" t="s">
        <v>1515</v>
      </c>
      <c r="H352" s="597"/>
      <c r="I352" s="597"/>
      <c r="J352" s="597"/>
      <c r="K352" s="597"/>
      <c r="L352" s="597"/>
      <c r="M352" s="597"/>
      <c r="N352" s="599"/>
    </row>
    <row r="353" spans="1:14">
      <c r="B353" s="582"/>
      <c r="D353" s="593" t="s">
        <v>2458</v>
      </c>
      <c r="G353" s="597" t="s">
        <v>1515</v>
      </c>
      <c r="H353" s="597"/>
      <c r="I353" s="597"/>
      <c r="J353" s="597"/>
      <c r="K353" s="597"/>
      <c r="L353" s="597"/>
      <c r="M353" s="597"/>
      <c r="N353" s="599"/>
    </row>
    <row r="354" spans="1:14">
      <c r="B354" s="582"/>
      <c r="D354" s="593" t="s">
        <v>2459</v>
      </c>
      <c r="G354" s="597" t="s">
        <v>1515</v>
      </c>
      <c r="H354" s="597"/>
      <c r="I354" s="597"/>
      <c r="J354" s="597"/>
      <c r="K354" s="597"/>
      <c r="L354" s="597"/>
      <c r="M354" s="597"/>
      <c r="N354" s="599"/>
    </row>
    <row r="355" spans="1:14">
      <c r="B355" s="582"/>
      <c r="D355" s="593" t="s">
        <v>2460</v>
      </c>
      <c r="G355" s="597" t="s">
        <v>1515</v>
      </c>
      <c r="H355" s="597"/>
      <c r="I355" s="597"/>
      <c r="J355" s="597"/>
      <c r="K355" s="597"/>
      <c r="L355" s="597"/>
      <c r="M355" s="597"/>
      <c r="N355" s="599"/>
    </row>
    <row r="356" spans="1:14">
      <c r="A356" s="562" t="s">
        <v>421</v>
      </c>
      <c r="B356" s="582">
        <f>B352+1</f>
        <v>347</v>
      </c>
      <c r="C356" s="592" t="s">
        <v>1942</v>
      </c>
      <c r="D356" s="593" t="s">
        <v>1943</v>
      </c>
      <c r="E356" s="594" t="s">
        <v>11</v>
      </c>
      <c r="F356" s="600">
        <v>770265</v>
      </c>
      <c r="G356" s="597" t="s">
        <v>1515</v>
      </c>
      <c r="H356" s="597"/>
      <c r="I356" s="597"/>
      <c r="J356" s="597"/>
      <c r="K356" s="597"/>
      <c r="L356" s="597"/>
      <c r="M356" s="597"/>
      <c r="N356" s="599"/>
    </row>
    <row r="357" spans="1:14">
      <c r="B357" s="582">
        <f t="shared" si="5"/>
        <v>348</v>
      </c>
      <c r="D357" s="593" t="s">
        <v>1944</v>
      </c>
      <c r="E357" s="594" t="s">
        <v>11</v>
      </c>
      <c r="G357" s="597" t="s">
        <v>1515</v>
      </c>
      <c r="H357" s="597"/>
      <c r="I357" s="597"/>
      <c r="J357" s="597"/>
      <c r="K357" s="597"/>
      <c r="L357" s="597"/>
      <c r="M357" s="597"/>
      <c r="N357" s="599"/>
    </row>
    <row r="358" spans="1:14">
      <c r="B358" s="582">
        <f t="shared" si="5"/>
        <v>349</v>
      </c>
      <c r="C358" s="592" t="s">
        <v>2365</v>
      </c>
      <c r="D358" s="593" t="s">
        <v>2366</v>
      </c>
      <c r="F358" s="595"/>
      <c r="G358" s="607" t="s">
        <v>1515</v>
      </c>
      <c r="H358" s="607"/>
      <c r="I358" s="608"/>
      <c r="J358" s="608"/>
      <c r="K358" s="607"/>
      <c r="L358" s="609"/>
      <c r="M358" s="613"/>
      <c r="N358" s="614" t="s">
        <v>2367</v>
      </c>
    </row>
    <row r="359" spans="1:14">
      <c r="A359" s="562" t="s">
        <v>423</v>
      </c>
      <c r="B359" s="582">
        <f t="shared" si="5"/>
        <v>350</v>
      </c>
      <c r="C359" s="592" t="s">
        <v>1945</v>
      </c>
      <c r="D359" s="593" t="s">
        <v>1946</v>
      </c>
      <c r="E359" s="594" t="s">
        <v>11</v>
      </c>
      <c r="F359" s="600">
        <v>3111719</v>
      </c>
      <c r="G359" s="607" t="s">
        <v>1515</v>
      </c>
      <c r="H359" s="607"/>
      <c r="I359" s="607"/>
      <c r="J359" s="607"/>
      <c r="K359" s="615"/>
      <c r="L359" s="607"/>
      <c r="M359" s="607"/>
      <c r="N359" s="616"/>
    </row>
    <row r="360" spans="1:14">
      <c r="B360" s="582">
        <f t="shared" si="5"/>
        <v>351</v>
      </c>
      <c r="D360" s="593" t="s">
        <v>2368</v>
      </c>
      <c r="F360" s="595"/>
      <c r="G360" s="607" t="s">
        <v>1515</v>
      </c>
      <c r="H360" s="607"/>
      <c r="I360" s="608"/>
      <c r="J360" s="608"/>
      <c r="K360" s="615"/>
      <c r="L360" s="609"/>
      <c r="M360" s="613"/>
      <c r="N360" s="616" t="s">
        <v>2367</v>
      </c>
    </row>
    <row r="361" spans="1:14">
      <c r="A361" s="562" t="s">
        <v>425</v>
      </c>
      <c r="B361" s="582">
        <f t="shared" si="5"/>
        <v>352</v>
      </c>
      <c r="C361" s="592" t="s">
        <v>1947</v>
      </c>
      <c r="D361" s="593" t="s">
        <v>1948</v>
      </c>
      <c r="E361" s="594" t="s">
        <v>11</v>
      </c>
      <c r="F361" s="600">
        <v>1115828</v>
      </c>
      <c r="G361" s="597" t="s">
        <v>1515</v>
      </c>
      <c r="H361" s="597"/>
      <c r="I361" s="597"/>
      <c r="J361" s="607"/>
      <c r="K361" s="598"/>
      <c r="L361" s="607"/>
      <c r="M361" s="597"/>
      <c r="N361" s="599"/>
    </row>
    <row r="362" spans="1:14">
      <c r="B362" s="582">
        <f t="shared" si="5"/>
        <v>353</v>
      </c>
      <c r="D362" s="593" t="s">
        <v>1949</v>
      </c>
      <c r="E362" s="594" t="s">
        <v>11</v>
      </c>
      <c r="G362" s="597" t="s">
        <v>1515</v>
      </c>
      <c r="H362" s="597"/>
      <c r="I362" s="597"/>
      <c r="J362" s="597"/>
      <c r="K362" s="598"/>
      <c r="L362" s="597"/>
      <c r="M362" s="597"/>
      <c r="N362" s="599"/>
    </row>
    <row r="363" spans="1:14" ht="29">
      <c r="A363" s="562" t="s">
        <v>431</v>
      </c>
      <c r="B363" s="582">
        <f t="shared" si="5"/>
        <v>354</v>
      </c>
      <c r="C363" s="592" t="s">
        <v>1950</v>
      </c>
      <c r="D363" s="593" t="s">
        <v>1951</v>
      </c>
      <c r="E363" s="594" t="s">
        <v>11</v>
      </c>
      <c r="F363" s="600">
        <v>14589532</v>
      </c>
      <c r="G363" s="597" t="s">
        <v>1515</v>
      </c>
      <c r="H363" s="597"/>
      <c r="I363" s="597"/>
      <c r="J363" s="597"/>
      <c r="K363" s="598"/>
      <c r="L363" s="597"/>
      <c r="M363" s="597"/>
      <c r="N363" s="599"/>
    </row>
    <row r="364" spans="1:14">
      <c r="B364" s="582">
        <f t="shared" si="5"/>
        <v>355</v>
      </c>
      <c r="D364" s="593" t="s">
        <v>1952</v>
      </c>
      <c r="E364" s="594" t="s">
        <v>11</v>
      </c>
      <c r="G364" s="597" t="s">
        <v>1515</v>
      </c>
      <c r="H364" s="597"/>
      <c r="I364" s="597"/>
      <c r="J364" s="597"/>
      <c r="K364" s="598"/>
      <c r="L364" s="597"/>
      <c r="M364" s="597"/>
      <c r="N364" s="599"/>
    </row>
    <row r="365" spans="1:14">
      <c r="B365" s="582">
        <f t="shared" si="5"/>
        <v>356</v>
      </c>
      <c r="D365" s="593" t="s">
        <v>1953</v>
      </c>
      <c r="E365" s="594" t="s">
        <v>11</v>
      </c>
      <c r="G365" s="597" t="s">
        <v>1515</v>
      </c>
      <c r="H365" s="597"/>
      <c r="I365" s="597"/>
      <c r="J365" s="597"/>
      <c r="K365" s="598"/>
      <c r="L365" s="597"/>
      <c r="M365" s="597"/>
      <c r="N365" s="599"/>
    </row>
    <row r="366" spans="1:14">
      <c r="B366" s="582">
        <f t="shared" si="5"/>
        <v>357</v>
      </c>
      <c r="D366" s="593" t="s">
        <v>1954</v>
      </c>
      <c r="E366" s="594" t="s">
        <v>11</v>
      </c>
      <c r="G366" s="597" t="s">
        <v>1515</v>
      </c>
      <c r="H366" s="597"/>
      <c r="I366" s="597"/>
      <c r="J366" s="597"/>
      <c r="K366" s="598"/>
      <c r="L366" s="597"/>
      <c r="M366" s="597"/>
      <c r="N366" s="599"/>
    </row>
    <row r="367" spans="1:14" ht="29">
      <c r="B367" s="582">
        <f t="shared" si="5"/>
        <v>358</v>
      </c>
      <c r="D367" s="593" t="s">
        <v>2369</v>
      </c>
      <c r="E367" s="594" t="s">
        <v>11</v>
      </c>
      <c r="G367" s="597" t="s">
        <v>1515</v>
      </c>
      <c r="H367" s="597" t="s">
        <v>1515</v>
      </c>
      <c r="I367" s="597"/>
      <c r="J367" s="597"/>
      <c r="K367" s="598"/>
      <c r="L367" s="597"/>
      <c r="M367" s="597"/>
      <c r="N367" s="599" t="s">
        <v>1955</v>
      </c>
    </row>
    <row r="368" spans="1:14">
      <c r="B368" s="582">
        <f t="shared" si="5"/>
        <v>359</v>
      </c>
      <c r="D368" s="593" t="s">
        <v>1956</v>
      </c>
      <c r="E368" s="594" t="s">
        <v>11</v>
      </c>
      <c r="G368" s="597" t="s">
        <v>1515</v>
      </c>
      <c r="H368" s="597"/>
      <c r="I368" s="597"/>
      <c r="J368" s="597"/>
      <c r="K368" s="598"/>
      <c r="L368" s="597"/>
      <c r="M368" s="597"/>
      <c r="N368" s="599"/>
    </row>
    <row r="369" spans="1:14">
      <c r="B369" s="582">
        <f t="shared" si="5"/>
        <v>360</v>
      </c>
      <c r="D369" s="593" t="s">
        <v>1957</v>
      </c>
      <c r="E369" s="594" t="s">
        <v>11</v>
      </c>
      <c r="G369" s="597" t="s">
        <v>1515</v>
      </c>
      <c r="H369" s="597"/>
      <c r="I369" s="597"/>
      <c r="J369" s="597"/>
      <c r="K369" s="598"/>
      <c r="L369" s="597"/>
      <c r="M369" s="597"/>
      <c r="N369" s="599"/>
    </row>
    <row r="370" spans="1:14">
      <c r="B370" s="582">
        <f t="shared" si="5"/>
        <v>361</v>
      </c>
      <c r="D370" s="593" t="s">
        <v>1958</v>
      </c>
      <c r="E370" s="594" t="s">
        <v>11</v>
      </c>
      <c r="G370" s="597" t="s">
        <v>1515</v>
      </c>
      <c r="H370" s="597"/>
      <c r="I370" s="597"/>
      <c r="J370" s="597"/>
      <c r="K370" s="598"/>
      <c r="L370" s="597"/>
      <c r="M370" s="597"/>
      <c r="N370" s="599"/>
    </row>
    <row r="371" spans="1:14" ht="17.25" customHeight="1">
      <c r="B371" s="582">
        <f t="shared" si="5"/>
        <v>362</v>
      </c>
      <c r="D371" s="593" t="s">
        <v>1959</v>
      </c>
      <c r="E371" s="594" t="s">
        <v>11</v>
      </c>
      <c r="G371" s="597"/>
      <c r="H371" s="597" t="s">
        <v>1515</v>
      </c>
      <c r="I371" s="597"/>
      <c r="J371" s="597"/>
      <c r="K371" s="598"/>
      <c r="L371" s="597"/>
      <c r="M371" s="597"/>
      <c r="N371" s="601" t="s">
        <v>1960</v>
      </c>
    </row>
    <row r="372" spans="1:14">
      <c r="B372" s="582">
        <f t="shared" si="5"/>
        <v>363</v>
      </c>
      <c r="D372" s="593" t="s">
        <v>1961</v>
      </c>
      <c r="E372" s="594" t="s">
        <v>11</v>
      </c>
      <c r="G372" s="597"/>
      <c r="H372" s="597" t="s">
        <v>1515</v>
      </c>
      <c r="I372" s="597"/>
      <c r="J372" s="597"/>
      <c r="K372" s="598"/>
      <c r="L372" s="597"/>
      <c r="M372" s="597"/>
      <c r="N372" s="599" t="s">
        <v>1962</v>
      </c>
    </row>
    <row r="373" spans="1:14">
      <c r="A373" s="562" t="s">
        <v>427</v>
      </c>
      <c r="B373" s="582">
        <f t="shared" si="5"/>
        <v>364</v>
      </c>
      <c r="C373" s="592" t="s">
        <v>1963</v>
      </c>
      <c r="D373" s="593" t="s">
        <v>1964</v>
      </c>
      <c r="E373" s="594" t="s">
        <v>11</v>
      </c>
      <c r="F373" s="600">
        <v>2900981</v>
      </c>
      <c r="G373" s="597" t="s">
        <v>1515</v>
      </c>
      <c r="H373" s="597"/>
      <c r="I373" s="597"/>
      <c r="J373" s="597"/>
      <c r="K373" s="598"/>
      <c r="L373" s="597"/>
      <c r="M373" s="597"/>
      <c r="N373" s="599"/>
    </row>
    <row r="374" spans="1:14">
      <c r="B374" s="582">
        <f t="shared" si="5"/>
        <v>365</v>
      </c>
      <c r="D374" s="593" t="s">
        <v>1965</v>
      </c>
      <c r="E374" s="594" t="s">
        <v>11</v>
      </c>
      <c r="G374" s="597" t="s">
        <v>1515</v>
      </c>
      <c r="H374" s="597"/>
      <c r="I374" s="597"/>
      <c r="J374" s="597"/>
      <c r="K374" s="598"/>
      <c r="L374" s="597"/>
      <c r="M374" s="597"/>
      <c r="N374" s="599"/>
    </row>
    <row r="375" spans="1:14">
      <c r="A375" s="562" t="s">
        <v>429</v>
      </c>
      <c r="B375" s="582">
        <f t="shared" si="5"/>
        <v>366</v>
      </c>
      <c r="C375" s="592" t="s">
        <v>1966</v>
      </c>
      <c r="D375" s="593" t="s">
        <v>1830</v>
      </c>
      <c r="E375" s="594" t="s">
        <v>11</v>
      </c>
      <c r="F375" s="600">
        <v>11751835</v>
      </c>
      <c r="G375" s="597" t="s">
        <v>1515</v>
      </c>
      <c r="H375" s="597"/>
      <c r="I375" s="597"/>
      <c r="J375" s="597"/>
      <c r="K375" s="598"/>
      <c r="L375" s="597"/>
      <c r="M375" s="597"/>
      <c r="N375" s="599"/>
    </row>
    <row r="376" spans="1:14">
      <c r="A376" s="562" t="s">
        <v>433</v>
      </c>
      <c r="B376" s="582">
        <f t="shared" si="5"/>
        <v>367</v>
      </c>
      <c r="C376" s="592" t="s">
        <v>1967</v>
      </c>
      <c r="D376" s="593" t="s">
        <v>1968</v>
      </c>
      <c r="E376" s="594" t="s">
        <v>11</v>
      </c>
      <c r="F376" s="600">
        <v>7130269</v>
      </c>
      <c r="G376" s="597" t="s">
        <v>1515</v>
      </c>
      <c r="H376" s="597"/>
      <c r="I376" s="597"/>
      <c r="J376" s="597"/>
      <c r="K376" s="598"/>
      <c r="L376" s="597"/>
      <c r="M376" s="597"/>
      <c r="N376" s="599"/>
    </row>
    <row r="377" spans="1:14">
      <c r="B377" s="582">
        <f t="shared" si="5"/>
        <v>368</v>
      </c>
      <c r="D377" s="593" t="s">
        <v>1969</v>
      </c>
      <c r="E377" s="594" t="s">
        <v>11</v>
      </c>
      <c r="G377" s="597" t="s">
        <v>1515</v>
      </c>
      <c r="H377" s="597"/>
      <c r="I377" s="597"/>
      <c r="J377" s="597"/>
      <c r="K377" s="598"/>
      <c r="L377" s="597"/>
      <c r="M377" s="597"/>
      <c r="N377" s="599"/>
    </row>
    <row r="378" spans="1:14">
      <c r="B378" s="582">
        <f t="shared" si="5"/>
        <v>369</v>
      </c>
      <c r="D378" s="593" t="s">
        <v>1970</v>
      </c>
      <c r="E378" s="594" t="s">
        <v>11</v>
      </c>
      <c r="G378" s="597" t="s">
        <v>1515</v>
      </c>
      <c r="H378" s="597"/>
      <c r="I378" s="597"/>
      <c r="J378" s="597"/>
      <c r="K378" s="598"/>
      <c r="L378" s="597"/>
      <c r="M378" s="597"/>
      <c r="N378" s="599"/>
    </row>
    <row r="379" spans="1:14">
      <c r="B379" s="582">
        <f t="shared" si="5"/>
        <v>370</v>
      </c>
      <c r="D379" s="593" t="s">
        <v>1971</v>
      </c>
      <c r="E379" s="594" t="s">
        <v>11</v>
      </c>
      <c r="G379" s="597" t="s">
        <v>1515</v>
      </c>
      <c r="H379" s="597"/>
      <c r="I379" s="597"/>
      <c r="J379" s="597"/>
      <c r="K379" s="598"/>
      <c r="L379" s="597"/>
      <c r="M379" s="597"/>
      <c r="N379" s="599"/>
    </row>
    <row r="380" spans="1:14">
      <c r="B380" s="582">
        <f t="shared" si="5"/>
        <v>371</v>
      </c>
      <c r="D380" s="593" t="s">
        <v>1972</v>
      </c>
      <c r="E380" s="594" t="s">
        <v>11</v>
      </c>
      <c r="G380" s="597" t="s">
        <v>1515</v>
      </c>
      <c r="H380" s="597"/>
      <c r="I380" s="597"/>
      <c r="J380" s="597"/>
      <c r="K380" s="598"/>
      <c r="L380" s="597"/>
      <c r="M380" s="597"/>
      <c r="N380" s="599"/>
    </row>
    <row r="381" spans="1:14">
      <c r="B381" s="582">
        <f t="shared" si="5"/>
        <v>372</v>
      </c>
      <c r="D381" s="593" t="s">
        <v>1973</v>
      </c>
      <c r="E381" s="594" t="s">
        <v>11</v>
      </c>
      <c r="G381" s="597" t="s">
        <v>1515</v>
      </c>
      <c r="H381" s="597"/>
      <c r="I381" s="597"/>
      <c r="J381" s="597"/>
      <c r="K381" s="598"/>
      <c r="L381" s="597"/>
      <c r="M381" s="597"/>
      <c r="N381" s="599"/>
    </row>
    <row r="382" spans="1:14">
      <c r="B382" s="582">
        <f t="shared" si="5"/>
        <v>373</v>
      </c>
      <c r="D382" s="593" t="s">
        <v>1974</v>
      </c>
      <c r="E382" s="594" t="s">
        <v>11</v>
      </c>
      <c r="G382" s="597" t="s">
        <v>1515</v>
      </c>
      <c r="H382" s="597"/>
      <c r="I382" s="597"/>
      <c r="J382" s="597"/>
      <c r="K382" s="598"/>
      <c r="L382" s="597"/>
      <c r="M382" s="597"/>
      <c r="N382" s="599"/>
    </row>
    <row r="383" spans="1:14">
      <c r="B383" s="582">
        <f t="shared" si="5"/>
        <v>374</v>
      </c>
      <c r="D383" s="593" t="s">
        <v>1975</v>
      </c>
      <c r="E383" s="594" t="s">
        <v>11</v>
      </c>
      <c r="G383" s="597" t="s">
        <v>1515</v>
      </c>
      <c r="H383" s="597"/>
      <c r="I383" s="597"/>
      <c r="J383" s="597"/>
      <c r="K383" s="598"/>
      <c r="L383" s="597"/>
      <c r="M383" s="597"/>
      <c r="N383" s="599"/>
    </row>
    <row r="384" spans="1:14">
      <c r="B384" s="582">
        <f t="shared" si="5"/>
        <v>375</v>
      </c>
      <c r="D384" s="593" t="s">
        <v>2370</v>
      </c>
      <c r="F384" s="595"/>
      <c r="G384" s="607"/>
      <c r="H384" s="607"/>
      <c r="I384" s="608" t="s">
        <v>1515</v>
      </c>
      <c r="J384" s="608"/>
      <c r="K384" s="615"/>
      <c r="L384" s="609"/>
      <c r="M384" s="613"/>
      <c r="N384" s="614" t="s">
        <v>2371</v>
      </c>
    </row>
    <row r="385" spans="1:14">
      <c r="A385" s="562" t="s">
        <v>435</v>
      </c>
      <c r="B385" s="582">
        <f t="shared" si="5"/>
        <v>376</v>
      </c>
      <c r="C385" s="592" t="s">
        <v>1976</v>
      </c>
      <c r="D385" s="593" t="s">
        <v>1977</v>
      </c>
      <c r="E385" s="594" t="s">
        <v>11</v>
      </c>
      <c r="F385" s="600">
        <v>5041642</v>
      </c>
      <c r="G385" s="597" t="s">
        <v>1515</v>
      </c>
      <c r="H385" s="597"/>
      <c r="I385" s="597"/>
      <c r="J385" s="597"/>
      <c r="K385" s="597"/>
      <c r="L385" s="597"/>
      <c r="M385" s="597"/>
      <c r="N385" s="599"/>
    </row>
    <row r="386" spans="1:14">
      <c r="B386" s="582">
        <f t="shared" si="5"/>
        <v>377</v>
      </c>
      <c r="D386" s="593" t="s">
        <v>1978</v>
      </c>
      <c r="G386" s="597" t="s">
        <v>1515</v>
      </c>
      <c r="H386" s="597"/>
      <c r="I386" s="597"/>
      <c r="J386" s="597"/>
      <c r="K386" s="597"/>
      <c r="L386" s="597"/>
      <c r="M386" s="597"/>
      <c r="N386" s="599"/>
    </row>
    <row r="387" spans="1:14">
      <c r="A387" s="562" t="s">
        <v>1979</v>
      </c>
      <c r="B387" s="582">
        <f t="shared" si="5"/>
        <v>378</v>
      </c>
      <c r="C387" s="592" t="s">
        <v>1980</v>
      </c>
      <c r="D387" s="567" t="s">
        <v>1981</v>
      </c>
      <c r="E387" s="594" t="s">
        <v>36</v>
      </c>
      <c r="F387" s="600">
        <v>55663</v>
      </c>
      <c r="G387" s="597" t="s">
        <v>1515</v>
      </c>
      <c r="H387" s="597"/>
      <c r="I387" s="597"/>
      <c r="J387" s="597"/>
      <c r="K387" s="597"/>
      <c r="L387" s="597"/>
      <c r="M387" s="597"/>
      <c r="N387" s="599"/>
    </row>
    <row r="388" spans="1:14">
      <c r="A388" s="562" t="s">
        <v>441</v>
      </c>
      <c r="B388" s="582">
        <f t="shared" si="5"/>
        <v>379</v>
      </c>
      <c r="C388" s="592" t="s">
        <v>1982</v>
      </c>
      <c r="D388" s="593" t="s">
        <v>1983</v>
      </c>
      <c r="E388" s="594" t="s">
        <v>11</v>
      </c>
      <c r="F388" s="600">
        <v>10936510</v>
      </c>
      <c r="G388" s="597" t="s">
        <v>1515</v>
      </c>
      <c r="H388" s="597"/>
      <c r="I388" s="597"/>
      <c r="J388" s="597"/>
      <c r="K388" s="597"/>
      <c r="L388" s="597"/>
      <c r="M388" s="597"/>
      <c r="N388" s="599"/>
    </row>
    <row r="389" spans="1:14">
      <c r="B389" s="582">
        <f t="shared" si="5"/>
        <v>380</v>
      </c>
      <c r="D389" s="593" t="s">
        <v>1984</v>
      </c>
      <c r="E389" s="594" t="s">
        <v>11</v>
      </c>
      <c r="G389" s="597" t="s">
        <v>1515</v>
      </c>
      <c r="H389" s="597"/>
      <c r="I389" s="597"/>
      <c r="J389" s="597"/>
      <c r="K389" s="597"/>
      <c r="L389" s="597"/>
      <c r="M389" s="597"/>
      <c r="N389" s="599"/>
    </row>
    <row r="390" spans="1:14">
      <c r="B390" s="582">
        <f t="shared" si="5"/>
        <v>381</v>
      </c>
      <c r="D390" s="593" t="s">
        <v>1985</v>
      </c>
      <c r="E390" s="594" t="s">
        <v>11</v>
      </c>
      <c r="G390" s="597" t="s">
        <v>1515</v>
      </c>
      <c r="H390" s="597"/>
      <c r="I390" s="597"/>
      <c r="J390" s="597"/>
      <c r="K390" s="597"/>
      <c r="L390" s="597"/>
      <c r="M390" s="597"/>
      <c r="N390" s="599"/>
    </row>
    <row r="391" spans="1:14">
      <c r="B391" s="582">
        <f t="shared" ref="B391:B454" si="6">B390+1</f>
        <v>382</v>
      </c>
      <c r="D391" s="593" t="s">
        <v>1986</v>
      </c>
      <c r="E391" s="594" t="s">
        <v>11</v>
      </c>
      <c r="G391" s="597" t="s">
        <v>1515</v>
      </c>
      <c r="H391" s="597"/>
      <c r="I391" s="597"/>
      <c r="J391" s="597"/>
      <c r="K391" s="597"/>
      <c r="L391" s="597"/>
      <c r="M391" s="597"/>
      <c r="N391" s="599"/>
    </row>
    <row r="392" spans="1:14">
      <c r="B392" s="582">
        <f t="shared" si="6"/>
        <v>383</v>
      </c>
      <c r="D392" s="593" t="s">
        <v>1815</v>
      </c>
      <c r="E392" s="594" t="s">
        <v>11</v>
      </c>
      <c r="G392" s="597" t="s">
        <v>1515</v>
      </c>
      <c r="H392" s="597"/>
      <c r="I392" s="597"/>
      <c r="J392" s="597"/>
      <c r="K392" s="597"/>
      <c r="L392" s="597"/>
      <c r="M392" s="597"/>
      <c r="N392" s="599"/>
    </row>
    <row r="393" spans="1:14">
      <c r="A393" s="562" t="s">
        <v>443</v>
      </c>
      <c r="B393" s="582">
        <f t="shared" si="6"/>
        <v>384</v>
      </c>
      <c r="C393" s="592" t="s">
        <v>1987</v>
      </c>
      <c r="D393" s="593" t="s">
        <v>1988</v>
      </c>
      <c r="E393" s="594" t="s">
        <v>11</v>
      </c>
      <c r="F393" s="600">
        <v>613605</v>
      </c>
      <c r="G393" s="597" t="s">
        <v>1515</v>
      </c>
      <c r="H393" s="597"/>
      <c r="I393" s="597"/>
      <c r="J393" s="597"/>
      <c r="K393" s="597"/>
      <c r="L393" s="597"/>
      <c r="M393" s="597"/>
      <c r="N393" s="599"/>
    </row>
    <row r="394" spans="1:14" ht="29">
      <c r="A394" s="562" t="s">
        <v>447</v>
      </c>
      <c r="B394" s="582">
        <f t="shared" si="6"/>
        <v>385</v>
      </c>
      <c r="C394" s="592" t="s">
        <v>1989</v>
      </c>
      <c r="D394" s="593" t="s">
        <v>1990</v>
      </c>
      <c r="E394" s="594" t="s">
        <v>11</v>
      </c>
      <c r="F394" s="600">
        <v>7852641</v>
      </c>
      <c r="G394" s="597" t="s">
        <v>1515</v>
      </c>
      <c r="H394" s="597"/>
      <c r="I394" s="597"/>
      <c r="J394" s="597"/>
      <c r="K394" s="597"/>
      <c r="L394" s="597"/>
      <c r="M394" s="597"/>
      <c r="N394" s="599"/>
    </row>
    <row r="395" spans="1:14">
      <c r="B395" s="582">
        <f t="shared" si="6"/>
        <v>386</v>
      </c>
      <c r="D395" s="593" t="s">
        <v>1991</v>
      </c>
      <c r="E395" s="594" t="s">
        <v>11</v>
      </c>
      <c r="G395" s="597"/>
      <c r="H395" s="597"/>
      <c r="I395" s="597" t="s">
        <v>1515</v>
      </c>
      <c r="J395" s="597"/>
      <c r="K395" s="597"/>
      <c r="L395" s="597"/>
      <c r="M395" s="597"/>
      <c r="N395" s="599" t="s">
        <v>1992</v>
      </c>
    </row>
    <row r="396" spans="1:14">
      <c r="B396" s="582">
        <f t="shared" si="6"/>
        <v>387</v>
      </c>
      <c r="D396" s="593" t="s">
        <v>1993</v>
      </c>
      <c r="E396" s="594" t="s">
        <v>11</v>
      </c>
      <c r="G396" s="597"/>
      <c r="H396" s="597"/>
      <c r="I396" s="597" t="s">
        <v>1515</v>
      </c>
      <c r="J396" s="597"/>
      <c r="K396" s="597"/>
      <c r="L396" s="597"/>
      <c r="M396" s="597"/>
      <c r="N396" s="599" t="s">
        <v>1992</v>
      </c>
    </row>
    <row r="397" spans="1:14">
      <c r="A397" s="562" t="s">
        <v>445</v>
      </c>
      <c r="B397" s="582">
        <f t="shared" si="6"/>
        <v>388</v>
      </c>
      <c r="C397" s="592" t="s">
        <v>1994</v>
      </c>
      <c r="D397" s="593" t="s">
        <v>1995</v>
      </c>
      <c r="E397" s="594" t="s">
        <v>11</v>
      </c>
      <c r="F397" s="600">
        <v>15292177</v>
      </c>
      <c r="G397" s="597" t="s">
        <v>1515</v>
      </c>
      <c r="H397" s="597"/>
      <c r="I397" s="597"/>
      <c r="J397" s="597"/>
      <c r="K397" s="597"/>
      <c r="L397" s="597"/>
      <c r="M397" s="597"/>
      <c r="N397" s="599"/>
    </row>
    <row r="398" spans="1:14" ht="29">
      <c r="B398" s="582">
        <f t="shared" si="6"/>
        <v>389</v>
      </c>
      <c r="D398" s="593" t="s">
        <v>2372</v>
      </c>
      <c r="E398" s="594" t="s">
        <v>11</v>
      </c>
      <c r="G398" s="597" t="s">
        <v>1515</v>
      </c>
      <c r="H398" s="597"/>
      <c r="I398" s="597"/>
      <c r="J398" s="597"/>
      <c r="K398" s="597"/>
      <c r="L398" s="597"/>
      <c r="M398" s="597"/>
      <c r="N398" s="599"/>
    </row>
    <row r="399" spans="1:14" ht="29">
      <c r="B399" s="582"/>
      <c r="D399" s="593" t="s">
        <v>2373</v>
      </c>
      <c r="G399" s="597" t="s">
        <v>1515</v>
      </c>
      <c r="H399" s="597"/>
      <c r="I399" s="597"/>
      <c r="J399" s="597"/>
      <c r="K399" s="597"/>
      <c r="L399" s="597"/>
      <c r="M399" s="597"/>
      <c r="N399" s="599"/>
    </row>
    <row r="400" spans="1:14">
      <c r="B400" s="582">
        <f>B398+1</f>
        <v>390</v>
      </c>
      <c r="D400" s="593" t="s">
        <v>1996</v>
      </c>
      <c r="E400" s="594" t="s">
        <v>11</v>
      </c>
      <c r="G400" s="597" t="s">
        <v>1515</v>
      </c>
      <c r="H400" s="597"/>
      <c r="I400" s="597"/>
      <c r="J400" s="597"/>
      <c r="K400" s="597"/>
      <c r="L400" s="597"/>
      <c r="M400" s="597"/>
      <c r="N400" s="599"/>
    </row>
    <row r="401" spans="1:14" ht="29">
      <c r="A401" s="617" t="s">
        <v>449</v>
      </c>
      <c r="B401" s="582">
        <f t="shared" si="6"/>
        <v>391</v>
      </c>
      <c r="C401" s="592" t="s">
        <v>1997</v>
      </c>
      <c r="D401" s="593" t="s">
        <v>1998</v>
      </c>
      <c r="E401" s="594" t="s">
        <v>11</v>
      </c>
      <c r="F401" s="600">
        <v>3120406</v>
      </c>
      <c r="G401" s="597" t="s">
        <v>1515</v>
      </c>
      <c r="H401" s="597"/>
      <c r="I401" s="597"/>
      <c r="J401" s="597"/>
      <c r="K401" s="597"/>
      <c r="L401" s="597"/>
      <c r="M401" s="597"/>
      <c r="N401" s="599"/>
    </row>
    <row r="402" spans="1:14">
      <c r="A402" s="617"/>
      <c r="B402" s="582">
        <f t="shared" si="6"/>
        <v>392</v>
      </c>
      <c r="D402" s="593" t="s">
        <v>1999</v>
      </c>
      <c r="E402" s="594" t="s">
        <v>11</v>
      </c>
      <c r="G402" s="597" t="s">
        <v>1515</v>
      </c>
      <c r="H402" s="597"/>
      <c r="I402" s="597"/>
      <c r="J402" s="597"/>
      <c r="K402" s="597"/>
      <c r="L402" s="597"/>
      <c r="M402" s="597"/>
      <c r="N402" s="599"/>
    </row>
    <row r="403" spans="1:14">
      <c r="A403" s="617"/>
      <c r="B403" s="582">
        <f t="shared" si="6"/>
        <v>393</v>
      </c>
      <c r="D403" s="593" t="s">
        <v>2000</v>
      </c>
      <c r="E403" s="594" t="s">
        <v>11</v>
      </c>
      <c r="G403" s="597" t="s">
        <v>1515</v>
      </c>
      <c r="H403" s="597"/>
      <c r="I403" s="597"/>
      <c r="J403" s="597"/>
      <c r="K403" s="597"/>
      <c r="L403" s="597"/>
      <c r="M403" s="597"/>
      <c r="N403" s="599"/>
    </row>
    <row r="404" spans="1:14" ht="29">
      <c r="A404" s="562" t="s">
        <v>451</v>
      </c>
      <c r="B404" s="582">
        <f t="shared" si="6"/>
        <v>394</v>
      </c>
      <c r="C404" s="592" t="s">
        <v>2001</v>
      </c>
      <c r="D404" s="593" t="s">
        <v>2002</v>
      </c>
      <c r="E404" s="594" t="s">
        <v>11</v>
      </c>
      <c r="F404" s="600">
        <v>6003327</v>
      </c>
      <c r="G404" s="597" t="s">
        <v>1515</v>
      </c>
      <c r="H404" s="597"/>
      <c r="I404" s="597"/>
      <c r="J404" s="597"/>
      <c r="K404" s="597"/>
      <c r="L404" s="597"/>
      <c r="M404" s="597"/>
      <c r="N404" s="599"/>
    </row>
    <row r="405" spans="1:14">
      <c r="B405" s="582">
        <f t="shared" si="6"/>
        <v>395</v>
      </c>
      <c r="D405" s="593" t="s">
        <v>2003</v>
      </c>
      <c r="E405" s="594" t="s">
        <v>11</v>
      </c>
      <c r="G405" s="597" t="s">
        <v>1515</v>
      </c>
      <c r="H405" s="597"/>
      <c r="I405" s="597"/>
      <c r="J405" s="597"/>
      <c r="K405" s="597"/>
      <c r="L405" s="597"/>
      <c r="M405" s="597"/>
      <c r="N405" s="599"/>
    </row>
    <row r="406" spans="1:14">
      <c r="A406" s="562" t="s">
        <v>453</v>
      </c>
      <c r="B406" s="582">
        <f t="shared" si="6"/>
        <v>396</v>
      </c>
      <c r="C406" s="592" t="s">
        <v>2004</v>
      </c>
      <c r="D406" s="593" t="s">
        <v>2005</v>
      </c>
      <c r="E406" s="594" t="s">
        <v>11</v>
      </c>
      <c r="F406" s="600">
        <v>1315661</v>
      </c>
      <c r="G406" s="597" t="s">
        <v>1515</v>
      </c>
      <c r="H406" s="597"/>
      <c r="I406" s="597"/>
      <c r="J406" s="597"/>
      <c r="K406" s="597"/>
      <c r="L406" s="597"/>
      <c r="M406" s="597"/>
      <c r="N406" s="599"/>
    </row>
    <row r="407" spans="1:14">
      <c r="B407" s="582">
        <f t="shared" si="6"/>
        <v>397</v>
      </c>
      <c r="D407" s="593" t="s">
        <v>2006</v>
      </c>
      <c r="E407" s="594" t="s">
        <v>11</v>
      </c>
      <c r="G407" s="597" t="s">
        <v>1515</v>
      </c>
      <c r="H407" s="597"/>
      <c r="I407" s="597"/>
      <c r="J407" s="597"/>
      <c r="K407" s="597"/>
      <c r="L407" s="597"/>
      <c r="M407" s="597"/>
      <c r="N407" s="599"/>
    </row>
    <row r="408" spans="1:14">
      <c r="B408" s="582">
        <f t="shared" si="6"/>
        <v>398</v>
      </c>
      <c r="D408" s="593"/>
      <c r="G408" s="597"/>
      <c r="H408" s="597"/>
      <c r="I408" s="597"/>
      <c r="J408" s="597"/>
      <c r="K408" s="597"/>
      <c r="L408" s="597"/>
      <c r="M408" s="597"/>
      <c r="N408" s="599"/>
    </row>
    <row r="409" spans="1:14">
      <c r="B409" s="582">
        <f t="shared" si="6"/>
        <v>399</v>
      </c>
      <c r="C409" s="618" t="s">
        <v>2007</v>
      </c>
      <c r="D409" s="593"/>
      <c r="G409" s="597"/>
      <c r="H409" s="597"/>
      <c r="I409" s="597"/>
      <c r="J409" s="597"/>
      <c r="K409" s="597"/>
      <c r="L409" s="597"/>
      <c r="M409" s="597"/>
      <c r="N409" s="599"/>
    </row>
    <row r="410" spans="1:14" ht="29">
      <c r="B410" s="582">
        <f t="shared" si="6"/>
        <v>400</v>
      </c>
      <c r="C410" s="619" t="s">
        <v>10</v>
      </c>
      <c r="D410" s="593"/>
      <c r="E410" s="594" t="s">
        <v>11</v>
      </c>
      <c r="F410" s="600">
        <v>133158</v>
      </c>
      <c r="G410" s="597" t="s">
        <v>1515</v>
      </c>
      <c r="H410" s="597"/>
      <c r="I410" s="597"/>
      <c r="J410" s="597"/>
      <c r="K410" s="597"/>
      <c r="L410" s="597"/>
      <c r="M410" s="597"/>
      <c r="N410" s="599"/>
    </row>
    <row r="411" spans="1:14" ht="29">
      <c r="B411" s="582">
        <f t="shared" si="6"/>
        <v>401</v>
      </c>
      <c r="C411" s="619" t="s">
        <v>13</v>
      </c>
      <c r="D411" s="593"/>
      <c r="E411" s="594" t="s">
        <v>11</v>
      </c>
      <c r="F411" s="600">
        <v>96623</v>
      </c>
      <c r="G411" s="597" t="s">
        <v>1515</v>
      </c>
      <c r="H411" s="597"/>
      <c r="I411" s="597"/>
      <c r="J411" s="597"/>
      <c r="K411" s="597"/>
      <c r="L411" s="597"/>
      <c r="M411" s="597"/>
      <c r="N411" s="599"/>
    </row>
    <row r="412" spans="1:14">
      <c r="B412" s="582">
        <f t="shared" si="6"/>
        <v>402</v>
      </c>
      <c r="C412" s="619" t="s">
        <v>15</v>
      </c>
      <c r="D412" s="593"/>
      <c r="E412" s="594" t="s">
        <v>11</v>
      </c>
      <c r="F412" s="600">
        <v>459778</v>
      </c>
      <c r="G412" s="597" t="s">
        <v>1515</v>
      </c>
      <c r="H412" s="597"/>
      <c r="I412" s="597"/>
      <c r="J412" s="597"/>
      <c r="K412" s="597"/>
      <c r="L412" s="597"/>
      <c r="M412" s="597"/>
      <c r="N412" s="599"/>
    </row>
    <row r="413" spans="1:14">
      <c r="B413" s="582">
        <f t="shared" si="6"/>
        <v>403</v>
      </c>
      <c r="C413" s="619" t="s">
        <v>17</v>
      </c>
      <c r="D413" s="593"/>
      <c r="E413" s="594" t="s">
        <v>11</v>
      </c>
      <c r="F413" s="600">
        <v>351685</v>
      </c>
      <c r="G413" s="597" t="s">
        <v>1515</v>
      </c>
      <c r="H413" s="597"/>
      <c r="I413" s="597"/>
      <c r="J413" s="597"/>
      <c r="K413" s="597"/>
      <c r="L413" s="597"/>
      <c r="M413" s="597"/>
      <c r="N413" s="599"/>
    </row>
    <row r="414" spans="1:14">
      <c r="B414" s="582">
        <f t="shared" si="6"/>
        <v>404</v>
      </c>
      <c r="C414" s="619" t="s">
        <v>19</v>
      </c>
      <c r="D414" s="593"/>
      <c r="E414" s="594" t="s">
        <v>11</v>
      </c>
      <c r="F414" s="600">
        <v>5000750</v>
      </c>
      <c r="G414" s="597" t="s">
        <v>1515</v>
      </c>
      <c r="H414" s="597"/>
      <c r="I414" s="597"/>
      <c r="J414" s="597"/>
      <c r="K414" s="597"/>
      <c r="L414" s="597"/>
      <c r="M414" s="597"/>
      <c r="N414" s="599"/>
    </row>
    <row r="415" spans="1:14" ht="29">
      <c r="B415" s="582">
        <f t="shared" si="6"/>
        <v>405</v>
      </c>
      <c r="C415" s="619" t="s">
        <v>21</v>
      </c>
      <c r="D415" s="593"/>
      <c r="E415" s="594" t="s">
        <v>11</v>
      </c>
      <c r="F415" s="600">
        <v>5697945</v>
      </c>
      <c r="G415" s="597" t="s">
        <v>1515</v>
      </c>
      <c r="H415" s="597"/>
      <c r="I415" s="597"/>
      <c r="J415" s="597"/>
      <c r="K415" s="597"/>
      <c r="L415" s="597"/>
      <c r="M415" s="597"/>
      <c r="N415" s="599"/>
    </row>
    <row r="416" spans="1:14" ht="29">
      <c r="B416" s="582">
        <f t="shared" si="6"/>
        <v>406</v>
      </c>
      <c r="C416" s="619" t="s">
        <v>23</v>
      </c>
      <c r="D416" s="593"/>
      <c r="E416" s="594" t="s">
        <v>11</v>
      </c>
      <c r="F416" s="600">
        <v>4229572</v>
      </c>
      <c r="G416" s="597" t="s">
        <v>1515</v>
      </c>
      <c r="H416" s="597"/>
      <c r="I416" s="597"/>
      <c r="J416" s="597"/>
      <c r="K416" s="597"/>
      <c r="L416" s="597"/>
      <c r="M416" s="597"/>
      <c r="N416" s="599"/>
    </row>
    <row r="417" spans="2:14">
      <c r="B417" s="582">
        <f t="shared" si="6"/>
        <v>407</v>
      </c>
      <c r="C417" s="619" t="s">
        <v>25</v>
      </c>
      <c r="D417" s="602"/>
      <c r="E417" s="594" t="s">
        <v>11</v>
      </c>
      <c r="F417" s="603">
        <v>7763675</v>
      </c>
      <c r="G417" s="597" t="s">
        <v>1515</v>
      </c>
      <c r="H417" s="597"/>
      <c r="I417" s="597"/>
      <c r="J417" s="597"/>
      <c r="K417" s="597"/>
      <c r="L417" s="597"/>
      <c r="M417" s="597"/>
      <c r="N417" s="599"/>
    </row>
    <row r="418" spans="2:14">
      <c r="B418" s="582">
        <f t="shared" si="6"/>
        <v>408</v>
      </c>
      <c r="C418" s="619" t="s">
        <v>27</v>
      </c>
      <c r="D418" s="602"/>
      <c r="E418" s="594" t="s">
        <v>11</v>
      </c>
      <c r="F418" s="603">
        <v>1954466</v>
      </c>
      <c r="G418" s="597" t="s">
        <v>1515</v>
      </c>
      <c r="H418" s="597"/>
      <c r="I418" s="597"/>
      <c r="J418" s="597"/>
      <c r="K418" s="597"/>
      <c r="L418" s="597"/>
      <c r="M418" s="597"/>
      <c r="N418" s="599"/>
    </row>
    <row r="419" spans="2:14" ht="29">
      <c r="B419" s="582">
        <f t="shared" si="6"/>
        <v>409</v>
      </c>
      <c r="C419" s="619" t="s">
        <v>29</v>
      </c>
      <c r="D419" s="602"/>
      <c r="E419" s="594" t="s">
        <v>11</v>
      </c>
      <c r="F419" s="603">
        <v>1718240</v>
      </c>
      <c r="G419" s="597" t="s">
        <v>1515</v>
      </c>
      <c r="H419" s="597"/>
      <c r="I419" s="597"/>
      <c r="J419" s="597"/>
      <c r="K419" s="597"/>
      <c r="L419" s="597"/>
      <c r="M419" s="597"/>
      <c r="N419" s="599"/>
    </row>
    <row r="420" spans="2:14" ht="29">
      <c r="B420" s="582">
        <f t="shared" si="6"/>
        <v>410</v>
      </c>
      <c r="C420" s="619" t="s">
        <v>31</v>
      </c>
      <c r="D420" s="602"/>
      <c r="E420" s="594" t="s">
        <v>11</v>
      </c>
      <c r="F420" s="603">
        <v>3318558</v>
      </c>
      <c r="G420" s="597" t="s">
        <v>1515</v>
      </c>
      <c r="H420" s="597"/>
      <c r="I420" s="597"/>
      <c r="J420" s="597"/>
      <c r="K420" s="597"/>
      <c r="L420" s="597"/>
      <c r="M420" s="597"/>
      <c r="N420" s="599"/>
    </row>
    <row r="421" spans="2:14" ht="29">
      <c r="B421" s="582">
        <f t="shared" si="6"/>
        <v>411</v>
      </c>
      <c r="C421" s="619" t="s">
        <v>33</v>
      </c>
      <c r="D421" s="602"/>
      <c r="E421" s="594" t="s">
        <v>11</v>
      </c>
      <c r="F421" s="603">
        <v>2952237</v>
      </c>
      <c r="G421" s="597" t="s">
        <v>1515</v>
      </c>
      <c r="H421" s="597"/>
      <c r="I421" s="597"/>
      <c r="J421" s="597"/>
      <c r="K421" s="597"/>
      <c r="L421" s="597"/>
      <c r="M421" s="597"/>
      <c r="N421" s="599"/>
    </row>
    <row r="422" spans="2:14" ht="29">
      <c r="B422" s="582">
        <f t="shared" si="6"/>
        <v>412</v>
      </c>
      <c r="C422" s="619" t="s">
        <v>2008</v>
      </c>
      <c r="D422" s="602"/>
      <c r="E422" s="594" t="s">
        <v>36</v>
      </c>
      <c r="F422" s="603"/>
      <c r="G422" s="597" t="s">
        <v>1515</v>
      </c>
      <c r="H422" s="597"/>
      <c r="I422" s="597"/>
      <c r="J422" s="597"/>
      <c r="K422" s="597"/>
      <c r="L422" s="597"/>
      <c r="M422" s="597"/>
      <c r="N422" s="599"/>
    </row>
    <row r="423" spans="2:14">
      <c r="B423" s="582">
        <f t="shared" si="6"/>
        <v>413</v>
      </c>
      <c r="C423" s="619" t="s">
        <v>40</v>
      </c>
      <c r="D423" s="602"/>
      <c r="E423" s="594" t="s">
        <v>11</v>
      </c>
      <c r="F423" s="603">
        <v>1259668</v>
      </c>
      <c r="G423" s="597" t="s">
        <v>1515</v>
      </c>
      <c r="H423" s="597"/>
      <c r="I423" s="597"/>
      <c r="J423" s="597"/>
      <c r="K423" s="597"/>
      <c r="L423" s="597"/>
      <c r="M423" s="597"/>
      <c r="N423" s="599"/>
    </row>
    <row r="424" spans="2:14" ht="29">
      <c r="B424" s="582">
        <f t="shared" si="6"/>
        <v>414</v>
      </c>
      <c r="C424" s="619" t="s">
        <v>42</v>
      </c>
      <c r="D424" s="602"/>
      <c r="E424" s="594" t="s">
        <v>11</v>
      </c>
      <c r="F424" s="603">
        <v>7750195</v>
      </c>
      <c r="G424" s="597" t="s">
        <v>1515</v>
      </c>
      <c r="H424" s="597"/>
      <c r="I424" s="597"/>
      <c r="J424" s="597"/>
      <c r="K424" s="597"/>
      <c r="L424" s="597"/>
      <c r="M424" s="597"/>
      <c r="N424" s="599"/>
    </row>
    <row r="425" spans="2:14">
      <c r="B425" s="582">
        <f t="shared" si="6"/>
        <v>415</v>
      </c>
      <c r="C425" s="619" t="s">
        <v>44</v>
      </c>
      <c r="D425" s="602"/>
      <c r="E425" s="594" t="s">
        <v>11</v>
      </c>
      <c r="F425" s="603">
        <v>14513308</v>
      </c>
      <c r="G425" s="597" t="s">
        <v>1515</v>
      </c>
      <c r="H425" s="597"/>
      <c r="I425" s="597"/>
      <c r="J425" s="597"/>
      <c r="K425" s="597"/>
      <c r="L425" s="597"/>
      <c r="M425" s="597"/>
      <c r="N425" s="599"/>
    </row>
    <row r="426" spans="2:14">
      <c r="B426" s="582">
        <f t="shared" si="6"/>
        <v>416</v>
      </c>
      <c r="C426" s="619" t="s">
        <v>2009</v>
      </c>
      <c r="D426" s="602"/>
      <c r="E426" s="594" t="s">
        <v>11</v>
      </c>
      <c r="F426" s="603">
        <v>4705536</v>
      </c>
      <c r="G426" s="597" t="s">
        <v>1515</v>
      </c>
      <c r="H426" s="597"/>
      <c r="I426" s="597"/>
      <c r="J426" s="597"/>
      <c r="K426" s="597"/>
      <c r="L426" s="597"/>
      <c r="M426" s="597"/>
      <c r="N426" s="599"/>
    </row>
    <row r="427" spans="2:14">
      <c r="B427" s="582">
        <f t="shared" si="6"/>
        <v>417</v>
      </c>
      <c r="C427" s="619" t="s">
        <v>46</v>
      </c>
      <c r="D427" s="593" t="s">
        <v>2010</v>
      </c>
      <c r="E427" s="594" t="s">
        <v>36</v>
      </c>
      <c r="F427" s="600">
        <v>5804318</v>
      </c>
      <c r="G427" s="597" t="s">
        <v>1515</v>
      </c>
      <c r="H427" s="597"/>
      <c r="I427" s="597"/>
      <c r="J427" s="597"/>
      <c r="K427" s="597"/>
      <c r="L427" s="597"/>
      <c r="M427" s="597"/>
      <c r="N427" s="599"/>
    </row>
    <row r="428" spans="2:14">
      <c r="B428" s="582">
        <f t="shared" si="6"/>
        <v>418</v>
      </c>
      <c r="C428" s="619" t="s">
        <v>48</v>
      </c>
      <c r="D428" s="593"/>
      <c r="E428" s="594" t="s">
        <v>11</v>
      </c>
      <c r="F428" s="600">
        <v>1366481</v>
      </c>
      <c r="G428" s="597" t="s">
        <v>1515</v>
      </c>
      <c r="H428" s="597"/>
      <c r="I428" s="597"/>
      <c r="J428" s="597"/>
      <c r="K428" s="597"/>
      <c r="L428" s="597"/>
      <c r="M428" s="597"/>
      <c r="N428" s="599"/>
    </row>
    <row r="429" spans="2:14" ht="29">
      <c r="B429" s="582">
        <f t="shared" si="6"/>
        <v>419</v>
      </c>
      <c r="C429" s="619" t="s">
        <v>50</v>
      </c>
      <c r="D429" s="593"/>
      <c r="E429" s="594" t="s">
        <v>11</v>
      </c>
      <c r="F429" s="600">
        <v>2605678</v>
      </c>
      <c r="G429" s="597" t="s">
        <v>1515</v>
      </c>
      <c r="H429" s="597"/>
      <c r="I429" s="597"/>
      <c r="J429" s="597"/>
      <c r="K429" s="597"/>
      <c r="L429" s="597"/>
      <c r="M429" s="597"/>
      <c r="N429" s="599"/>
    </row>
    <row r="430" spans="2:14">
      <c r="B430" s="582">
        <f t="shared" si="6"/>
        <v>420</v>
      </c>
      <c r="C430" s="619" t="s">
        <v>52</v>
      </c>
      <c r="D430" s="593"/>
      <c r="E430" s="594" t="s">
        <v>11</v>
      </c>
      <c r="F430" s="600">
        <v>553800</v>
      </c>
      <c r="G430" s="597" t="s">
        <v>1515</v>
      </c>
      <c r="H430" s="597"/>
      <c r="I430" s="597"/>
      <c r="J430" s="597"/>
      <c r="K430" s="597"/>
      <c r="L430" s="597"/>
      <c r="M430" s="597"/>
      <c r="N430" s="599"/>
    </row>
    <row r="431" spans="2:14">
      <c r="B431" s="582">
        <f t="shared" si="6"/>
        <v>421</v>
      </c>
      <c r="C431" s="619" t="s">
        <v>54</v>
      </c>
      <c r="D431" s="593"/>
      <c r="E431" s="594" t="s">
        <v>11</v>
      </c>
      <c r="F431" s="600">
        <v>2867800</v>
      </c>
      <c r="G431" s="597" t="s">
        <v>1515</v>
      </c>
      <c r="H431" s="597"/>
      <c r="I431" s="597"/>
      <c r="J431" s="597"/>
      <c r="K431" s="597"/>
      <c r="L431" s="597"/>
      <c r="M431" s="597"/>
      <c r="N431" s="599"/>
    </row>
    <row r="432" spans="2:14">
      <c r="B432" s="582">
        <f t="shared" si="6"/>
        <v>422</v>
      </c>
      <c r="C432" s="619" t="s">
        <v>56</v>
      </c>
      <c r="D432" s="593"/>
      <c r="E432" s="594" t="s">
        <v>11</v>
      </c>
      <c r="F432" s="600">
        <v>918676</v>
      </c>
      <c r="G432" s="597" t="s">
        <v>1515</v>
      </c>
      <c r="H432" s="597"/>
      <c r="I432" s="597"/>
      <c r="J432" s="597"/>
      <c r="K432" s="597"/>
      <c r="L432" s="597"/>
      <c r="M432" s="597"/>
      <c r="N432" s="599"/>
    </row>
    <row r="433" spans="2:14">
      <c r="B433" s="582">
        <f t="shared" si="6"/>
        <v>423</v>
      </c>
      <c r="C433" s="619" t="s">
        <v>58</v>
      </c>
      <c r="D433" s="593"/>
      <c r="E433" s="594" t="s">
        <v>11</v>
      </c>
      <c r="F433" s="600">
        <v>1258900</v>
      </c>
      <c r="G433" s="597" t="s">
        <v>1515</v>
      </c>
      <c r="H433" s="597"/>
      <c r="I433" s="597"/>
      <c r="J433" s="597"/>
      <c r="K433" s="597"/>
      <c r="L433" s="597"/>
      <c r="M433" s="597"/>
      <c r="N433" s="599"/>
    </row>
    <row r="434" spans="2:14">
      <c r="B434" s="582">
        <f t="shared" si="6"/>
        <v>424</v>
      </c>
      <c r="C434" s="619" t="s">
        <v>60</v>
      </c>
      <c r="D434" s="593"/>
      <c r="E434" s="594" t="s">
        <v>11</v>
      </c>
      <c r="F434" s="600">
        <v>21014624</v>
      </c>
      <c r="G434" s="597" t="s">
        <v>1515</v>
      </c>
      <c r="H434" s="597"/>
      <c r="I434" s="597"/>
      <c r="J434" s="597"/>
      <c r="K434" s="597"/>
      <c r="L434" s="597"/>
      <c r="M434" s="597"/>
      <c r="N434" s="599"/>
    </row>
    <row r="435" spans="2:14">
      <c r="B435" s="582">
        <f t="shared" si="6"/>
        <v>425</v>
      </c>
      <c r="C435" s="619" t="s">
        <v>62</v>
      </c>
      <c r="D435" s="593"/>
      <c r="E435" s="594" t="s">
        <v>11</v>
      </c>
      <c r="F435" s="600">
        <v>8311002</v>
      </c>
      <c r="G435" s="597" t="s">
        <v>1515</v>
      </c>
      <c r="H435" s="597"/>
      <c r="I435" s="597"/>
      <c r="J435" s="597"/>
      <c r="K435" s="597"/>
      <c r="L435" s="597"/>
      <c r="M435" s="597"/>
      <c r="N435" s="599"/>
    </row>
    <row r="436" spans="2:14">
      <c r="B436" s="582">
        <f t="shared" si="6"/>
        <v>426</v>
      </c>
      <c r="C436" s="619" t="s">
        <v>64</v>
      </c>
      <c r="D436" s="593"/>
      <c r="E436" s="594" t="s">
        <v>11</v>
      </c>
      <c r="F436" s="600">
        <v>1872142</v>
      </c>
      <c r="G436" s="597" t="s">
        <v>1515</v>
      </c>
      <c r="H436" s="597"/>
      <c r="I436" s="597"/>
      <c r="J436" s="597"/>
      <c r="K436" s="597"/>
      <c r="L436" s="597"/>
      <c r="M436" s="597"/>
      <c r="N436" s="599"/>
    </row>
    <row r="437" spans="2:14">
      <c r="B437" s="582">
        <f t="shared" si="6"/>
        <v>427</v>
      </c>
      <c r="C437" s="619" t="s">
        <v>66</v>
      </c>
      <c r="D437" s="593"/>
      <c r="E437" s="594" t="s">
        <v>11</v>
      </c>
      <c r="F437" s="600">
        <v>375316</v>
      </c>
      <c r="G437" s="597" t="s">
        <v>1515</v>
      </c>
      <c r="H437" s="597"/>
      <c r="I437" s="597"/>
      <c r="J437" s="597"/>
      <c r="K437" s="597"/>
      <c r="L437" s="597"/>
      <c r="M437" s="597"/>
      <c r="N437" s="599"/>
    </row>
    <row r="438" spans="2:14">
      <c r="B438" s="582">
        <f t="shared" si="6"/>
        <v>428</v>
      </c>
      <c r="C438" s="619" t="s">
        <v>68</v>
      </c>
      <c r="D438" s="593"/>
      <c r="E438" s="594" t="s">
        <v>11</v>
      </c>
      <c r="F438" s="600">
        <v>771572</v>
      </c>
      <c r="G438" s="597" t="s">
        <v>1515</v>
      </c>
      <c r="H438" s="597"/>
      <c r="I438" s="597"/>
      <c r="J438" s="597"/>
      <c r="K438" s="597"/>
      <c r="L438" s="597"/>
      <c r="M438" s="597"/>
      <c r="N438" s="599"/>
    </row>
    <row r="439" spans="2:14" ht="29">
      <c r="B439" s="582">
        <f t="shared" si="6"/>
        <v>429</v>
      </c>
      <c r="C439" s="619" t="s">
        <v>70</v>
      </c>
      <c r="D439" s="593"/>
      <c r="E439" s="594" t="s">
        <v>11</v>
      </c>
      <c r="F439" s="600">
        <v>60704</v>
      </c>
      <c r="G439" s="597" t="s">
        <v>1515</v>
      </c>
      <c r="H439" s="597"/>
      <c r="I439" s="597"/>
      <c r="J439" s="597"/>
      <c r="K439" s="597"/>
      <c r="L439" s="597"/>
      <c r="M439" s="597"/>
      <c r="N439" s="599"/>
    </row>
    <row r="440" spans="2:14">
      <c r="B440" s="582">
        <f t="shared" si="6"/>
        <v>430</v>
      </c>
      <c r="C440" s="619" t="s">
        <v>72</v>
      </c>
      <c r="D440" s="593"/>
      <c r="E440" s="594" t="s">
        <v>11</v>
      </c>
      <c r="F440" s="600">
        <v>2369098</v>
      </c>
      <c r="G440" s="597" t="s">
        <v>1515</v>
      </c>
      <c r="H440" s="597"/>
      <c r="I440" s="597"/>
      <c r="J440" s="597"/>
      <c r="K440" s="597"/>
      <c r="L440" s="597"/>
      <c r="M440" s="597"/>
      <c r="N440" s="599"/>
    </row>
    <row r="441" spans="2:14">
      <c r="B441" s="582">
        <f t="shared" si="6"/>
        <v>431</v>
      </c>
      <c r="C441" s="619" t="s">
        <v>74</v>
      </c>
      <c r="D441" s="593"/>
      <c r="E441" s="594" t="s">
        <v>11</v>
      </c>
      <c r="F441" s="600">
        <v>7305877</v>
      </c>
      <c r="G441" s="597" t="s">
        <v>1515</v>
      </c>
      <c r="H441" s="597"/>
      <c r="I441" s="597"/>
      <c r="J441" s="597"/>
      <c r="K441" s="597"/>
      <c r="L441" s="597"/>
      <c r="M441" s="597"/>
      <c r="N441" s="599"/>
    </row>
    <row r="442" spans="2:14" ht="29">
      <c r="B442" s="582">
        <f t="shared" si="6"/>
        <v>432</v>
      </c>
      <c r="C442" s="619" t="s">
        <v>76</v>
      </c>
      <c r="D442" s="593"/>
      <c r="E442" s="594" t="s">
        <v>11</v>
      </c>
      <c r="F442" s="600">
        <v>922098</v>
      </c>
      <c r="G442" s="597" t="s">
        <v>1515</v>
      </c>
      <c r="H442" s="597"/>
      <c r="I442" s="597"/>
      <c r="J442" s="597"/>
      <c r="K442" s="597"/>
      <c r="L442" s="597"/>
      <c r="M442" s="597"/>
      <c r="N442" s="599"/>
    </row>
    <row r="443" spans="2:14">
      <c r="B443" s="582">
        <f t="shared" si="6"/>
        <v>433</v>
      </c>
      <c r="C443" s="619" t="s">
        <v>78</v>
      </c>
      <c r="D443" s="593"/>
      <c r="E443" s="594" t="s">
        <v>11</v>
      </c>
      <c r="F443" s="600">
        <v>3440115</v>
      </c>
      <c r="G443" s="597" t="s">
        <v>1515</v>
      </c>
      <c r="H443" s="597"/>
      <c r="I443" s="597"/>
      <c r="J443" s="597"/>
      <c r="K443" s="597"/>
      <c r="L443" s="597"/>
      <c r="M443" s="597"/>
      <c r="N443" s="599"/>
    </row>
    <row r="444" spans="2:14">
      <c r="B444" s="582">
        <f t="shared" si="6"/>
        <v>434</v>
      </c>
      <c r="C444" s="619" t="s">
        <v>2011</v>
      </c>
      <c r="D444" s="593"/>
      <c r="E444" s="594" t="s">
        <v>11</v>
      </c>
      <c r="F444" s="600">
        <v>444780</v>
      </c>
      <c r="G444" s="597" t="s">
        <v>1515</v>
      </c>
      <c r="H444" s="597"/>
      <c r="I444" s="597"/>
      <c r="J444" s="597"/>
      <c r="K444" s="597"/>
      <c r="L444" s="597"/>
      <c r="M444" s="597"/>
      <c r="N444" s="599"/>
    </row>
    <row r="445" spans="2:14">
      <c r="B445" s="582">
        <f t="shared" si="6"/>
        <v>435</v>
      </c>
      <c r="C445" s="619" t="s">
        <v>2012</v>
      </c>
      <c r="D445" s="593"/>
      <c r="E445" s="594" t="s">
        <v>11</v>
      </c>
      <c r="F445" s="600">
        <v>7919832</v>
      </c>
      <c r="G445" s="597" t="s">
        <v>1515</v>
      </c>
      <c r="H445" s="597"/>
      <c r="I445" s="597"/>
      <c r="J445" s="597"/>
      <c r="K445" s="597"/>
      <c r="L445" s="597"/>
      <c r="M445" s="597"/>
      <c r="N445" s="599"/>
    </row>
    <row r="446" spans="2:14">
      <c r="B446" s="582">
        <f t="shared" si="6"/>
        <v>436</v>
      </c>
      <c r="C446" s="619" t="s">
        <v>84</v>
      </c>
      <c r="D446" s="593" t="s">
        <v>2013</v>
      </c>
      <c r="E446" s="594" t="s">
        <v>36</v>
      </c>
      <c r="F446" s="600">
        <v>28806330</v>
      </c>
      <c r="G446" s="597" t="s">
        <v>1515</v>
      </c>
      <c r="H446" s="597"/>
      <c r="I446" s="597"/>
      <c r="J446" s="597"/>
      <c r="K446" s="597"/>
      <c r="L446" s="597"/>
      <c r="M446" s="597"/>
      <c r="N446" s="599"/>
    </row>
    <row r="447" spans="2:14">
      <c r="B447" s="582">
        <f t="shared" si="6"/>
        <v>437</v>
      </c>
      <c r="C447" s="619" t="s">
        <v>86</v>
      </c>
      <c r="D447" s="593" t="s">
        <v>2014</v>
      </c>
      <c r="E447" s="594" t="s">
        <v>36</v>
      </c>
      <c r="F447" s="600">
        <v>157876</v>
      </c>
      <c r="G447" s="597" t="s">
        <v>1515</v>
      </c>
      <c r="H447" s="597"/>
      <c r="I447" s="597"/>
      <c r="J447" s="597"/>
      <c r="K447" s="597"/>
      <c r="L447" s="597"/>
      <c r="M447" s="597"/>
      <c r="N447" s="599"/>
    </row>
    <row r="448" spans="2:14">
      <c r="B448" s="582">
        <f t="shared" si="6"/>
        <v>438</v>
      </c>
      <c r="C448" s="619" t="s">
        <v>88</v>
      </c>
      <c r="D448" s="593"/>
      <c r="E448" s="594" t="s">
        <v>11</v>
      </c>
      <c r="F448" s="600">
        <v>10096097</v>
      </c>
      <c r="G448" s="597" t="s">
        <v>1515</v>
      </c>
      <c r="H448" s="597"/>
      <c r="I448" s="597"/>
      <c r="J448" s="597"/>
      <c r="K448" s="597"/>
      <c r="L448" s="597"/>
      <c r="M448" s="597"/>
      <c r="N448" s="599"/>
    </row>
    <row r="449" spans="2:14">
      <c r="B449" s="582">
        <f t="shared" si="6"/>
        <v>439</v>
      </c>
      <c r="C449" s="619" t="s">
        <v>90</v>
      </c>
      <c r="D449" s="593"/>
      <c r="E449" s="594" t="s">
        <v>11</v>
      </c>
      <c r="F449" s="600">
        <v>7554492</v>
      </c>
      <c r="G449" s="597" t="s">
        <v>1515</v>
      </c>
      <c r="H449" s="597"/>
      <c r="I449" s="597"/>
      <c r="J449" s="597"/>
      <c r="K449" s="597"/>
      <c r="L449" s="597"/>
      <c r="M449" s="597"/>
      <c r="N449" s="599"/>
    </row>
    <row r="450" spans="2:14" ht="29">
      <c r="B450" s="582">
        <f t="shared" si="6"/>
        <v>440</v>
      </c>
      <c r="C450" s="619" t="s">
        <v>92</v>
      </c>
      <c r="D450" s="593"/>
      <c r="E450" s="594" t="s">
        <v>11</v>
      </c>
      <c r="F450" s="600">
        <v>7326839</v>
      </c>
      <c r="G450" s="597" t="s">
        <v>1515</v>
      </c>
      <c r="H450" s="597"/>
      <c r="I450" s="597"/>
      <c r="J450" s="597"/>
      <c r="K450" s="597"/>
      <c r="L450" s="597"/>
      <c r="M450" s="597"/>
      <c r="N450" s="599"/>
    </row>
    <row r="451" spans="2:14" ht="29">
      <c r="B451" s="582">
        <f t="shared" si="6"/>
        <v>441</v>
      </c>
      <c r="C451" s="619" t="s">
        <v>94</v>
      </c>
      <c r="D451" s="593"/>
      <c r="E451" s="594" t="s">
        <v>11</v>
      </c>
      <c r="F451" s="600">
        <v>2262949</v>
      </c>
      <c r="G451" s="597" t="s">
        <v>1515</v>
      </c>
      <c r="H451" s="597"/>
      <c r="I451" s="597"/>
      <c r="J451" s="597"/>
      <c r="K451" s="597"/>
      <c r="L451" s="597"/>
      <c r="M451" s="597"/>
      <c r="N451" s="599"/>
    </row>
    <row r="452" spans="2:14">
      <c r="B452" s="582">
        <f t="shared" si="6"/>
        <v>442</v>
      </c>
      <c r="C452" s="619" t="s">
        <v>96</v>
      </c>
      <c r="D452" s="593"/>
      <c r="E452" s="594" t="s">
        <v>11</v>
      </c>
      <c r="F452" s="600">
        <v>777327</v>
      </c>
      <c r="G452" s="597" t="s">
        <v>1515</v>
      </c>
      <c r="H452" s="597"/>
      <c r="I452" s="597"/>
      <c r="J452" s="597"/>
      <c r="K452" s="597"/>
      <c r="L452" s="597"/>
      <c r="M452" s="597"/>
      <c r="N452" s="599"/>
    </row>
    <row r="453" spans="2:14">
      <c r="B453" s="582">
        <f t="shared" si="6"/>
        <v>443</v>
      </c>
      <c r="C453" s="619" t="s">
        <v>98</v>
      </c>
      <c r="D453" s="593"/>
      <c r="E453" s="594" t="s">
        <v>11</v>
      </c>
      <c r="F453" s="600">
        <v>967828</v>
      </c>
      <c r="G453" s="597" t="s">
        <v>1515</v>
      </c>
      <c r="H453" s="597"/>
      <c r="I453" s="597"/>
      <c r="J453" s="597"/>
      <c r="K453" s="597"/>
      <c r="L453" s="597"/>
      <c r="M453" s="597"/>
      <c r="N453" s="599"/>
    </row>
    <row r="454" spans="2:14">
      <c r="B454" s="582">
        <f t="shared" si="6"/>
        <v>444</v>
      </c>
      <c r="C454" s="619" t="s">
        <v>100</v>
      </c>
      <c r="D454" s="593"/>
      <c r="E454" s="594" t="s">
        <v>11</v>
      </c>
      <c r="F454" s="600">
        <v>679540</v>
      </c>
      <c r="G454" s="597" t="s">
        <v>1515</v>
      </c>
      <c r="H454" s="597"/>
      <c r="I454" s="597"/>
      <c r="J454" s="597"/>
      <c r="K454" s="597"/>
      <c r="L454" s="597"/>
      <c r="M454" s="597"/>
      <c r="N454" s="599"/>
    </row>
    <row r="455" spans="2:14" ht="29">
      <c r="B455" s="582">
        <f t="shared" ref="B455:B518" si="7">B454+1</f>
        <v>445</v>
      </c>
      <c r="C455" s="619" t="s">
        <v>102</v>
      </c>
      <c r="D455" s="593"/>
      <c r="E455" s="594" t="s">
        <v>11</v>
      </c>
      <c r="F455" s="600">
        <v>10230863</v>
      </c>
      <c r="G455" s="597" t="s">
        <v>1515</v>
      </c>
      <c r="H455" s="597"/>
      <c r="I455" s="597"/>
      <c r="J455" s="597"/>
      <c r="K455" s="597"/>
      <c r="L455" s="597"/>
      <c r="M455" s="597"/>
      <c r="N455" s="599"/>
    </row>
    <row r="456" spans="2:14" ht="29">
      <c r="B456" s="582">
        <f t="shared" si="7"/>
        <v>446</v>
      </c>
      <c r="C456" s="619" t="s">
        <v>104</v>
      </c>
      <c r="D456" s="593"/>
      <c r="E456" s="594" t="s">
        <v>11</v>
      </c>
      <c r="F456" s="600">
        <v>16397505</v>
      </c>
      <c r="G456" s="597" t="s">
        <v>1515</v>
      </c>
      <c r="H456" s="597"/>
      <c r="I456" s="597"/>
      <c r="J456" s="597"/>
      <c r="K456" s="597"/>
      <c r="L456" s="597"/>
      <c r="M456" s="597"/>
      <c r="N456" s="599"/>
    </row>
    <row r="457" spans="2:14" ht="29">
      <c r="B457" s="582">
        <f t="shared" si="7"/>
        <v>447</v>
      </c>
      <c r="C457" s="619" t="s">
        <v>106</v>
      </c>
      <c r="D457" s="593"/>
      <c r="E457" s="594" t="s">
        <v>11</v>
      </c>
      <c r="F457" s="600">
        <v>5033030</v>
      </c>
      <c r="G457" s="597" t="s">
        <v>1515</v>
      </c>
      <c r="H457" s="597"/>
      <c r="I457" s="597"/>
      <c r="J457" s="597"/>
      <c r="K457" s="597"/>
      <c r="L457" s="597"/>
      <c r="M457" s="597"/>
      <c r="N457" s="599"/>
    </row>
    <row r="458" spans="2:14" ht="29">
      <c r="B458" s="582">
        <f t="shared" si="7"/>
        <v>448</v>
      </c>
      <c r="C458" s="619" t="s">
        <v>108</v>
      </c>
      <c r="D458" s="593"/>
      <c r="E458" s="594" t="s">
        <v>11</v>
      </c>
      <c r="F458" s="600">
        <v>10035507</v>
      </c>
      <c r="G458" s="597" t="s">
        <v>1515</v>
      </c>
      <c r="H458" s="597"/>
      <c r="I458" s="597"/>
      <c r="J458" s="597"/>
      <c r="K458" s="597"/>
      <c r="L458" s="597"/>
      <c r="M458" s="597"/>
      <c r="N458" s="599"/>
    </row>
    <row r="459" spans="2:14" ht="29">
      <c r="B459" s="582">
        <f t="shared" si="7"/>
        <v>449</v>
      </c>
      <c r="C459" s="619" t="s">
        <v>110</v>
      </c>
      <c r="D459" s="593"/>
      <c r="E459" s="594" t="s">
        <v>11</v>
      </c>
      <c r="F459" s="600">
        <v>6133398</v>
      </c>
      <c r="G459" s="597" t="s">
        <v>1515</v>
      </c>
      <c r="H459" s="597"/>
      <c r="I459" s="597"/>
      <c r="J459" s="597"/>
      <c r="K459" s="597"/>
      <c r="L459" s="597"/>
      <c r="M459" s="597"/>
      <c r="N459" s="599"/>
    </row>
    <row r="460" spans="2:14">
      <c r="B460" s="582">
        <f t="shared" si="7"/>
        <v>450</v>
      </c>
      <c r="C460" s="619" t="s">
        <v>112</v>
      </c>
      <c r="D460" s="593"/>
      <c r="E460" s="594" t="s">
        <v>11</v>
      </c>
      <c r="F460" s="600">
        <v>4306775</v>
      </c>
      <c r="G460" s="597" t="s">
        <v>1515</v>
      </c>
      <c r="H460" s="597"/>
      <c r="I460" s="597"/>
      <c r="J460" s="597"/>
      <c r="K460" s="597"/>
      <c r="L460" s="597"/>
      <c r="M460" s="597"/>
      <c r="N460" s="599"/>
    </row>
    <row r="461" spans="2:14">
      <c r="B461" s="582">
        <f t="shared" si="7"/>
        <v>451</v>
      </c>
      <c r="C461" s="619" t="s">
        <v>114</v>
      </c>
      <c r="D461" s="593"/>
      <c r="E461" s="594" t="s">
        <v>11</v>
      </c>
      <c r="F461" s="600">
        <v>1993083</v>
      </c>
      <c r="G461" s="597" t="s">
        <v>1515</v>
      </c>
      <c r="H461" s="597"/>
      <c r="I461" s="597"/>
      <c r="J461" s="597"/>
      <c r="K461" s="597"/>
      <c r="L461" s="597"/>
      <c r="M461" s="597"/>
      <c r="N461" s="599"/>
    </row>
    <row r="462" spans="2:14">
      <c r="B462" s="582">
        <f t="shared" si="7"/>
        <v>452</v>
      </c>
      <c r="C462" s="619" t="s">
        <v>116</v>
      </c>
      <c r="D462" s="593"/>
      <c r="E462" s="594" t="s">
        <v>11</v>
      </c>
      <c r="F462" s="600">
        <v>1540944</v>
      </c>
      <c r="G462" s="597" t="s">
        <v>1515</v>
      </c>
      <c r="H462" s="597"/>
      <c r="I462" s="597"/>
      <c r="J462" s="597"/>
      <c r="K462" s="597"/>
      <c r="L462" s="597"/>
      <c r="M462" s="597"/>
      <c r="N462" s="599"/>
    </row>
    <row r="463" spans="2:14">
      <c r="B463" s="582">
        <f t="shared" si="7"/>
        <v>453</v>
      </c>
      <c r="C463" s="619" t="s">
        <v>118</v>
      </c>
      <c r="D463" s="593"/>
      <c r="E463" s="594" t="s">
        <v>11</v>
      </c>
      <c r="F463" s="600">
        <v>455727</v>
      </c>
      <c r="G463" s="597" t="s">
        <v>1515</v>
      </c>
      <c r="H463" s="597"/>
      <c r="I463" s="597"/>
      <c r="J463" s="597"/>
      <c r="K463" s="597"/>
      <c r="L463" s="597"/>
      <c r="M463" s="597"/>
      <c r="N463" s="599"/>
    </row>
    <row r="464" spans="2:14">
      <c r="B464" s="582">
        <f t="shared" si="7"/>
        <v>454</v>
      </c>
      <c r="C464" s="619" t="s">
        <v>120</v>
      </c>
      <c r="D464" s="593"/>
      <c r="E464" s="594" t="s">
        <v>11</v>
      </c>
      <c r="F464" s="600">
        <v>2348919</v>
      </c>
      <c r="G464" s="597" t="s">
        <v>1515</v>
      </c>
      <c r="H464" s="597"/>
      <c r="I464" s="597"/>
      <c r="J464" s="597"/>
      <c r="K464" s="597"/>
      <c r="L464" s="597"/>
      <c r="M464" s="597"/>
      <c r="N464" s="599"/>
    </row>
    <row r="465" spans="2:14">
      <c r="B465" s="582">
        <f t="shared" si="7"/>
        <v>455</v>
      </c>
      <c r="C465" s="619" t="s">
        <v>122</v>
      </c>
      <c r="D465" s="593"/>
      <c r="E465" s="594" t="s">
        <v>11</v>
      </c>
      <c r="F465" s="600">
        <v>3279089</v>
      </c>
      <c r="G465" s="597" t="s">
        <v>1515</v>
      </c>
      <c r="H465" s="597"/>
      <c r="I465" s="597"/>
      <c r="J465" s="597"/>
      <c r="K465" s="597"/>
      <c r="L465" s="597"/>
      <c r="M465" s="597"/>
      <c r="N465" s="599"/>
    </row>
    <row r="466" spans="2:14" ht="29">
      <c r="B466" s="582">
        <f t="shared" si="7"/>
        <v>456</v>
      </c>
      <c r="C466" s="619" t="s">
        <v>124</v>
      </c>
      <c r="D466" s="593"/>
      <c r="E466" s="594" t="s">
        <v>11</v>
      </c>
      <c r="F466" s="600">
        <v>156778</v>
      </c>
      <c r="G466" s="597" t="s">
        <v>1515</v>
      </c>
      <c r="H466" s="597"/>
      <c r="I466" s="597"/>
      <c r="J466" s="597"/>
      <c r="K466" s="597"/>
      <c r="L466" s="597"/>
      <c r="M466" s="597"/>
      <c r="N466" s="599"/>
    </row>
    <row r="467" spans="2:14">
      <c r="B467" s="582">
        <f t="shared" si="7"/>
        <v>457</v>
      </c>
      <c r="C467" s="619" t="s">
        <v>126</v>
      </c>
      <c r="D467" s="593" t="s">
        <v>2010</v>
      </c>
      <c r="E467" s="594" t="s">
        <v>36</v>
      </c>
      <c r="F467" s="600">
        <v>12744945</v>
      </c>
      <c r="G467" s="597" t="s">
        <v>1515</v>
      </c>
      <c r="H467" s="597"/>
      <c r="I467" s="597"/>
      <c r="J467" s="597"/>
      <c r="K467" s="597"/>
      <c r="L467" s="597"/>
      <c r="M467" s="597"/>
      <c r="N467" s="599"/>
    </row>
    <row r="468" spans="2:14">
      <c r="B468" s="582">
        <f t="shared" si="7"/>
        <v>458</v>
      </c>
      <c r="C468" s="619" t="s">
        <v>128</v>
      </c>
      <c r="D468" s="593"/>
      <c r="E468" s="594" t="s">
        <v>11</v>
      </c>
      <c r="F468" s="600">
        <v>2010227</v>
      </c>
      <c r="G468" s="597" t="s">
        <v>1515</v>
      </c>
      <c r="H468" s="597"/>
      <c r="I468" s="597"/>
      <c r="J468" s="597"/>
      <c r="K468" s="597"/>
      <c r="L468" s="597"/>
      <c r="M468" s="597"/>
      <c r="N468" s="599"/>
    </row>
    <row r="469" spans="2:14">
      <c r="B469" s="582">
        <f t="shared" si="7"/>
        <v>459</v>
      </c>
      <c r="C469" s="619" t="s">
        <v>130</v>
      </c>
      <c r="D469" s="593"/>
      <c r="E469" s="594" t="s">
        <v>11</v>
      </c>
      <c r="F469" s="600">
        <v>1212199</v>
      </c>
      <c r="G469" s="597" t="s">
        <v>1515</v>
      </c>
      <c r="H469" s="597"/>
      <c r="I469" s="597"/>
      <c r="J469" s="597"/>
      <c r="K469" s="597"/>
      <c r="L469" s="597"/>
      <c r="M469" s="597"/>
      <c r="N469" s="599"/>
    </row>
    <row r="470" spans="2:14">
      <c r="B470" s="582">
        <f t="shared" si="7"/>
        <v>460</v>
      </c>
      <c r="C470" s="619" t="s">
        <v>132</v>
      </c>
      <c r="D470" s="593"/>
      <c r="E470" s="594" t="s">
        <v>11</v>
      </c>
      <c r="F470" s="600">
        <v>3176751</v>
      </c>
      <c r="G470" s="597" t="s">
        <v>1515</v>
      </c>
      <c r="H470" s="597"/>
      <c r="I470" s="597"/>
      <c r="J470" s="597"/>
      <c r="K470" s="597"/>
      <c r="L470" s="597"/>
      <c r="M470" s="597"/>
      <c r="N470" s="599"/>
    </row>
    <row r="471" spans="2:14">
      <c r="B471" s="582">
        <f t="shared" si="7"/>
        <v>461</v>
      </c>
      <c r="C471" s="619" t="s">
        <v>2015</v>
      </c>
      <c r="D471" s="593" t="s">
        <v>2013</v>
      </c>
      <c r="E471" s="594" t="s">
        <v>36</v>
      </c>
      <c r="F471" s="600">
        <v>8685923</v>
      </c>
      <c r="G471" s="597" t="s">
        <v>1515</v>
      </c>
      <c r="H471" s="597"/>
      <c r="I471" s="597"/>
      <c r="J471" s="597"/>
      <c r="K471" s="597"/>
      <c r="L471" s="597"/>
      <c r="M471" s="597"/>
      <c r="N471" s="599"/>
    </row>
    <row r="472" spans="2:14">
      <c r="B472" s="582">
        <f t="shared" si="7"/>
        <v>462</v>
      </c>
      <c r="C472" s="619" t="s">
        <v>136</v>
      </c>
      <c r="D472" s="593" t="s">
        <v>2016</v>
      </c>
      <c r="E472" s="594" t="s">
        <v>36</v>
      </c>
      <c r="F472" s="600">
        <v>5561905</v>
      </c>
      <c r="G472" s="597" t="s">
        <v>1515</v>
      </c>
      <c r="H472" s="597"/>
      <c r="I472" s="597"/>
      <c r="J472" s="597"/>
      <c r="K472" s="597"/>
      <c r="L472" s="597"/>
      <c r="M472" s="597"/>
      <c r="N472" s="599"/>
    </row>
    <row r="473" spans="2:14">
      <c r="B473" s="582">
        <f t="shared" si="7"/>
        <v>463</v>
      </c>
      <c r="C473" s="619" t="s">
        <v>138</v>
      </c>
      <c r="D473" s="593"/>
      <c r="E473" s="594" t="s">
        <v>11</v>
      </c>
      <c r="F473" s="600">
        <v>2270236</v>
      </c>
      <c r="G473" s="597" t="s">
        <v>1515</v>
      </c>
      <c r="H473" s="597"/>
      <c r="I473" s="597"/>
      <c r="J473" s="597"/>
      <c r="K473" s="597"/>
      <c r="L473" s="597"/>
      <c r="M473" s="597"/>
      <c r="N473" s="599"/>
    </row>
    <row r="474" spans="2:14" ht="29">
      <c r="B474" s="582">
        <f t="shared" si="7"/>
        <v>464</v>
      </c>
      <c r="C474" s="619" t="s">
        <v>140</v>
      </c>
      <c r="D474" s="593"/>
      <c r="E474" s="594" t="s">
        <v>11</v>
      </c>
      <c r="F474" s="600">
        <v>11228663</v>
      </c>
      <c r="G474" s="597" t="s">
        <v>1515</v>
      </c>
      <c r="H474" s="597"/>
      <c r="I474" s="597"/>
      <c r="J474" s="597"/>
      <c r="K474" s="597"/>
      <c r="L474" s="597"/>
      <c r="M474" s="597"/>
      <c r="N474" s="599"/>
    </row>
    <row r="475" spans="2:14">
      <c r="B475" s="582">
        <f t="shared" si="7"/>
        <v>465</v>
      </c>
      <c r="C475" s="619" t="s">
        <v>142</v>
      </c>
      <c r="D475" s="593"/>
      <c r="E475" s="594" t="s">
        <v>11</v>
      </c>
      <c r="F475" s="600">
        <v>617623</v>
      </c>
      <c r="G475" s="597" t="s">
        <v>1515</v>
      </c>
      <c r="H475" s="597"/>
      <c r="I475" s="597"/>
      <c r="J475" s="597"/>
      <c r="K475" s="597"/>
      <c r="L475" s="597"/>
      <c r="M475" s="597"/>
      <c r="N475" s="599"/>
    </row>
    <row r="476" spans="2:14" ht="29">
      <c r="B476" s="582">
        <f t="shared" si="7"/>
        <v>466</v>
      </c>
      <c r="C476" s="619" t="s">
        <v>144</v>
      </c>
      <c r="D476" s="593"/>
      <c r="E476" s="594" t="s">
        <v>11</v>
      </c>
      <c r="F476" s="600">
        <v>6319622</v>
      </c>
      <c r="G476" s="597" t="s">
        <v>1515</v>
      </c>
      <c r="H476" s="597"/>
      <c r="I476" s="597"/>
      <c r="J476" s="597"/>
      <c r="K476" s="597"/>
      <c r="L476" s="597"/>
      <c r="M476" s="597"/>
      <c r="N476" s="599"/>
    </row>
    <row r="477" spans="2:14">
      <c r="B477" s="582">
        <f t="shared" si="7"/>
        <v>467</v>
      </c>
      <c r="C477" s="619" t="s">
        <v>146</v>
      </c>
      <c r="D477" s="593"/>
      <c r="E477" s="594" t="s">
        <v>11</v>
      </c>
      <c r="F477" s="600">
        <v>324360</v>
      </c>
      <c r="G477" s="597" t="s">
        <v>1515</v>
      </c>
      <c r="H477" s="597"/>
      <c r="I477" s="597"/>
      <c r="J477" s="597"/>
      <c r="K477" s="597"/>
      <c r="L477" s="597"/>
      <c r="M477" s="597"/>
      <c r="N477" s="599"/>
    </row>
    <row r="478" spans="2:14">
      <c r="B478" s="582">
        <f t="shared" si="7"/>
        <v>468</v>
      </c>
      <c r="C478" s="619" t="s">
        <v>148</v>
      </c>
      <c r="D478" s="593"/>
      <c r="E478" s="594" t="s">
        <v>11</v>
      </c>
      <c r="F478" s="600">
        <v>4941649</v>
      </c>
      <c r="G478" s="597" t="s">
        <v>1515</v>
      </c>
      <c r="H478" s="597"/>
      <c r="I478" s="597"/>
      <c r="J478" s="597"/>
      <c r="K478" s="597"/>
      <c r="L478" s="597"/>
      <c r="M478" s="597"/>
      <c r="N478" s="599"/>
    </row>
    <row r="479" spans="2:14">
      <c r="B479" s="582">
        <f t="shared" si="7"/>
        <v>469</v>
      </c>
      <c r="C479" s="619" t="s">
        <v>150</v>
      </c>
      <c r="D479" s="593"/>
      <c r="E479" s="594" t="s">
        <v>11</v>
      </c>
      <c r="F479" s="600">
        <v>3155850</v>
      </c>
      <c r="G479" s="597" t="s">
        <v>1515</v>
      </c>
      <c r="H479" s="597"/>
      <c r="I479" s="597"/>
      <c r="J479" s="597"/>
      <c r="K479" s="597"/>
      <c r="L479" s="597"/>
      <c r="M479" s="597"/>
      <c r="N479" s="599"/>
    </row>
    <row r="480" spans="2:14">
      <c r="B480" s="582">
        <f t="shared" si="7"/>
        <v>470</v>
      </c>
      <c r="C480" s="619" t="s">
        <v>152</v>
      </c>
      <c r="D480" s="593"/>
      <c r="E480" s="594" t="s">
        <v>11</v>
      </c>
      <c r="F480" s="600">
        <v>22285708</v>
      </c>
      <c r="G480" s="597" t="s">
        <v>1515</v>
      </c>
      <c r="H480" s="597"/>
      <c r="I480" s="597"/>
      <c r="J480" s="597"/>
      <c r="K480" s="597"/>
      <c r="L480" s="597"/>
      <c r="M480" s="597"/>
      <c r="N480" s="599"/>
    </row>
    <row r="481" spans="2:14">
      <c r="B481" s="582">
        <f t="shared" si="7"/>
        <v>471</v>
      </c>
      <c r="C481" s="619" t="s">
        <v>154</v>
      </c>
      <c r="D481" s="593"/>
      <c r="E481" s="594" t="s">
        <v>11</v>
      </c>
      <c r="F481" s="600">
        <v>1055414</v>
      </c>
      <c r="G481" s="597" t="s">
        <v>1515</v>
      </c>
      <c r="H481" s="597"/>
      <c r="I481" s="597"/>
      <c r="J481" s="597"/>
      <c r="K481" s="597"/>
      <c r="L481" s="597"/>
      <c r="M481" s="597"/>
      <c r="N481" s="599"/>
    </row>
    <row r="482" spans="2:14">
      <c r="B482" s="582">
        <f t="shared" si="7"/>
        <v>472</v>
      </c>
      <c r="C482" s="619" t="s">
        <v>156</v>
      </c>
      <c r="D482" s="593"/>
      <c r="E482" s="594" t="s">
        <v>11</v>
      </c>
      <c r="F482" s="600">
        <v>8982948</v>
      </c>
      <c r="G482" s="597" t="s">
        <v>1515</v>
      </c>
      <c r="H482" s="597"/>
      <c r="I482" s="597"/>
      <c r="J482" s="597"/>
      <c r="K482" s="597"/>
      <c r="L482" s="597"/>
      <c r="M482" s="597"/>
      <c r="N482" s="599"/>
    </row>
    <row r="483" spans="2:14">
      <c r="B483" s="582">
        <f t="shared" si="7"/>
        <v>473</v>
      </c>
      <c r="C483" s="619" t="s">
        <v>158</v>
      </c>
      <c r="D483" s="593"/>
      <c r="E483" s="594" t="s">
        <v>11</v>
      </c>
      <c r="F483" s="600">
        <v>2038631</v>
      </c>
      <c r="G483" s="597" t="s">
        <v>1515</v>
      </c>
      <c r="H483" s="597"/>
      <c r="I483" s="597"/>
      <c r="J483" s="597"/>
      <c r="K483" s="597"/>
      <c r="L483" s="597"/>
      <c r="M483" s="597"/>
      <c r="N483" s="599"/>
    </row>
    <row r="484" spans="2:14">
      <c r="B484" s="582">
        <f t="shared" si="7"/>
        <v>474</v>
      </c>
      <c r="C484" s="619" t="s">
        <v>160</v>
      </c>
      <c r="D484" s="593"/>
      <c r="E484" s="594" t="s">
        <v>11</v>
      </c>
      <c r="F484" s="600">
        <v>1089083</v>
      </c>
      <c r="G484" s="597" t="s">
        <v>1515</v>
      </c>
      <c r="H484" s="597"/>
      <c r="I484" s="597"/>
      <c r="J484" s="597"/>
      <c r="K484" s="597"/>
      <c r="L484" s="597"/>
      <c r="M484" s="597"/>
      <c r="N484" s="599"/>
    </row>
    <row r="485" spans="2:14">
      <c r="B485" s="582">
        <f t="shared" si="7"/>
        <v>475</v>
      </c>
      <c r="C485" s="619" t="s">
        <v>162</v>
      </c>
      <c r="D485" s="593"/>
      <c r="E485" s="594" t="s">
        <v>11</v>
      </c>
      <c r="F485" s="600">
        <v>1816904</v>
      </c>
      <c r="G485" s="597" t="s">
        <v>1515</v>
      </c>
      <c r="H485" s="597"/>
      <c r="I485" s="597"/>
      <c r="J485" s="597"/>
      <c r="K485" s="597"/>
      <c r="L485" s="597"/>
      <c r="M485" s="597"/>
      <c r="N485" s="599"/>
    </row>
    <row r="486" spans="2:14">
      <c r="B486" s="582">
        <f t="shared" si="7"/>
        <v>476</v>
      </c>
      <c r="C486" s="619" t="s">
        <v>164</v>
      </c>
      <c r="D486" s="593"/>
      <c r="E486" s="594" t="s">
        <v>11</v>
      </c>
      <c r="F486" s="600">
        <v>1790108</v>
      </c>
      <c r="G486" s="597" t="s">
        <v>1515</v>
      </c>
      <c r="H486" s="597"/>
      <c r="I486" s="597"/>
      <c r="J486" s="597"/>
      <c r="K486" s="597"/>
      <c r="L486" s="597"/>
      <c r="M486" s="597"/>
      <c r="N486" s="599"/>
    </row>
    <row r="487" spans="2:14">
      <c r="B487" s="582">
        <f t="shared" si="7"/>
        <v>477</v>
      </c>
      <c r="C487" s="619" t="s">
        <v>166</v>
      </c>
      <c r="D487" s="593"/>
      <c r="E487" s="594" t="s">
        <v>11</v>
      </c>
      <c r="F487" s="600">
        <v>6346264</v>
      </c>
      <c r="G487" s="597" t="s">
        <v>1515</v>
      </c>
      <c r="H487" s="597"/>
      <c r="I487" s="597"/>
      <c r="J487" s="597"/>
      <c r="K487" s="597"/>
      <c r="L487" s="597"/>
      <c r="M487" s="597"/>
      <c r="N487" s="599"/>
    </row>
    <row r="488" spans="2:14">
      <c r="B488" s="582">
        <f t="shared" si="7"/>
        <v>478</v>
      </c>
      <c r="C488" s="619" t="s">
        <v>168</v>
      </c>
      <c r="D488" s="593"/>
      <c r="E488" s="594" t="s">
        <v>11</v>
      </c>
      <c r="F488" s="600">
        <v>10569338</v>
      </c>
      <c r="G488" s="597" t="s">
        <v>1515</v>
      </c>
      <c r="H488" s="597"/>
      <c r="I488" s="597"/>
      <c r="J488" s="597"/>
      <c r="K488" s="597"/>
      <c r="L488" s="597"/>
      <c r="M488" s="597"/>
      <c r="N488" s="599"/>
    </row>
    <row r="489" spans="2:14">
      <c r="B489" s="582">
        <f t="shared" si="7"/>
        <v>479</v>
      </c>
      <c r="C489" s="619" t="s">
        <v>170</v>
      </c>
      <c r="D489" s="593" t="s">
        <v>2010</v>
      </c>
      <c r="E489" s="594" t="s">
        <v>36</v>
      </c>
      <c r="F489" s="600">
        <v>3750704</v>
      </c>
      <c r="G489" s="597" t="s">
        <v>1515</v>
      </c>
      <c r="H489" s="597"/>
      <c r="I489" s="597"/>
      <c r="J489" s="597"/>
      <c r="K489" s="597"/>
      <c r="L489" s="597"/>
      <c r="M489" s="597"/>
      <c r="N489" s="599"/>
    </row>
    <row r="490" spans="2:14">
      <c r="B490" s="582">
        <f t="shared" si="7"/>
        <v>480</v>
      </c>
      <c r="C490" s="619" t="s">
        <v>172</v>
      </c>
      <c r="D490" s="593"/>
      <c r="E490" s="594" t="s">
        <v>11</v>
      </c>
      <c r="F490" s="600">
        <v>2720853</v>
      </c>
      <c r="G490" s="597" t="s">
        <v>1515</v>
      </c>
      <c r="H490" s="597"/>
      <c r="I490" s="597"/>
      <c r="J490" s="597"/>
      <c r="K490" s="597"/>
      <c r="L490" s="597"/>
      <c r="M490" s="597"/>
      <c r="N490" s="599"/>
    </row>
    <row r="491" spans="2:14" ht="29">
      <c r="B491" s="582">
        <f t="shared" si="7"/>
        <v>481</v>
      </c>
      <c r="C491" s="619" t="s">
        <v>174</v>
      </c>
      <c r="D491" s="593"/>
      <c r="E491" s="594" t="s">
        <v>11</v>
      </c>
      <c r="F491" s="600">
        <v>1132486</v>
      </c>
      <c r="G491" s="597" t="s">
        <v>1515</v>
      </c>
      <c r="H491" s="597"/>
      <c r="I491" s="597"/>
      <c r="J491" s="597"/>
      <c r="K491" s="597"/>
      <c r="L491" s="597"/>
      <c r="M491" s="597"/>
      <c r="N491" s="599"/>
    </row>
    <row r="492" spans="2:14" ht="29">
      <c r="B492" s="582">
        <f t="shared" si="7"/>
        <v>482</v>
      </c>
      <c r="C492" s="619" t="s">
        <v>176</v>
      </c>
      <c r="D492" s="593"/>
      <c r="E492" s="594" t="s">
        <v>11</v>
      </c>
      <c r="F492" s="600">
        <v>309991</v>
      </c>
      <c r="G492" s="597" t="s">
        <v>1515</v>
      </c>
      <c r="H492" s="597"/>
      <c r="I492" s="597"/>
      <c r="J492" s="597"/>
      <c r="K492" s="597"/>
      <c r="L492" s="597"/>
      <c r="M492" s="597"/>
      <c r="N492" s="599"/>
    </row>
    <row r="493" spans="2:14" ht="29">
      <c r="B493" s="582">
        <f t="shared" si="7"/>
        <v>483</v>
      </c>
      <c r="C493" s="619" t="s">
        <v>178</v>
      </c>
      <c r="D493" s="593"/>
      <c r="E493" s="594" t="s">
        <v>11</v>
      </c>
      <c r="F493" s="600">
        <v>2651860</v>
      </c>
      <c r="G493" s="597" t="s">
        <v>1515</v>
      </c>
      <c r="H493" s="597"/>
      <c r="I493" s="597"/>
      <c r="J493" s="597"/>
      <c r="K493" s="597"/>
      <c r="L493" s="597"/>
      <c r="M493" s="597"/>
      <c r="N493" s="599"/>
    </row>
    <row r="494" spans="2:14" ht="29">
      <c r="B494" s="582">
        <f t="shared" si="7"/>
        <v>484</v>
      </c>
      <c r="C494" s="619" t="s">
        <v>180</v>
      </c>
      <c r="D494" s="593"/>
      <c r="E494" s="594" t="s">
        <v>11</v>
      </c>
      <c r="F494" s="600">
        <v>3850393</v>
      </c>
      <c r="G494" s="597" t="s">
        <v>1515</v>
      </c>
      <c r="H494" s="597"/>
      <c r="I494" s="597"/>
      <c r="J494" s="597"/>
      <c r="K494" s="597"/>
      <c r="L494" s="597"/>
      <c r="M494" s="597"/>
      <c r="N494" s="599"/>
    </row>
    <row r="495" spans="2:14" ht="29">
      <c r="B495" s="582">
        <f t="shared" si="7"/>
        <v>485</v>
      </c>
      <c r="C495" s="619" t="s">
        <v>182</v>
      </c>
      <c r="D495" s="593"/>
      <c r="E495" s="594" t="s">
        <v>11</v>
      </c>
      <c r="F495" s="600">
        <v>5119119</v>
      </c>
      <c r="G495" s="597" t="s">
        <v>1515</v>
      </c>
      <c r="H495" s="597"/>
      <c r="I495" s="597"/>
      <c r="J495" s="597"/>
      <c r="K495" s="597"/>
      <c r="L495" s="597"/>
      <c r="M495" s="597"/>
      <c r="N495" s="599"/>
    </row>
    <row r="496" spans="2:14">
      <c r="B496" s="582">
        <f t="shared" si="7"/>
        <v>486</v>
      </c>
      <c r="C496" s="619" t="s">
        <v>184</v>
      </c>
      <c r="D496" s="593"/>
      <c r="E496" s="594" t="s">
        <v>11</v>
      </c>
      <c r="F496" s="600">
        <v>5768280</v>
      </c>
      <c r="G496" s="597" t="s">
        <v>1515</v>
      </c>
      <c r="H496" s="597"/>
      <c r="I496" s="597"/>
      <c r="J496" s="597"/>
      <c r="K496" s="597"/>
      <c r="L496" s="597"/>
      <c r="M496" s="597"/>
      <c r="N496" s="599"/>
    </row>
    <row r="497" spans="2:14">
      <c r="B497" s="582">
        <f t="shared" si="7"/>
        <v>487</v>
      </c>
      <c r="C497" s="619" t="s">
        <v>186</v>
      </c>
      <c r="D497" s="593"/>
      <c r="E497" s="594" t="s">
        <v>11</v>
      </c>
      <c r="F497" s="600">
        <v>1967901</v>
      </c>
      <c r="G497" s="597" t="s">
        <v>1515</v>
      </c>
      <c r="H497" s="597"/>
      <c r="I497" s="597"/>
      <c r="J497" s="597"/>
      <c r="K497" s="597"/>
      <c r="L497" s="597"/>
      <c r="M497" s="597"/>
      <c r="N497" s="599"/>
    </row>
    <row r="498" spans="2:14">
      <c r="B498" s="582">
        <f t="shared" si="7"/>
        <v>488</v>
      </c>
      <c r="C498" s="619" t="s">
        <v>188</v>
      </c>
      <c r="D498" s="593"/>
      <c r="E498" s="594" t="s">
        <v>11</v>
      </c>
      <c r="F498" s="600">
        <v>6683770</v>
      </c>
      <c r="G498" s="597" t="s">
        <v>1515</v>
      </c>
      <c r="H498" s="597"/>
      <c r="I498" s="597"/>
      <c r="J498" s="597"/>
      <c r="K498" s="597"/>
      <c r="L498" s="597"/>
      <c r="M498" s="597"/>
      <c r="N498" s="599"/>
    </row>
    <row r="499" spans="2:14">
      <c r="B499" s="582">
        <f t="shared" si="7"/>
        <v>489</v>
      </c>
      <c r="C499" s="619" t="s">
        <v>190</v>
      </c>
      <c r="D499" s="593"/>
      <c r="E499" s="594" t="s">
        <v>11</v>
      </c>
      <c r="F499" s="600">
        <v>388816</v>
      </c>
      <c r="G499" s="597" t="s">
        <v>1515</v>
      </c>
      <c r="H499" s="597"/>
      <c r="I499" s="597"/>
      <c r="J499" s="597"/>
      <c r="K499" s="597"/>
      <c r="L499" s="597"/>
      <c r="M499" s="597"/>
      <c r="N499" s="599"/>
    </row>
    <row r="500" spans="2:14">
      <c r="B500" s="582">
        <f t="shared" si="7"/>
        <v>490</v>
      </c>
      <c r="C500" s="619" t="s">
        <v>192</v>
      </c>
      <c r="D500" s="593"/>
      <c r="E500" s="594" t="s">
        <v>11</v>
      </c>
      <c r="F500" s="600">
        <v>2488318</v>
      </c>
      <c r="G500" s="597" t="s">
        <v>1515</v>
      </c>
      <c r="H500" s="597"/>
      <c r="I500" s="597"/>
      <c r="J500" s="597"/>
      <c r="K500" s="597"/>
      <c r="L500" s="597"/>
      <c r="M500" s="597"/>
      <c r="N500" s="599"/>
    </row>
    <row r="501" spans="2:14">
      <c r="B501" s="582">
        <f t="shared" si="7"/>
        <v>491</v>
      </c>
      <c r="C501" s="619" t="s">
        <v>194</v>
      </c>
      <c r="D501" s="593"/>
      <c r="E501" s="594" t="s">
        <v>11</v>
      </c>
      <c r="F501" s="600">
        <v>1187034</v>
      </c>
      <c r="G501" s="597" t="s">
        <v>1515</v>
      </c>
      <c r="H501" s="597"/>
      <c r="I501" s="597"/>
      <c r="J501" s="597"/>
      <c r="K501" s="597"/>
      <c r="L501" s="597"/>
      <c r="M501" s="597"/>
      <c r="N501" s="599"/>
    </row>
    <row r="502" spans="2:14">
      <c r="B502" s="582">
        <f t="shared" si="7"/>
        <v>492</v>
      </c>
      <c r="C502" s="619" t="s">
        <v>2017</v>
      </c>
      <c r="D502" s="593"/>
      <c r="G502" s="597" t="s">
        <v>1515</v>
      </c>
      <c r="H502" s="597"/>
      <c r="I502" s="597"/>
      <c r="J502" s="597"/>
      <c r="K502" s="597"/>
      <c r="L502" s="597"/>
      <c r="M502" s="597"/>
      <c r="N502" s="599"/>
    </row>
    <row r="503" spans="2:14" ht="29">
      <c r="B503" s="582">
        <f t="shared" si="7"/>
        <v>493</v>
      </c>
      <c r="C503" s="619" t="s">
        <v>196</v>
      </c>
      <c r="D503" s="593"/>
      <c r="E503" s="594" t="s">
        <v>11</v>
      </c>
      <c r="F503" s="600">
        <v>52064</v>
      </c>
      <c r="G503" s="597" t="s">
        <v>1515</v>
      </c>
      <c r="H503" s="597"/>
      <c r="I503" s="597"/>
      <c r="J503" s="597"/>
      <c r="K503" s="597"/>
      <c r="L503" s="597"/>
      <c r="M503" s="597"/>
      <c r="N503" s="599"/>
    </row>
    <row r="504" spans="2:14">
      <c r="B504" s="582">
        <f t="shared" si="7"/>
        <v>494</v>
      </c>
      <c r="C504" s="619" t="s">
        <v>198</v>
      </c>
      <c r="D504" s="593"/>
      <c r="E504" s="594" t="s">
        <v>11</v>
      </c>
      <c r="F504" s="600">
        <v>2235655</v>
      </c>
      <c r="G504" s="597" t="s">
        <v>1515</v>
      </c>
      <c r="H504" s="597"/>
      <c r="I504" s="597"/>
      <c r="J504" s="597"/>
      <c r="K504" s="597"/>
      <c r="L504" s="597"/>
      <c r="M504" s="597"/>
      <c r="N504" s="599"/>
    </row>
    <row r="505" spans="2:14">
      <c r="B505" s="582">
        <f t="shared" si="7"/>
        <v>495</v>
      </c>
      <c r="C505" s="619" t="s">
        <v>201</v>
      </c>
      <c r="D505" s="593"/>
      <c r="E505" s="594" t="s">
        <v>11</v>
      </c>
      <c r="F505" s="600">
        <v>1825369</v>
      </c>
      <c r="G505" s="597" t="s">
        <v>1515</v>
      </c>
      <c r="H505" s="597"/>
      <c r="I505" s="597"/>
      <c r="J505" s="597"/>
      <c r="K505" s="597"/>
      <c r="L505" s="597"/>
      <c r="M505" s="597"/>
      <c r="N505" s="599"/>
    </row>
    <row r="506" spans="2:14">
      <c r="B506" s="582">
        <f t="shared" si="7"/>
        <v>496</v>
      </c>
      <c r="C506" s="619" t="s">
        <v>203</v>
      </c>
      <c r="D506" s="593"/>
      <c r="E506" s="594" t="s">
        <v>11</v>
      </c>
      <c r="F506" s="600">
        <v>1938353</v>
      </c>
      <c r="G506" s="597" t="s">
        <v>1515</v>
      </c>
      <c r="H506" s="597"/>
      <c r="I506" s="597"/>
      <c r="J506" s="597"/>
      <c r="K506" s="597"/>
      <c r="L506" s="597"/>
      <c r="M506" s="597"/>
      <c r="N506" s="599"/>
    </row>
    <row r="507" spans="2:14">
      <c r="B507" s="582">
        <f t="shared" si="7"/>
        <v>497</v>
      </c>
      <c r="C507" s="619" t="s">
        <v>205</v>
      </c>
      <c r="D507" s="593"/>
      <c r="E507" s="594" t="s">
        <v>11</v>
      </c>
      <c r="F507" s="600">
        <v>3217192</v>
      </c>
      <c r="G507" s="597" t="s">
        <v>1515</v>
      </c>
      <c r="H507" s="597"/>
      <c r="I507" s="597"/>
      <c r="J507" s="597"/>
      <c r="K507" s="597"/>
      <c r="L507" s="597"/>
      <c r="M507" s="597"/>
      <c r="N507" s="599"/>
    </row>
    <row r="508" spans="2:14" ht="29">
      <c r="B508" s="582">
        <f t="shared" si="7"/>
        <v>498</v>
      </c>
      <c r="C508" s="619" t="s">
        <v>207</v>
      </c>
      <c r="D508" s="593"/>
      <c r="E508" s="594" t="s">
        <v>11</v>
      </c>
      <c r="F508" s="600">
        <v>277897</v>
      </c>
      <c r="G508" s="597" t="s">
        <v>1515</v>
      </c>
      <c r="H508" s="597"/>
      <c r="I508" s="597"/>
      <c r="J508" s="597"/>
      <c r="K508" s="597"/>
      <c r="L508" s="597"/>
      <c r="M508" s="597"/>
      <c r="N508" s="599"/>
    </row>
    <row r="509" spans="2:14">
      <c r="B509" s="582">
        <f t="shared" si="7"/>
        <v>499</v>
      </c>
      <c r="C509" s="619" t="s">
        <v>209</v>
      </c>
      <c r="D509" s="593"/>
      <c r="E509" s="594" t="s">
        <v>11</v>
      </c>
      <c r="F509" s="600">
        <v>6743203</v>
      </c>
      <c r="G509" s="597" t="s">
        <v>1515</v>
      </c>
      <c r="H509" s="597"/>
      <c r="I509" s="597"/>
      <c r="J509" s="597"/>
      <c r="K509" s="597"/>
      <c r="L509" s="597"/>
      <c r="M509" s="597"/>
      <c r="N509" s="599"/>
    </row>
    <row r="510" spans="2:14">
      <c r="B510" s="582">
        <f t="shared" si="7"/>
        <v>500</v>
      </c>
      <c r="C510" s="619" t="s">
        <v>211</v>
      </c>
      <c r="D510" s="593" t="s">
        <v>2016</v>
      </c>
      <c r="E510" s="594" t="s">
        <v>36</v>
      </c>
      <c r="F510" s="600">
        <v>1084858</v>
      </c>
      <c r="G510" s="597" t="s">
        <v>1515</v>
      </c>
      <c r="H510" s="597" t="s">
        <v>1515</v>
      </c>
      <c r="I510" s="597"/>
      <c r="J510" s="597"/>
      <c r="K510" s="597"/>
      <c r="L510" s="597"/>
      <c r="M510" s="597"/>
      <c r="N510" s="599"/>
    </row>
    <row r="511" spans="2:14">
      <c r="B511" s="582">
        <f t="shared" si="7"/>
        <v>501</v>
      </c>
      <c r="C511" s="619" t="s">
        <v>213</v>
      </c>
      <c r="D511" s="593"/>
      <c r="E511" s="594" t="s">
        <v>11</v>
      </c>
      <c r="F511" s="600">
        <v>3485236</v>
      </c>
      <c r="G511" s="597" t="s">
        <v>1515</v>
      </c>
      <c r="H511" s="597"/>
      <c r="I511" s="597"/>
      <c r="J511" s="597"/>
      <c r="K511" s="597"/>
      <c r="L511" s="597"/>
      <c r="M511" s="597"/>
      <c r="N511" s="599"/>
    </row>
    <row r="512" spans="2:14">
      <c r="B512" s="582">
        <f t="shared" si="7"/>
        <v>502</v>
      </c>
      <c r="C512" s="619" t="s">
        <v>215</v>
      </c>
      <c r="D512" s="593"/>
      <c r="E512" s="594" t="s">
        <v>11</v>
      </c>
      <c r="F512" s="600">
        <v>1527895</v>
      </c>
      <c r="G512" s="597" t="s">
        <v>1515</v>
      </c>
      <c r="H512" s="597"/>
      <c r="I512" s="597"/>
      <c r="J512" s="597"/>
      <c r="K512" s="597"/>
      <c r="L512" s="597"/>
      <c r="M512" s="597"/>
      <c r="N512" s="599"/>
    </row>
    <row r="513" spans="1:14">
      <c r="B513" s="582">
        <f t="shared" si="7"/>
        <v>503</v>
      </c>
      <c r="C513" s="619" t="s">
        <v>2018</v>
      </c>
      <c r="D513" s="593" t="s">
        <v>2013</v>
      </c>
      <c r="E513" s="594" t="s">
        <v>36</v>
      </c>
      <c r="F513" s="600">
        <v>4497482</v>
      </c>
      <c r="G513" s="597" t="s">
        <v>1515</v>
      </c>
      <c r="H513" s="597"/>
      <c r="I513" s="597"/>
      <c r="J513" s="597"/>
      <c r="K513" s="597"/>
      <c r="L513" s="597"/>
      <c r="M513" s="597"/>
      <c r="N513" s="599"/>
    </row>
    <row r="514" spans="1:14" ht="43.5">
      <c r="B514" s="582">
        <f t="shared" si="7"/>
        <v>504</v>
      </c>
      <c r="C514" s="619" t="s">
        <v>219</v>
      </c>
      <c r="D514" s="593"/>
      <c r="E514" s="594" t="s">
        <v>11</v>
      </c>
      <c r="F514" s="600">
        <v>312931</v>
      </c>
      <c r="G514" s="597" t="s">
        <v>1515</v>
      </c>
      <c r="H514" s="597"/>
      <c r="I514" s="597"/>
      <c r="J514" s="597"/>
      <c r="K514" s="597"/>
      <c r="L514" s="597"/>
      <c r="M514" s="597"/>
      <c r="N514" s="599"/>
    </row>
    <row r="515" spans="1:14" ht="29">
      <c r="B515" s="582">
        <f t="shared" si="7"/>
        <v>505</v>
      </c>
      <c r="C515" s="619" t="s">
        <v>221</v>
      </c>
      <c r="D515" s="593"/>
      <c r="E515" s="594" t="s">
        <v>11</v>
      </c>
      <c r="F515" s="600">
        <v>7381220</v>
      </c>
      <c r="G515" s="597" t="s">
        <v>1515</v>
      </c>
      <c r="H515" s="597"/>
      <c r="I515" s="597"/>
      <c r="J515" s="597"/>
      <c r="K515" s="597"/>
      <c r="L515" s="597"/>
      <c r="M515" s="597"/>
      <c r="N515" s="599"/>
    </row>
    <row r="516" spans="1:14">
      <c r="B516" s="582">
        <f t="shared" si="7"/>
        <v>506</v>
      </c>
      <c r="C516" s="619" t="s">
        <v>223</v>
      </c>
      <c r="D516" s="593"/>
      <c r="E516" s="594" t="s">
        <v>11</v>
      </c>
      <c r="F516" s="600">
        <v>26679769</v>
      </c>
      <c r="G516" s="597" t="s">
        <v>1515</v>
      </c>
      <c r="H516" s="597"/>
      <c r="I516" s="597"/>
      <c r="J516" s="597"/>
      <c r="K516" s="597"/>
      <c r="L516" s="597"/>
      <c r="M516" s="597"/>
      <c r="N516" s="599"/>
    </row>
    <row r="517" spans="1:14">
      <c r="B517" s="582">
        <f t="shared" si="7"/>
        <v>507</v>
      </c>
      <c r="C517" s="619" t="s">
        <v>224</v>
      </c>
      <c r="D517" s="593"/>
      <c r="E517" s="594" t="s">
        <v>11</v>
      </c>
      <c r="F517" s="600">
        <v>992709</v>
      </c>
      <c r="G517" s="597" t="s">
        <v>1515</v>
      </c>
      <c r="H517" s="597"/>
      <c r="I517" s="597"/>
      <c r="J517" s="597"/>
      <c r="K517" s="597"/>
      <c r="L517" s="597"/>
      <c r="M517" s="597"/>
      <c r="N517" s="599"/>
    </row>
    <row r="518" spans="1:14">
      <c r="B518" s="582">
        <f t="shared" si="7"/>
        <v>508</v>
      </c>
      <c r="C518" s="619" t="s">
        <v>226</v>
      </c>
      <c r="D518" s="593"/>
      <c r="E518" s="594" t="s">
        <v>11</v>
      </c>
      <c r="F518" s="600">
        <v>17608556</v>
      </c>
      <c r="G518" s="597" t="s">
        <v>1515</v>
      </c>
      <c r="H518" s="597"/>
      <c r="I518" s="597"/>
      <c r="J518" s="597"/>
      <c r="K518" s="597"/>
      <c r="L518" s="597"/>
      <c r="M518" s="597"/>
      <c r="N518" s="599"/>
    </row>
    <row r="519" spans="1:14">
      <c r="B519" s="582">
        <f t="shared" ref="B519:B582" si="8">B518+1</f>
        <v>509</v>
      </c>
      <c r="C519" s="619" t="s">
        <v>228</v>
      </c>
      <c r="D519" s="593"/>
      <c r="E519" s="594" t="s">
        <v>11</v>
      </c>
      <c r="F519" s="600">
        <v>2783582</v>
      </c>
      <c r="G519" s="597" t="s">
        <v>1515</v>
      </c>
      <c r="H519" s="597"/>
      <c r="I519" s="597"/>
      <c r="J519" s="597"/>
      <c r="K519" s="597"/>
      <c r="L519" s="597"/>
      <c r="M519" s="597"/>
      <c r="N519" s="599"/>
    </row>
    <row r="520" spans="1:14">
      <c r="B520" s="582">
        <f t="shared" si="8"/>
        <v>510</v>
      </c>
      <c r="C520" s="619" t="s">
        <v>230</v>
      </c>
      <c r="D520" s="593"/>
      <c r="E520" s="594" t="s">
        <v>11</v>
      </c>
      <c r="F520" s="600">
        <v>4629316</v>
      </c>
      <c r="G520" s="597" t="s">
        <v>1515</v>
      </c>
      <c r="H520" s="597"/>
      <c r="I520" s="597"/>
      <c r="J520" s="597"/>
      <c r="K520" s="597"/>
      <c r="L520" s="597"/>
      <c r="M520" s="597"/>
      <c r="N520" s="599"/>
    </row>
    <row r="521" spans="1:14">
      <c r="B521" s="582">
        <f t="shared" si="8"/>
        <v>511</v>
      </c>
      <c r="C521" s="619" t="s">
        <v>232</v>
      </c>
      <c r="D521" s="593" t="s">
        <v>2010</v>
      </c>
      <c r="E521" s="594" t="s">
        <v>36</v>
      </c>
      <c r="F521" s="600">
        <v>2265163</v>
      </c>
      <c r="G521" s="597" t="s">
        <v>1515</v>
      </c>
      <c r="H521" s="597"/>
      <c r="I521" s="597"/>
      <c r="J521" s="597"/>
      <c r="K521" s="597"/>
      <c r="L521" s="597"/>
      <c r="M521" s="597"/>
      <c r="N521" s="599"/>
    </row>
    <row r="522" spans="1:14" ht="29">
      <c r="B522" s="582">
        <f t="shared" si="8"/>
        <v>512</v>
      </c>
      <c r="C522" s="619" t="s">
        <v>2019</v>
      </c>
      <c r="D522" s="593" t="s">
        <v>2374</v>
      </c>
      <c r="E522" s="594" t="s">
        <v>36</v>
      </c>
      <c r="F522" s="600">
        <v>0</v>
      </c>
      <c r="G522" s="597" t="s">
        <v>1515</v>
      </c>
      <c r="H522" s="597"/>
      <c r="I522" s="597"/>
      <c r="J522" s="597"/>
      <c r="K522" s="597"/>
      <c r="L522" s="597"/>
      <c r="M522" s="597"/>
      <c r="N522" s="599"/>
    </row>
    <row r="523" spans="1:14">
      <c r="B523" s="582">
        <f t="shared" si="8"/>
        <v>513</v>
      </c>
      <c r="C523" s="619"/>
      <c r="D523" s="593"/>
      <c r="G523" s="597"/>
      <c r="H523" s="597"/>
      <c r="I523" s="597"/>
      <c r="J523" s="597"/>
      <c r="K523" s="597"/>
      <c r="L523" s="597"/>
      <c r="M523" s="597"/>
      <c r="N523" s="599"/>
    </row>
    <row r="524" spans="1:14">
      <c r="B524" s="582">
        <f t="shared" si="8"/>
        <v>514</v>
      </c>
      <c r="C524" s="618" t="s">
        <v>2020</v>
      </c>
      <c r="D524" s="593"/>
      <c r="G524" s="597"/>
      <c r="H524" s="597"/>
      <c r="I524" s="597"/>
      <c r="J524" s="597"/>
      <c r="K524" s="597"/>
      <c r="L524" s="597"/>
      <c r="M524" s="597"/>
      <c r="N524" s="599"/>
    </row>
    <row r="525" spans="1:14">
      <c r="A525" s="562" t="s">
        <v>467</v>
      </c>
      <c r="B525" s="582">
        <f t="shared" si="8"/>
        <v>515</v>
      </c>
      <c r="C525" s="592" t="s">
        <v>2021</v>
      </c>
      <c r="D525" s="593" t="s">
        <v>2022</v>
      </c>
      <c r="E525" s="594" t="s">
        <v>11</v>
      </c>
      <c r="F525" s="600">
        <v>1286118</v>
      </c>
      <c r="G525" s="597" t="s">
        <v>1515</v>
      </c>
      <c r="H525" s="597"/>
      <c r="I525" s="597"/>
      <c r="J525" s="597"/>
      <c r="K525" s="597"/>
      <c r="L525" s="597"/>
      <c r="M525" s="597"/>
      <c r="N525" s="599"/>
    </row>
    <row r="526" spans="1:14">
      <c r="A526" s="562" t="s">
        <v>469</v>
      </c>
      <c r="B526" s="582">
        <f t="shared" si="8"/>
        <v>516</v>
      </c>
      <c r="C526" s="592" t="s">
        <v>2023</v>
      </c>
      <c r="D526" s="593" t="s">
        <v>2024</v>
      </c>
      <c r="E526" s="594" t="s">
        <v>11</v>
      </c>
      <c r="F526" s="600">
        <v>810134</v>
      </c>
      <c r="G526" s="597" t="s">
        <v>1515</v>
      </c>
      <c r="H526" s="597"/>
      <c r="I526" s="597"/>
      <c r="J526" s="597"/>
      <c r="K526" s="597"/>
      <c r="L526" s="597"/>
      <c r="M526" s="597"/>
      <c r="N526" s="599"/>
    </row>
    <row r="527" spans="1:14">
      <c r="A527" s="562" t="s">
        <v>489</v>
      </c>
      <c r="B527" s="582">
        <f t="shared" si="8"/>
        <v>517</v>
      </c>
      <c r="C527" s="592" t="s">
        <v>2025</v>
      </c>
      <c r="D527" s="593" t="s">
        <v>2026</v>
      </c>
      <c r="E527" s="594" t="s">
        <v>11</v>
      </c>
      <c r="F527" s="600">
        <v>180660</v>
      </c>
      <c r="G527" s="597" t="s">
        <v>1515</v>
      </c>
      <c r="H527" s="597"/>
      <c r="I527" s="597"/>
      <c r="J527" s="597"/>
      <c r="K527" s="597"/>
      <c r="L527" s="597"/>
      <c r="M527" s="597"/>
      <c r="N527" s="599"/>
    </row>
    <row r="528" spans="1:14">
      <c r="A528" s="562" t="s">
        <v>491</v>
      </c>
      <c r="B528" s="582">
        <f t="shared" si="8"/>
        <v>518</v>
      </c>
      <c r="C528" s="592" t="s">
        <v>2027</v>
      </c>
      <c r="D528" s="593" t="s">
        <v>1661</v>
      </c>
      <c r="E528" s="594" t="s">
        <v>11</v>
      </c>
      <c r="F528" s="600">
        <v>851881</v>
      </c>
      <c r="G528" s="597" t="s">
        <v>1515</v>
      </c>
      <c r="H528" s="597"/>
      <c r="I528" s="597"/>
      <c r="J528" s="597"/>
      <c r="K528" s="597"/>
      <c r="L528" s="597"/>
      <c r="M528" s="597"/>
      <c r="N528" s="599"/>
    </row>
    <row r="529" spans="1:14">
      <c r="A529" s="562" t="s">
        <v>493</v>
      </c>
      <c r="B529" s="582">
        <f t="shared" si="8"/>
        <v>519</v>
      </c>
      <c r="C529" s="592" t="s">
        <v>2028</v>
      </c>
      <c r="D529" s="593" t="s">
        <v>2029</v>
      </c>
      <c r="E529" s="594" t="s">
        <v>11</v>
      </c>
      <c r="F529" s="600">
        <v>951783</v>
      </c>
      <c r="G529" s="597" t="s">
        <v>1515</v>
      </c>
      <c r="H529" s="597"/>
      <c r="I529" s="597"/>
      <c r="J529" s="597"/>
      <c r="K529" s="597"/>
      <c r="L529" s="597"/>
      <c r="M529" s="597"/>
      <c r="N529" s="599"/>
    </row>
    <row r="530" spans="1:14">
      <c r="A530" s="562" t="s">
        <v>495</v>
      </c>
      <c r="B530" s="582">
        <f t="shared" si="8"/>
        <v>520</v>
      </c>
      <c r="C530" s="592" t="s">
        <v>2030</v>
      </c>
      <c r="D530" s="593" t="s">
        <v>2031</v>
      </c>
      <c r="E530" s="594" t="s">
        <v>11</v>
      </c>
      <c r="F530" s="600">
        <v>22102</v>
      </c>
      <c r="G530" s="597" t="s">
        <v>1515</v>
      </c>
      <c r="H530" s="597"/>
      <c r="I530" s="597"/>
      <c r="J530" s="597"/>
      <c r="K530" s="597"/>
      <c r="L530" s="597"/>
      <c r="M530" s="597"/>
      <c r="N530" s="599"/>
    </row>
    <row r="531" spans="1:14">
      <c r="A531" s="562" t="s">
        <v>499</v>
      </c>
      <c r="B531" s="582">
        <f t="shared" si="8"/>
        <v>521</v>
      </c>
      <c r="C531" s="592" t="s">
        <v>2032</v>
      </c>
      <c r="D531" s="593" t="s">
        <v>2033</v>
      </c>
      <c r="E531" s="594" t="s">
        <v>11</v>
      </c>
      <c r="F531" s="600">
        <v>336089</v>
      </c>
      <c r="G531" s="597" t="s">
        <v>1515</v>
      </c>
      <c r="H531" s="597"/>
      <c r="I531" s="597"/>
      <c r="J531" s="597"/>
      <c r="K531" s="597"/>
      <c r="L531" s="597"/>
      <c r="M531" s="597"/>
      <c r="N531" s="599"/>
    </row>
    <row r="532" spans="1:14">
      <c r="A532" s="562" t="s">
        <v>501</v>
      </c>
      <c r="B532" s="582">
        <f t="shared" si="8"/>
        <v>522</v>
      </c>
      <c r="C532" s="592" t="s">
        <v>2034</v>
      </c>
      <c r="D532" s="593" t="s">
        <v>2035</v>
      </c>
      <c r="E532" s="594" t="s">
        <v>36</v>
      </c>
      <c r="F532" s="600">
        <v>166306</v>
      </c>
      <c r="G532" s="597" t="s">
        <v>1515</v>
      </c>
      <c r="H532" s="597" t="s">
        <v>1515</v>
      </c>
      <c r="I532" s="597"/>
      <c r="J532" s="597"/>
      <c r="K532" s="597"/>
      <c r="L532" s="597"/>
      <c r="M532" s="597"/>
      <c r="N532" s="599" t="s">
        <v>2036</v>
      </c>
    </row>
    <row r="533" spans="1:14">
      <c r="A533" s="562" t="s">
        <v>503</v>
      </c>
      <c r="B533" s="582">
        <f t="shared" si="8"/>
        <v>523</v>
      </c>
      <c r="C533" s="592" t="s">
        <v>2037</v>
      </c>
      <c r="D533" s="593" t="s">
        <v>1613</v>
      </c>
      <c r="E533" s="594" t="s">
        <v>11</v>
      </c>
      <c r="F533" s="600">
        <v>232375</v>
      </c>
      <c r="G533" s="597" t="s">
        <v>1515</v>
      </c>
      <c r="H533" s="597"/>
      <c r="I533" s="597"/>
      <c r="J533" s="597"/>
      <c r="K533" s="597"/>
      <c r="L533" s="597"/>
      <c r="M533" s="597"/>
      <c r="N533" s="599"/>
    </row>
    <row r="534" spans="1:14">
      <c r="B534" s="582">
        <f t="shared" si="8"/>
        <v>524</v>
      </c>
      <c r="D534" s="593"/>
      <c r="G534" s="597"/>
      <c r="H534" s="597"/>
      <c r="I534" s="597"/>
      <c r="J534" s="597"/>
      <c r="K534" s="597"/>
      <c r="L534" s="597"/>
      <c r="M534" s="597"/>
      <c r="N534" s="599"/>
    </row>
    <row r="535" spans="1:14" ht="29">
      <c r="B535" s="582">
        <f t="shared" si="8"/>
        <v>525</v>
      </c>
      <c r="C535" s="583" t="s">
        <v>2038</v>
      </c>
      <c r="D535" s="593"/>
      <c r="G535" s="597"/>
      <c r="H535" s="597"/>
      <c r="I535" s="597"/>
      <c r="J535" s="597"/>
      <c r="K535" s="597"/>
      <c r="L535" s="597"/>
      <c r="M535" s="597"/>
      <c r="N535" s="599"/>
    </row>
    <row r="536" spans="1:14">
      <c r="B536" s="582">
        <f t="shared" si="8"/>
        <v>526</v>
      </c>
      <c r="C536" s="592" t="s">
        <v>513</v>
      </c>
      <c r="D536" s="593"/>
      <c r="E536" s="594" t="s">
        <v>11</v>
      </c>
      <c r="F536" s="600">
        <v>3488667</v>
      </c>
      <c r="G536" s="597"/>
      <c r="H536" s="597"/>
      <c r="I536" s="597"/>
      <c r="J536" s="597" t="s">
        <v>1515</v>
      </c>
      <c r="K536" s="597"/>
      <c r="L536" s="597"/>
      <c r="M536" s="597"/>
      <c r="N536" s="599"/>
    </row>
    <row r="537" spans="1:14">
      <c r="B537" s="582">
        <f t="shared" si="8"/>
        <v>527</v>
      </c>
      <c r="C537" s="592" t="s">
        <v>515</v>
      </c>
      <c r="D537" s="593"/>
      <c r="E537" s="594" t="s">
        <v>11</v>
      </c>
      <c r="F537" s="600">
        <v>9536492</v>
      </c>
      <c r="G537" s="597"/>
      <c r="H537" s="597"/>
      <c r="I537" s="597"/>
      <c r="J537" s="597" t="s">
        <v>1515</v>
      </c>
      <c r="K537" s="597"/>
      <c r="L537" s="597"/>
      <c r="M537" s="597"/>
      <c r="N537" s="599"/>
    </row>
    <row r="538" spans="1:14">
      <c r="B538" s="582">
        <f t="shared" si="8"/>
        <v>528</v>
      </c>
      <c r="C538" s="592" t="s">
        <v>517</v>
      </c>
      <c r="D538" s="593"/>
      <c r="E538" s="594" t="s">
        <v>11</v>
      </c>
      <c r="F538" s="600">
        <v>3934438</v>
      </c>
      <c r="G538" s="597"/>
      <c r="H538" s="597"/>
      <c r="I538" s="597"/>
      <c r="J538" s="597" t="s">
        <v>1515</v>
      </c>
      <c r="K538" s="597"/>
      <c r="L538" s="597"/>
      <c r="M538" s="597"/>
      <c r="N538" s="599"/>
    </row>
    <row r="539" spans="1:14">
      <c r="B539" s="582">
        <f t="shared" si="8"/>
        <v>529</v>
      </c>
      <c r="C539" s="592" t="s">
        <v>519</v>
      </c>
      <c r="D539" s="593"/>
      <c r="E539" s="594" t="s">
        <v>11</v>
      </c>
      <c r="F539" s="600">
        <v>3852064</v>
      </c>
      <c r="G539" s="597"/>
      <c r="H539" s="597"/>
      <c r="I539" s="597"/>
      <c r="J539" s="597" t="s">
        <v>1515</v>
      </c>
      <c r="K539" s="597"/>
      <c r="L539" s="597"/>
      <c r="M539" s="597"/>
      <c r="N539" s="599"/>
    </row>
    <row r="540" spans="1:14" ht="29">
      <c r="B540" s="582">
        <f t="shared" si="8"/>
        <v>530</v>
      </c>
      <c r="C540" s="592" t="s">
        <v>521</v>
      </c>
      <c r="D540" s="593"/>
      <c r="E540" s="594" t="s">
        <v>11</v>
      </c>
      <c r="F540" s="600">
        <v>2040287</v>
      </c>
      <c r="G540" s="597"/>
      <c r="H540" s="597"/>
      <c r="I540" s="597"/>
      <c r="J540" s="597" t="s">
        <v>1515</v>
      </c>
      <c r="K540" s="597"/>
      <c r="L540" s="597"/>
      <c r="M540" s="597"/>
      <c r="N540" s="599"/>
    </row>
    <row r="541" spans="1:14">
      <c r="B541" s="582">
        <f t="shared" si="8"/>
        <v>531</v>
      </c>
      <c r="C541" s="592" t="s">
        <v>523</v>
      </c>
      <c r="D541" s="593"/>
      <c r="E541" s="594" t="s">
        <v>11</v>
      </c>
      <c r="F541" s="600">
        <v>794673</v>
      </c>
      <c r="G541" s="597"/>
      <c r="H541" s="597"/>
      <c r="I541" s="597"/>
      <c r="J541" s="597" t="s">
        <v>1515</v>
      </c>
      <c r="K541" s="597"/>
      <c r="L541" s="597"/>
      <c r="M541" s="597"/>
      <c r="N541" s="599"/>
    </row>
    <row r="542" spans="1:14">
      <c r="B542" s="582">
        <f t="shared" si="8"/>
        <v>532</v>
      </c>
      <c r="C542" s="592" t="s">
        <v>525</v>
      </c>
      <c r="D542" s="593"/>
      <c r="E542" s="594" t="s">
        <v>11</v>
      </c>
      <c r="F542" s="600">
        <v>5626463</v>
      </c>
      <c r="G542" s="597"/>
      <c r="H542" s="597"/>
      <c r="I542" s="597"/>
      <c r="J542" s="597" t="s">
        <v>1515</v>
      </c>
      <c r="K542" s="597"/>
      <c r="L542" s="597"/>
      <c r="M542" s="597"/>
      <c r="N542" s="599"/>
    </row>
    <row r="543" spans="1:14">
      <c r="B543" s="582">
        <f t="shared" si="8"/>
        <v>533</v>
      </c>
      <c r="C543" s="592" t="s">
        <v>527</v>
      </c>
      <c r="D543" s="593"/>
      <c r="E543" s="594" t="s">
        <v>11</v>
      </c>
      <c r="F543" s="600">
        <v>315000</v>
      </c>
      <c r="G543" s="597"/>
      <c r="H543" s="597"/>
      <c r="I543" s="597"/>
      <c r="J543" s="597" t="s">
        <v>1515</v>
      </c>
      <c r="K543" s="597"/>
      <c r="L543" s="597"/>
      <c r="M543" s="597"/>
      <c r="N543" s="599"/>
    </row>
    <row r="544" spans="1:14">
      <c r="B544" s="582">
        <f t="shared" si="8"/>
        <v>534</v>
      </c>
      <c r="C544" s="592" t="s">
        <v>529</v>
      </c>
      <c r="D544" s="593"/>
      <c r="E544" s="594" t="s">
        <v>36</v>
      </c>
      <c r="F544" s="600">
        <v>249377</v>
      </c>
      <c r="G544" s="597"/>
      <c r="H544" s="597"/>
      <c r="I544" s="597"/>
      <c r="J544" s="597" t="s">
        <v>1515</v>
      </c>
      <c r="K544" s="597"/>
      <c r="L544" s="597"/>
      <c r="M544" s="597"/>
      <c r="N544" s="599"/>
    </row>
    <row r="545" spans="2:14">
      <c r="B545" s="582">
        <f t="shared" si="8"/>
        <v>535</v>
      </c>
      <c r="C545" s="592" t="s">
        <v>531</v>
      </c>
      <c r="D545" s="593"/>
      <c r="E545" s="594" t="s">
        <v>11</v>
      </c>
      <c r="F545" s="600">
        <v>2512836</v>
      </c>
      <c r="G545" s="597"/>
      <c r="H545" s="597"/>
      <c r="I545" s="597"/>
      <c r="J545" s="597" t="s">
        <v>1515</v>
      </c>
      <c r="K545" s="597"/>
      <c r="L545" s="597"/>
      <c r="M545" s="597"/>
      <c r="N545" s="599"/>
    </row>
    <row r="546" spans="2:14">
      <c r="B546" s="582">
        <f t="shared" si="8"/>
        <v>536</v>
      </c>
      <c r="C546" s="592" t="s">
        <v>533</v>
      </c>
      <c r="D546" s="593"/>
      <c r="E546" s="594" t="s">
        <v>11</v>
      </c>
      <c r="F546" s="600">
        <v>3841398</v>
      </c>
      <c r="G546" s="597"/>
      <c r="H546" s="597"/>
      <c r="I546" s="597"/>
      <c r="J546" s="597" t="s">
        <v>1515</v>
      </c>
      <c r="K546" s="597"/>
      <c r="L546" s="597"/>
      <c r="M546" s="597"/>
      <c r="N546" s="599"/>
    </row>
    <row r="547" spans="2:14">
      <c r="B547" s="582">
        <f t="shared" si="8"/>
        <v>537</v>
      </c>
      <c r="C547" s="592" t="s">
        <v>535</v>
      </c>
      <c r="D547" s="593"/>
      <c r="E547" s="594" t="s">
        <v>36</v>
      </c>
      <c r="F547" s="600">
        <v>21817</v>
      </c>
      <c r="G547" s="597"/>
      <c r="H547" s="597"/>
      <c r="I547" s="597"/>
      <c r="J547" s="597" t="s">
        <v>1515</v>
      </c>
      <c r="K547" s="597"/>
      <c r="L547" s="597"/>
      <c r="M547" s="597"/>
      <c r="N547" s="599"/>
    </row>
    <row r="548" spans="2:14">
      <c r="B548" s="582">
        <f t="shared" si="8"/>
        <v>538</v>
      </c>
      <c r="C548" s="592" t="s">
        <v>535</v>
      </c>
      <c r="D548" s="593"/>
      <c r="E548" s="594" t="s">
        <v>36</v>
      </c>
      <c r="F548" s="600">
        <v>1003437</v>
      </c>
      <c r="G548" s="597"/>
      <c r="H548" s="597"/>
      <c r="I548" s="597"/>
      <c r="J548" s="597" t="s">
        <v>1515</v>
      </c>
      <c r="K548" s="597"/>
      <c r="L548" s="597"/>
      <c r="M548" s="597"/>
      <c r="N548" s="599"/>
    </row>
    <row r="549" spans="2:14">
      <c r="B549" s="582">
        <f t="shared" si="8"/>
        <v>539</v>
      </c>
      <c r="C549" s="592" t="s">
        <v>537</v>
      </c>
      <c r="D549" s="593"/>
      <c r="E549" s="594" t="s">
        <v>11</v>
      </c>
      <c r="F549" s="600">
        <v>96884</v>
      </c>
      <c r="G549" s="597"/>
      <c r="H549" s="597"/>
      <c r="I549" s="597"/>
      <c r="J549" s="597" t="s">
        <v>1515</v>
      </c>
      <c r="K549" s="597"/>
      <c r="L549" s="597"/>
      <c r="M549" s="597"/>
      <c r="N549" s="599"/>
    </row>
    <row r="550" spans="2:14">
      <c r="B550" s="582">
        <f t="shared" si="8"/>
        <v>540</v>
      </c>
      <c r="C550" s="592" t="s">
        <v>539</v>
      </c>
      <c r="D550" s="593"/>
      <c r="E550" s="594" t="s">
        <v>11</v>
      </c>
      <c r="F550" s="600">
        <v>1701681</v>
      </c>
      <c r="G550" s="597"/>
      <c r="H550" s="597"/>
      <c r="I550" s="597"/>
      <c r="J550" s="597" t="s">
        <v>1515</v>
      </c>
      <c r="K550" s="597"/>
      <c r="L550" s="597"/>
      <c r="M550" s="597"/>
      <c r="N550" s="599"/>
    </row>
    <row r="551" spans="2:14">
      <c r="B551" s="582">
        <f t="shared" si="8"/>
        <v>541</v>
      </c>
      <c r="C551" s="592" t="s">
        <v>541</v>
      </c>
      <c r="D551" s="593"/>
      <c r="E551" s="594" t="s">
        <v>11</v>
      </c>
      <c r="F551" s="600">
        <v>1051383</v>
      </c>
      <c r="G551" s="597"/>
      <c r="H551" s="597"/>
      <c r="I551" s="597"/>
      <c r="J551" s="597" t="s">
        <v>1515</v>
      </c>
      <c r="K551" s="597"/>
      <c r="L551" s="597"/>
      <c r="M551" s="597"/>
      <c r="N551" s="599"/>
    </row>
    <row r="552" spans="2:14">
      <c r="B552" s="582">
        <f t="shared" si="8"/>
        <v>542</v>
      </c>
      <c r="C552" s="592" t="s">
        <v>543</v>
      </c>
      <c r="D552" s="593"/>
      <c r="E552" s="594" t="s">
        <v>11</v>
      </c>
      <c r="F552" s="600">
        <v>2064165</v>
      </c>
      <c r="G552" s="597"/>
      <c r="H552" s="597"/>
      <c r="I552" s="597"/>
      <c r="J552" s="597" t="s">
        <v>1515</v>
      </c>
      <c r="K552" s="597"/>
      <c r="L552" s="597"/>
      <c r="M552" s="597"/>
      <c r="N552" s="599"/>
    </row>
    <row r="553" spans="2:14">
      <c r="B553" s="582">
        <f t="shared" si="8"/>
        <v>543</v>
      </c>
      <c r="C553" s="592" t="s">
        <v>545</v>
      </c>
      <c r="D553" s="593"/>
      <c r="E553" s="594" t="s">
        <v>11</v>
      </c>
      <c r="F553" s="600">
        <v>3007882</v>
      </c>
      <c r="G553" s="597"/>
      <c r="H553" s="597"/>
      <c r="I553" s="597"/>
      <c r="J553" s="597" t="s">
        <v>1515</v>
      </c>
      <c r="K553" s="597"/>
      <c r="L553" s="597"/>
      <c r="M553" s="597"/>
      <c r="N553" s="599"/>
    </row>
    <row r="554" spans="2:14">
      <c r="B554" s="582">
        <f t="shared" si="8"/>
        <v>544</v>
      </c>
      <c r="C554" s="592" t="s">
        <v>547</v>
      </c>
      <c r="D554" s="593"/>
      <c r="E554" s="594" t="s">
        <v>11</v>
      </c>
      <c r="F554" s="600">
        <v>239920</v>
      </c>
      <c r="G554" s="597"/>
      <c r="H554" s="597"/>
      <c r="I554" s="597"/>
      <c r="J554" s="597" t="s">
        <v>1515</v>
      </c>
      <c r="K554" s="597"/>
      <c r="L554" s="597"/>
      <c r="M554" s="597"/>
      <c r="N554" s="599"/>
    </row>
    <row r="555" spans="2:14">
      <c r="B555" s="582">
        <f t="shared" si="8"/>
        <v>545</v>
      </c>
      <c r="C555" s="592" t="s">
        <v>549</v>
      </c>
      <c r="D555" s="593"/>
      <c r="E555" s="594" t="s">
        <v>11</v>
      </c>
      <c r="F555" s="600">
        <v>2496402</v>
      </c>
      <c r="G555" s="597"/>
      <c r="H555" s="597"/>
      <c r="I555" s="597"/>
      <c r="J555" s="597" t="s">
        <v>1515</v>
      </c>
      <c r="K555" s="597"/>
      <c r="L555" s="597"/>
      <c r="M555" s="597"/>
      <c r="N555" s="599"/>
    </row>
    <row r="556" spans="2:14">
      <c r="B556" s="582">
        <f t="shared" si="8"/>
        <v>546</v>
      </c>
      <c r="D556" s="593"/>
      <c r="G556" s="597"/>
      <c r="H556" s="597"/>
      <c r="I556" s="597"/>
      <c r="J556" s="597"/>
      <c r="K556" s="597"/>
      <c r="L556" s="597"/>
      <c r="M556" s="597"/>
      <c r="N556" s="599"/>
    </row>
    <row r="557" spans="2:14">
      <c r="B557" s="582">
        <f t="shared" si="8"/>
        <v>547</v>
      </c>
      <c r="C557" s="583" t="s">
        <v>2039</v>
      </c>
      <c r="D557" s="593"/>
      <c r="G557" s="597"/>
      <c r="H557" s="597"/>
      <c r="I557" s="597"/>
      <c r="J557" s="597"/>
      <c r="K557" s="597"/>
      <c r="L557" s="597"/>
      <c r="M557" s="597"/>
      <c r="N557" s="599"/>
    </row>
    <row r="558" spans="2:14" ht="29">
      <c r="B558" s="582">
        <f t="shared" si="8"/>
        <v>548</v>
      </c>
      <c r="C558" s="592" t="s">
        <v>554</v>
      </c>
      <c r="D558" s="593"/>
      <c r="E558" s="594" t="s">
        <v>11</v>
      </c>
      <c r="F558" s="600">
        <v>4564134</v>
      </c>
      <c r="G558" s="597"/>
      <c r="H558" s="597"/>
      <c r="I558" s="597"/>
      <c r="J558" s="597" t="s">
        <v>1515</v>
      </c>
      <c r="K558" s="597"/>
      <c r="L558" s="597"/>
      <c r="M558" s="597"/>
      <c r="N558" s="599"/>
    </row>
    <row r="559" spans="2:14" ht="29">
      <c r="B559" s="582">
        <f t="shared" si="8"/>
        <v>549</v>
      </c>
      <c r="C559" s="592" t="s">
        <v>556</v>
      </c>
      <c r="D559" s="593"/>
      <c r="E559" s="594" t="s">
        <v>11</v>
      </c>
      <c r="F559" s="600">
        <v>664798</v>
      </c>
      <c r="G559" s="597"/>
      <c r="H559" s="597"/>
      <c r="I559" s="597"/>
      <c r="J559" s="597" t="s">
        <v>1515</v>
      </c>
      <c r="K559" s="597"/>
      <c r="L559" s="597"/>
      <c r="M559" s="597"/>
      <c r="N559" s="599"/>
    </row>
    <row r="560" spans="2:14" ht="29">
      <c r="B560" s="582">
        <f t="shared" si="8"/>
        <v>550</v>
      </c>
      <c r="C560" s="592" t="s">
        <v>557</v>
      </c>
      <c r="D560" s="593"/>
      <c r="E560" s="594" t="s">
        <v>11</v>
      </c>
      <c r="F560" s="600">
        <v>8524893</v>
      </c>
      <c r="G560" s="597"/>
      <c r="H560" s="597"/>
      <c r="I560" s="597"/>
      <c r="J560" s="597" t="s">
        <v>1515</v>
      </c>
      <c r="K560" s="597"/>
      <c r="L560" s="597"/>
      <c r="M560" s="597"/>
      <c r="N560" s="599"/>
    </row>
    <row r="561" spans="2:14">
      <c r="B561" s="582">
        <f t="shared" si="8"/>
        <v>551</v>
      </c>
      <c r="D561" s="593"/>
      <c r="G561" s="597"/>
      <c r="H561" s="597"/>
      <c r="I561" s="597"/>
      <c r="J561" s="597"/>
      <c r="K561" s="597"/>
      <c r="L561" s="597"/>
      <c r="M561" s="597"/>
      <c r="N561" s="599"/>
    </row>
    <row r="562" spans="2:14">
      <c r="B562" s="582">
        <f t="shared" si="8"/>
        <v>552</v>
      </c>
      <c r="C562" s="583" t="s">
        <v>2040</v>
      </c>
      <c r="D562" s="593"/>
      <c r="G562" s="597"/>
      <c r="H562" s="597"/>
      <c r="I562" s="597"/>
      <c r="J562" s="597"/>
      <c r="K562" s="597"/>
      <c r="L562" s="597"/>
      <c r="M562" s="597"/>
      <c r="N562" s="599"/>
    </row>
    <row r="563" spans="2:14">
      <c r="B563" s="582">
        <f t="shared" si="8"/>
        <v>553</v>
      </c>
      <c r="C563" s="592" t="s">
        <v>562</v>
      </c>
      <c r="D563" s="593"/>
      <c r="E563" s="594" t="s">
        <v>11</v>
      </c>
      <c r="F563" s="600">
        <v>12328</v>
      </c>
      <c r="G563" s="597" t="s">
        <v>1515</v>
      </c>
      <c r="H563" s="597"/>
      <c r="I563" s="597"/>
      <c r="J563" s="597"/>
      <c r="K563" s="597"/>
      <c r="L563" s="597"/>
      <c r="M563" s="597"/>
      <c r="N563" s="599"/>
    </row>
    <row r="564" spans="2:14">
      <c r="B564" s="582">
        <f t="shared" si="8"/>
        <v>554</v>
      </c>
      <c r="C564" s="592" t="s">
        <v>562</v>
      </c>
      <c r="D564" s="593"/>
      <c r="E564" s="594" t="s">
        <v>11</v>
      </c>
      <c r="F564" s="600">
        <v>57413</v>
      </c>
      <c r="G564" s="597" t="s">
        <v>1515</v>
      </c>
      <c r="H564" s="597"/>
      <c r="I564" s="597"/>
      <c r="J564" s="597"/>
      <c r="K564" s="597"/>
      <c r="L564" s="597"/>
      <c r="M564" s="597"/>
      <c r="N564" s="599"/>
    </row>
    <row r="565" spans="2:14">
      <c r="B565" s="582">
        <f t="shared" si="8"/>
        <v>555</v>
      </c>
      <c r="C565" s="592" t="s">
        <v>564</v>
      </c>
      <c r="D565" s="593"/>
      <c r="E565" s="594" t="s">
        <v>11</v>
      </c>
      <c r="F565" s="600">
        <v>213000</v>
      </c>
      <c r="G565" s="597" t="s">
        <v>1515</v>
      </c>
      <c r="H565" s="597"/>
      <c r="I565" s="597"/>
      <c r="J565" s="597"/>
      <c r="K565" s="597"/>
      <c r="L565" s="597"/>
      <c r="M565" s="597"/>
      <c r="N565" s="599"/>
    </row>
    <row r="566" spans="2:14">
      <c r="B566" s="582">
        <f t="shared" si="8"/>
        <v>556</v>
      </c>
      <c r="C566" s="592" t="s">
        <v>566</v>
      </c>
      <c r="D566" s="593"/>
      <c r="E566" s="594" t="s">
        <v>11</v>
      </c>
      <c r="F566" s="600">
        <v>76258</v>
      </c>
      <c r="G566" s="597" t="s">
        <v>1515</v>
      </c>
      <c r="H566" s="597"/>
      <c r="I566" s="597"/>
      <c r="J566" s="597"/>
      <c r="K566" s="597"/>
      <c r="L566" s="597"/>
      <c r="M566" s="597"/>
      <c r="N566" s="599"/>
    </row>
    <row r="567" spans="2:14">
      <c r="B567" s="582">
        <f t="shared" si="8"/>
        <v>557</v>
      </c>
      <c r="C567" s="592" t="s">
        <v>566</v>
      </c>
      <c r="D567" s="593"/>
      <c r="E567" s="594" t="s">
        <v>11</v>
      </c>
      <c r="F567" s="600">
        <v>142235</v>
      </c>
      <c r="G567" s="597" t="s">
        <v>1515</v>
      </c>
      <c r="H567" s="597"/>
      <c r="I567" s="597"/>
      <c r="J567" s="597"/>
      <c r="K567" s="597"/>
      <c r="L567" s="597"/>
      <c r="M567" s="597"/>
      <c r="N567" s="599"/>
    </row>
    <row r="568" spans="2:14">
      <c r="B568" s="582">
        <f t="shared" si="8"/>
        <v>558</v>
      </c>
      <c r="C568" s="592" t="s">
        <v>568</v>
      </c>
      <c r="D568" s="593"/>
      <c r="E568" s="594" t="s">
        <v>36</v>
      </c>
      <c r="F568" s="600">
        <v>556464</v>
      </c>
      <c r="G568" s="597" t="s">
        <v>1515</v>
      </c>
      <c r="H568" s="597"/>
      <c r="I568" s="597"/>
      <c r="J568" s="597"/>
      <c r="K568" s="597"/>
      <c r="L568" s="597"/>
      <c r="M568" s="597"/>
      <c r="N568" s="599"/>
    </row>
    <row r="569" spans="2:14">
      <c r="B569" s="582">
        <f t="shared" si="8"/>
        <v>559</v>
      </c>
      <c r="C569" s="592" t="s">
        <v>570</v>
      </c>
      <c r="D569" s="593"/>
      <c r="E569" s="594" t="s">
        <v>11</v>
      </c>
      <c r="F569" s="600">
        <v>499220</v>
      </c>
      <c r="G569" s="597" t="s">
        <v>1515</v>
      </c>
      <c r="H569" s="597"/>
      <c r="I569" s="597"/>
      <c r="J569" s="597"/>
      <c r="K569" s="597"/>
      <c r="L569" s="597"/>
      <c r="M569" s="597"/>
      <c r="N569" s="599"/>
    </row>
    <row r="570" spans="2:14">
      <c r="B570" s="582">
        <f t="shared" si="8"/>
        <v>560</v>
      </c>
      <c r="C570" s="592" t="s">
        <v>572</v>
      </c>
      <c r="D570" s="593"/>
      <c r="E570" s="594" t="s">
        <v>11</v>
      </c>
      <c r="F570" s="600">
        <v>170278</v>
      </c>
      <c r="G570" s="597" t="s">
        <v>1515</v>
      </c>
      <c r="H570" s="597"/>
      <c r="I570" s="597"/>
      <c r="J570" s="597"/>
      <c r="K570" s="597"/>
      <c r="L570" s="597"/>
      <c r="M570" s="597"/>
      <c r="N570" s="599"/>
    </row>
    <row r="571" spans="2:14" ht="29">
      <c r="B571" s="582">
        <f t="shared" si="8"/>
        <v>561</v>
      </c>
      <c r="C571" s="592" t="s">
        <v>574</v>
      </c>
      <c r="D571" s="593"/>
      <c r="E571" s="594" t="s">
        <v>11</v>
      </c>
      <c r="F571" s="600">
        <v>35071</v>
      </c>
      <c r="G571" s="597" t="s">
        <v>1515</v>
      </c>
      <c r="H571" s="597"/>
      <c r="I571" s="597"/>
      <c r="J571" s="597"/>
      <c r="K571" s="597"/>
      <c r="L571" s="597"/>
      <c r="M571" s="597"/>
      <c r="N571" s="599"/>
    </row>
    <row r="572" spans="2:14">
      <c r="B572" s="582">
        <f t="shared" si="8"/>
        <v>562</v>
      </c>
      <c r="C572" s="592" t="s">
        <v>576</v>
      </c>
      <c r="D572" s="593"/>
      <c r="E572" s="594" t="s">
        <v>11</v>
      </c>
      <c r="F572" s="600">
        <v>163695</v>
      </c>
      <c r="G572" s="597" t="s">
        <v>1515</v>
      </c>
      <c r="H572" s="597"/>
      <c r="I572" s="597"/>
      <c r="J572" s="597"/>
      <c r="K572" s="597"/>
      <c r="L572" s="597"/>
      <c r="M572" s="597"/>
      <c r="N572" s="599"/>
    </row>
    <row r="573" spans="2:14">
      <c r="B573" s="582">
        <f t="shared" si="8"/>
        <v>563</v>
      </c>
      <c r="C573" s="592" t="s">
        <v>578</v>
      </c>
      <c r="D573" s="593"/>
      <c r="E573" s="594" t="s">
        <v>11</v>
      </c>
      <c r="F573" s="600">
        <v>19075</v>
      </c>
      <c r="G573" s="597" t="s">
        <v>1515</v>
      </c>
      <c r="H573" s="597"/>
      <c r="I573" s="597"/>
      <c r="J573" s="597"/>
      <c r="K573" s="597"/>
      <c r="L573" s="597"/>
      <c r="M573" s="597"/>
      <c r="N573" s="599"/>
    </row>
    <row r="574" spans="2:14">
      <c r="B574" s="582">
        <f t="shared" si="8"/>
        <v>564</v>
      </c>
      <c r="C574" s="592" t="s">
        <v>580</v>
      </c>
      <c r="D574" s="593"/>
      <c r="E574" s="594" t="s">
        <v>11</v>
      </c>
      <c r="F574" s="600">
        <v>127144</v>
      </c>
      <c r="G574" s="597" t="s">
        <v>1515</v>
      </c>
      <c r="H574" s="597"/>
      <c r="I574" s="597"/>
      <c r="J574" s="597"/>
      <c r="K574" s="597"/>
      <c r="L574" s="597"/>
      <c r="M574" s="597"/>
      <c r="N574" s="599"/>
    </row>
    <row r="575" spans="2:14">
      <c r="B575" s="582">
        <f t="shared" si="8"/>
        <v>565</v>
      </c>
      <c r="C575" s="592" t="s">
        <v>582</v>
      </c>
      <c r="D575" s="593"/>
      <c r="E575" s="594" t="s">
        <v>11</v>
      </c>
      <c r="F575" s="600">
        <v>404166</v>
      </c>
      <c r="G575" s="597" t="s">
        <v>1515</v>
      </c>
      <c r="H575" s="597"/>
      <c r="I575" s="597"/>
      <c r="J575" s="597"/>
      <c r="K575" s="597"/>
      <c r="L575" s="597"/>
      <c r="M575" s="597"/>
      <c r="N575" s="599"/>
    </row>
    <row r="576" spans="2:14">
      <c r="B576" s="582">
        <f t="shared" si="8"/>
        <v>566</v>
      </c>
      <c r="C576" s="592" t="s">
        <v>584</v>
      </c>
      <c r="D576" s="593"/>
      <c r="E576" s="594" t="s">
        <v>11</v>
      </c>
      <c r="F576" s="600">
        <v>192498</v>
      </c>
      <c r="G576" s="597" t="s">
        <v>1515</v>
      </c>
      <c r="H576" s="597"/>
      <c r="I576" s="597"/>
      <c r="J576" s="597"/>
      <c r="K576" s="597"/>
      <c r="L576" s="597"/>
      <c r="M576" s="597"/>
      <c r="N576" s="599"/>
    </row>
    <row r="577" spans="1:14">
      <c r="B577" s="582">
        <f t="shared" si="8"/>
        <v>567</v>
      </c>
      <c r="C577" s="592" t="s">
        <v>586</v>
      </c>
      <c r="D577" s="593"/>
      <c r="E577" s="594" t="s">
        <v>11</v>
      </c>
      <c r="F577" s="600">
        <v>71118</v>
      </c>
      <c r="G577" s="597" t="s">
        <v>1515</v>
      </c>
      <c r="H577" s="597"/>
      <c r="I577" s="597"/>
      <c r="J577" s="597"/>
      <c r="K577" s="597"/>
      <c r="L577" s="597"/>
      <c r="M577" s="597"/>
      <c r="N577" s="599"/>
    </row>
    <row r="578" spans="1:14">
      <c r="B578" s="582">
        <f t="shared" si="8"/>
        <v>568</v>
      </c>
      <c r="C578" s="592" t="s">
        <v>588</v>
      </c>
      <c r="D578" s="593"/>
      <c r="E578" s="594" t="s">
        <v>11</v>
      </c>
      <c r="F578" s="600">
        <v>179328</v>
      </c>
      <c r="G578" s="597" t="s">
        <v>1515</v>
      </c>
      <c r="H578" s="597"/>
      <c r="I578" s="597"/>
      <c r="J578" s="597"/>
      <c r="K578" s="597"/>
      <c r="L578" s="597"/>
      <c r="M578" s="597"/>
      <c r="N578" s="599"/>
    </row>
    <row r="579" spans="1:14">
      <c r="B579" s="582">
        <f t="shared" si="8"/>
        <v>569</v>
      </c>
      <c r="D579" s="593"/>
      <c r="G579" s="597"/>
      <c r="H579" s="597"/>
      <c r="I579" s="597"/>
      <c r="J579" s="597"/>
      <c r="K579" s="597"/>
      <c r="L579" s="597"/>
      <c r="M579" s="597"/>
      <c r="N579" s="599"/>
    </row>
    <row r="580" spans="1:14" ht="29">
      <c r="B580" s="582">
        <f t="shared" si="8"/>
        <v>570</v>
      </c>
      <c r="C580" s="583" t="s">
        <v>2041</v>
      </c>
      <c r="D580" s="593"/>
      <c r="G580" s="597"/>
      <c r="H580" s="597"/>
      <c r="I580" s="597"/>
      <c r="J580" s="597"/>
      <c r="K580" s="597"/>
      <c r="L580" s="597"/>
      <c r="M580" s="597"/>
      <c r="N580" s="599"/>
    </row>
    <row r="581" spans="1:14" ht="29">
      <c r="B581" s="582">
        <f t="shared" si="8"/>
        <v>571</v>
      </c>
      <c r="C581" s="592" t="s">
        <v>597</v>
      </c>
      <c r="D581" s="593"/>
      <c r="E581" s="594" t="s">
        <v>11</v>
      </c>
      <c r="F581" s="600">
        <v>922164</v>
      </c>
      <c r="G581" s="597" t="s">
        <v>1515</v>
      </c>
      <c r="H581" s="597"/>
      <c r="I581" s="597"/>
      <c r="J581" s="597"/>
      <c r="K581" s="597"/>
      <c r="L581" s="597"/>
      <c r="M581" s="597"/>
      <c r="N581" s="599"/>
    </row>
    <row r="582" spans="1:14" ht="29">
      <c r="B582" s="582">
        <f t="shared" si="8"/>
        <v>572</v>
      </c>
      <c r="C582" s="592" t="s">
        <v>599</v>
      </c>
      <c r="D582" s="593"/>
      <c r="E582" s="594" t="s">
        <v>11</v>
      </c>
      <c r="F582" s="600">
        <v>690735</v>
      </c>
      <c r="G582" s="597" t="s">
        <v>1515</v>
      </c>
      <c r="H582" s="597"/>
      <c r="I582" s="597"/>
      <c r="J582" s="597"/>
      <c r="K582" s="597"/>
      <c r="L582" s="597"/>
      <c r="M582" s="597"/>
      <c r="N582" s="599"/>
    </row>
    <row r="583" spans="1:14">
      <c r="B583" s="582">
        <f t="shared" ref="B583:B646" si="9">B582+1</f>
        <v>573</v>
      </c>
      <c r="D583" s="593"/>
      <c r="G583" s="597"/>
      <c r="H583" s="597"/>
      <c r="I583" s="597"/>
      <c r="J583" s="597"/>
      <c r="K583" s="597"/>
      <c r="L583" s="597"/>
      <c r="M583" s="597"/>
      <c r="N583" s="599"/>
    </row>
    <row r="584" spans="1:14">
      <c r="B584" s="582">
        <f t="shared" si="9"/>
        <v>574</v>
      </c>
      <c r="C584" s="583" t="s">
        <v>2042</v>
      </c>
      <c r="D584" s="593"/>
      <c r="G584" s="597"/>
      <c r="H584" s="597"/>
      <c r="I584" s="597"/>
      <c r="J584" s="597"/>
      <c r="K584" s="597"/>
      <c r="L584" s="597"/>
      <c r="M584" s="597"/>
      <c r="N584" s="599"/>
    </row>
    <row r="585" spans="1:14">
      <c r="B585" s="582">
        <f t="shared" si="9"/>
        <v>575</v>
      </c>
      <c r="C585" s="619" t="s">
        <v>460</v>
      </c>
      <c r="D585" s="593" t="s">
        <v>1407</v>
      </c>
      <c r="E585" s="594" t="s">
        <v>11</v>
      </c>
      <c r="F585" s="600">
        <v>6259</v>
      </c>
      <c r="G585" s="597"/>
      <c r="H585" s="597"/>
      <c r="I585" s="597"/>
      <c r="J585" s="597" t="s">
        <v>1515</v>
      </c>
      <c r="K585" s="597"/>
      <c r="L585" s="597"/>
      <c r="M585" s="597"/>
      <c r="N585" s="599"/>
    </row>
    <row r="586" spans="1:14">
      <c r="A586" s="562" t="s">
        <v>461</v>
      </c>
      <c r="B586" s="582">
        <f t="shared" si="9"/>
        <v>576</v>
      </c>
      <c r="C586" s="619" t="s">
        <v>462</v>
      </c>
      <c r="D586" s="593" t="s">
        <v>2043</v>
      </c>
      <c r="E586" s="594" t="s">
        <v>36</v>
      </c>
      <c r="F586" s="600">
        <v>35005</v>
      </c>
      <c r="G586" s="597"/>
      <c r="H586" s="597"/>
      <c r="I586" s="597"/>
      <c r="J586" s="597" t="s">
        <v>1515</v>
      </c>
      <c r="K586" s="597"/>
      <c r="L586" s="597"/>
      <c r="M586" s="597"/>
      <c r="N586" s="599"/>
    </row>
    <row r="587" spans="1:14">
      <c r="B587" s="582">
        <f t="shared" si="9"/>
        <v>577</v>
      </c>
      <c r="C587" s="619" t="s">
        <v>464</v>
      </c>
      <c r="D587" s="593" t="s">
        <v>2044</v>
      </c>
      <c r="E587" s="594" t="s">
        <v>11</v>
      </c>
      <c r="F587" s="600">
        <v>280629</v>
      </c>
      <c r="G587" s="597"/>
      <c r="H587" s="597"/>
      <c r="I587" s="597"/>
      <c r="J587" s="597" t="s">
        <v>1515</v>
      </c>
      <c r="K587" s="597"/>
      <c r="L587" s="597"/>
      <c r="M587" s="597"/>
      <c r="N587" s="599"/>
    </row>
    <row r="588" spans="1:14" ht="29">
      <c r="B588" s="582">
        <f t="shared" si="9"/>
        <v>578</v>
      </c>
      <c r="C588" s="592" t="s">
        <v>604</v>
      </c>
      <c r="D588" s="593"/>
      <c r="E588" s="594" t="s">
        <v>11</v>
      </c>
      <c r="F588" s="600">
        <v>11571</v>
      </c>
      <c r="G588" s="597"/>
      <c r="H588" s="597"/>
      <c r="I588" s="597"/>
      <c r="J588" s="597" t="s">
        <v>1515</v>
      </c>
      <c r="K588" s="597"/>
      <c r="L588" s="597"/>
      <c r="M588" s="597"/>
      <c r="N588" s="599"/>
    </row>
    <row r="589" spans="1:14">
      <c r="B589" s="582">
        <f t="shared" si="9"/>
        <v>579</v>
      </c>
      <c r="C589" s="592" t="s">
        <v>606</v>
      </c>
      <c r="D589" s="593"/>
      <c r="E589" s="594" t="s">
        <v>11</v>
      </c>
      <c r="F589" s="600">
        <v>45730</v>
      </c>
      <c r="G589" s="597"/>
      <c r="H589" s="597"/>
      <c r="I589" s="597"/>
      <c r="J589" s="597" t="s">
        <v>1515</v>
      </c>
      <c r="K589" s="597"/>
      <c r="L589" s="597"/>
      <c r="M589" s="597"/>
      <c r="N589" s="599"/>
    </row>
    <row r="590" spans="1:14">
      <c r="B590" s="582">
        <f t="shared" si="9"/>
        <v>580</v>
      </c>
      <c r="C590" s="592" t="s">
        <v>608</v>
      </c>
      <c r="D590" s="593"/>
      <c r="E590" s="594" t="s">
        <v>11</v>
      </c>
      <c r="F590" s="600">
        <v>230859</v>
      </c>
      <c r="G590" s="597"/>
      <c r="H590" s="597"/>
      <c r="I590" s="597"/>
      <c r="J590" s="597" t="s">
        <v>1515</v>
      </c>
      <c r="K590" s="597"/>
      <c r="L590" s="597"/>
      <c r="M590" s="597"/>
      <c r="N590" s="599"/>
    </row>
    <row r="591" spans="1:14">
      <c r="B591" s="582">
        <f t="shared" si="9"/>
        <v>581</v>
      </c>
      <c r="C591" s="592" t="s">
        <v>610</v>
      </c>
      <c r="D591" s="593"/>
      <c r="E591" s="594" t="s">
        <v>11</v>
      </c>
      <c r="F591" s="600">
        <v>164631</v>
      </c>
      <c r="G591" s="597"/>
      <c r="H591" s="597"/>
      <c r="I591" s="597"/>
      <c r="J591" s="597" t="s">
        <v>1515</v>
      </c>
      <c r="K591" s="597"/>
      <c r="L591" s="597"/>
      <c r="M591" s="597"/>
      <c r="N591" s="599"/>
    </row>
    <row r="592" spans="1:14">
      <c r="B592" s="582">
        <f t="shared" si="9"/>
        <v>582</v>
      </c>
      <c r="C592" s="592" t="s">
        <v>612</v>
      </c>
      <c r="D592" s="593"/>
      <c r="E592" s="594" t="s">
        <v>11</v>
      </c>
      <c r="F592" s="600">
        <v>218089</v>
      </c>
      <c r="G592" s="597"/>
      <c r="H592" s="597"/>
      <c r="I592" s="597"/>
      <c r="J592" s="597" t="s">
        <v>1515</v>
      </c>
      <c r="K592" s="597"/>
      <c r="L592" s="597"/>
      <c r="M592" s="597"/>
      <c r="N592" s="599"/>
    </row>
    <row r="593" spans="1:14">
      <c r="B593" s="582">
        <f t="shared" si="9"/>
        <v>583</v>
      </c>
      <c r="C593" s="592" t="s">
        <v>614</v>
      </c>
      <c r="D593" s="593"/>
      <c r="E593" s="594" t="s">
        <v>11</v>
      </c>
      <c r="F593" s="600">
        <v>102658</v>
      </c>
      <c r="G593" s="597"/>
      <c r="H593" s="597"/>
      <c r="I593" s="597"/>
      <c r="J593" s="597" t="s">
        <v>1515</v>
      </c>
      <c r="K593" s="597"/>
      <c r="L593" s="597"/>
      <c r="M593" s="597"/>
      <c r="N593" s="599"/>
    </row>
    <row r="594" spans="1:14">
      <c r="B594" s="582">
        <f t="shared" si="9"/>
        <v>584</v>
      </c>
      <c r="C594" s="592" t="s">
        <v>616</v>
      </c>
      <c r="D594" s="593"/>
      <c r="E594" s="594" t="s">
        <v>11</v>
      </c>
      <c r="F594" s="600">
        <v>24740</v>
      </c>
      <c r="G594" s="597"/>
      <c r="H594" s="597"/>
      <c r="I594" s="597"/>
      <c r="J594" s="597" t="s">
        <v>1515</v>
      </c>
      <c r="K594" s="597"/>
      <c r="L594" s="597"/>
      <c r="M594" s="597"/>
      <c r="N594" s="599"/>
    </row>
    <row r="595" spans="1:14">
      <c r="B595" s="582">
        <f t="shared" si="9"/>
        <v>585</v>
      </c>
      <c r="C595" s="592" t="s">
        <v>618</v>
      </c>
      <c r="D595" s="593"/>
      <c r="E595" s="594" t="s">
        <v>11</v>
      </c>
      <c r="F595" s="600">
        <v>7185</v>
      </c>
      <c r="G595" s="597"/>
      <c r="H595" s="597"/>
      <c r="I595" s="597"/>
      <c r="J595" s="597" t="s">
        <v>1515</v>
      </c>
      <c r="K595" s="597"/>
      <c r="L595" s="597"/>
      <c r="M595" s="597"/>
      <c r="N595" s="599"/>
    </row>
    <row r="596" spans="1:14">
      <c r="B596" s="582">
        <f t="shared" si="9"/>
        <v>586</v>
      </c>
      <c r="C596" s="592" t="s">
        <v>620</v>
      </c>
      <c r="D596" s="593"/>
      <c r="E596" s="594" t="s">
        <v>11</v>
      </c>
      <c r="F596" s="600">
        <v>76270</v>
      </c>
      <c r="G596" s="597"/>
      <c r="H596" s="597"/>
      <c r="I596" s="597"/>
      <c r="J596" s="597" t="s">
        <v>1515</v>
      </c>
      <c r="K596" s="597"/>
      <c r="L596" s="597"/>
      <c r="M596" s="597"/>
      <c r="N596" s="599"/>
    </row>
    <row r="597" spans="1:14">
      <c r="B597" s="582">
        <f t="shared" si="9"/>
        <v>587</v>
      </c>
      <c r="C597" s="592" t="s">
        <v>622</v>
      </c>
      <c r="D597" s="593"/>
      <c r="E597" s="594" t="s">
        <v>11</v>
      </c>
      <c r="F597" s="600">
        <v>394136</v>
      </c>
      <c r="G597" s="597"/>
      <c r="H597" s="597"/>
      <c r="I597" s="597"/>
      <c r="J597" s="597" t="s">
        <v>1515</v>
      </c>
      <c r="K597" s="597"/>
      <c r="L597" s="597"/>
      <c r="M597" s="597"/>
      <c r="N597" s="599"/>
    </row>
    <row r="598" spans="1:14">
      <c r="B598" s="582">
        <f t="shared" si="9"/>
        <v>588</v>
      </c>
      <c r="C598" s="592" t="s">
        <v>624</v>
      </c>
      <c r="D598" s="593"/>
      <c r="E598" s="594" t="s">
        <v>11</v>
      </c>
      <c r="F598" s="600">
        <v>167147</v>
      </c>
      <c r="G598" s="597"/>
      <c r="H598" s="597"/>
      <c r="I598" s="597"/>
      <c r="J598" s="597" t="s">
        <v>1515</v>
      </c>
      <c r="K598" s="597"/>
      <c r="L598" s="597"/>
      <c r="M598" s="597"/>
      <c r="N598" s="599"/>
    </row>
    <row r="599" spans="1:14">
      <c r="A599" s="562" t="s">
        <v>255</v>
      </c>
      <c r="B599" s="582">
        <f t="shared" si="9"/>
        <v>589</v>
      </c>
      <c r="C599" s="592" t="s">
        <v>2045</v>
      </c>
      <c r="D599" s="593" t="s">
        <v>2046</v>
      </c>
      <c r="E599" s="594" t="s">
        <v>11</v>
      </c>
      <c r="F599" s="600">
        <v>12472</v>
      </c>
      <c r="G599" s="597"/>
      <c r="H599" s="597"/>
      <c r="I599" s="597"/>
      <c r="J599" s="597" t="s">
        <v>1515</v>
      </c>
      <c r="K599" s="597"/>
      <c r="L599" s="597"/>
      <c r="M599" s="597"/>
      <c r="N599" s="599"/>
    </row>
    <row r="600" spans="1:14">
      <c r="B600" s="582">
        <f t="shared" si="9"/>
        <v>590</v>
      </c>
      <c r="C600" s="592" t="s">
        <v>626</v>
      </c>
      <c r="D600" s="593"/>
      <c r="E600" s="594" t="s">
        <v>11</v>
      </c>
      <c r="F600" s="600">
        <v>153368</v>
      </c>
      <c r="G600" s="597"/>
      <c r="H600" s="597"/>
      <c r="I600" s="597"/>
      <c r="J600" s="597" t="s">
        <v>1515</v>
      </c>
      <c r="K600" s="597"/>
      <c r="L600" s="597"/>
      <c r="M600" s="597"/>
      <c r="N600" s="599"/>
    </row>
    <row r="601" spans="1:14">
      <c r="B601" s="582">
        <f t="shared" si="9"/>
        <v>591</v>
      </c>
      <c r="C601" s="592" t="s">
        <v>628</v>
      </c>
      <c r="D601" s="593"/>
      <c r="E601" s="594" t="s">
        <v>36</v>
      </c>
      <c r="F601" s="600">
        <v>100401</v>
      </c>
      <c r="G601" s="597"/>
      <c r="H601" s="597"/>
      <c r="I601" s="597"/>
      <c r="J601" s="597" t="s">
        <v>1515</v>
      </c>
      <c r="K601" s="597"/>
      <c r="L601" s="597"/>
      <c r="M601" s="597"/>
      <c r="N601" s="599"/>
    </row>
    <row r="602" spans="1:14">
      <c r="B602" s="582">
        <f t="shared" si="9"/>
        <v>592</v>
      </c>
      <c r="C602" s="592" t="s">
        <v>630</v>
      </c>
      <c r="D602" s="593"/>
      <c r="E602" s="594" t="s">
        <v>11</v>
      </c>
      <c r="F602" s="600">
        <v>189361</v>
      </c>
      <c r="G602" s="597"/>
      <c r="H602" s="597"/>
      <c r="I602" s="597"/>
      <c r="J602" s="597" t="s">
        <v>1515</v>
      </c>
      <c r="K602" s="597"/>
      <c r="L602" s="597"/>
      <c r="M602" s="597"/>
      <c r="N602" s="599"/>
    </row>
    <row r="603" spans="1:14">
      <c r="B603" s="582">
        <f t="shared" si="9"/>
        <v>593</v>
      </c>
      <c r="C603" s="592" t="s">
        <v>632</v>
      </c>
      <c r="D603" s="593"/>
      <c r="E603" s="594" t="s">
        <v>11</v>
      </c>
      <c r="F603" s="600">
        <v>7698</v>
      </c>
      <c r="G603" s="597"/>
      <c r="H603" s="597"/>
      <c r="I603" s="597"/>
      <c r="J603" s="597" t="s">
        <v>1515</v>
      </c>
      <c r="K603" s="597"/>
      <c r="L603" s="597"/>
      <c r="M603" s="597"/>
      <c r="N603" s="599"/>
    </row>
    <row r="604" spans="1:14">
      <c r="B604" s="582">
        <f t="shared" si="9"/>
        <v>594</v>
      </c>
      <c r="C604" s="592" t="s">
        <v>634</v>
      </c>
      <c r="D604" s="593"/>
      <c r="E604" s="594" t="s">
        <v>11</v>
      </c>
      <c r="F604" s="600">
        <v>62298</v>
      </c>
      <c r="G604" s="597"/>
      <c r="H604" s="597"/>
      <c r="I604" s="597"/>
      <c r="J604" s="597" t="s">
        <v>1515</v>
      </c>
      <c r="K604" s="597"/>
      <c r="L604" s="597"/>
      <c r="M604" s="597"/>
      <c r="N604" s="599"/>
    </row>
    <row r="605" spans="1:14">
      <c r="B605" s="582">
        <f t="shared" si="9"/>
        <v>595</v>
      </c>
      <c r="C605" s="592" t="s">
        <v>636</v>
      </c>
      <c r="D605" s="593"/>
      <c r="E605" s="594" t="s">
        <v>11</v>
      </c>
      <c r="F605" s="600">
        <v>171598</v>
      </c>
      <c r="G605" s="597"/>
      <c r="H605" s="597"/>
      <c r="I605" s="597"/>
      <c r="J605" s="597" t="s">
        <v>1515</v>
      </c>
      <c r="K605" s="597"/>
      <c r="L605" s="597"/>
      <c r="M605" s="597"/>
      <c r="N605" s="599"/>
    </row>
    <row r="606" spans="1:14">
      <c r="B606" s="582">
        <f t="shared" si="9"/>
        <v>596</v>
      </c>
      <c r="C606" s="592" t="s">
        <v>638</v>
      </c>
      <c r="D606" s="593"/>
      <c r="E606" s="594" t="s">
        <v>11</v>
      </c>
      <c r="F606" s="600">
        <v>131000</v>
      </c>
      <c r="G606" s="597"/>
      <c r="H606" s="597"/>
      <c r="I606" s="597"/>
      <c r="J606" s="597" t="s">
        <v>1515</v>
      </c>
      <c r="K606" s="597"/>
      <c r="L606" s="597"/>
      <c r="M606" s="597"/>
      <c r="N606" s="599"/>
    </row>
    <row r="607" spans="1:14">
      <c r="B607" s="582">
        <f t="shared" si="9"/>
        <v>597</v>
      </c>
      <c r="C607" s="592" t="s">
        <v>640</v>
      </c>
      <c r="D607" s="593"/>
      <c r="E607" s="594" t="s">
        <v>11</v>
      </c>
      <c r="F607" s="600">
        <v>466409</v>
      </c>
      <c r="G607" s="597"/>
      <c r="H607" s="597"/>
      <c r="I607" s="597"/>
      <c r="J607" s="597" t="s">
        <v>1515</v>
      </c>
      <c r="K607" s="597"/>
      <c r="L607" s="597"/>
      <c r="M607" s="597"/>
      <c r="N607" s="599"/>
    </row>
    <row r="608" spans="1:14">
      <c r="B608" s="582">
        <f t="shared" si="9"/>
        <v>598</v>
      </c>
      <c r="C608" s="592" t="s">
        <v>642</v>
      </c>
      <c r="D608" s="593"/>
      <c r="E608" s="594" t="s">
        <v>11</v>
      </c>
      <c r="F608" s="600">
        <v>10541</v>
      </c>
      <c r="G608" s="597"/>
      <c r="H608" s="597"/>
      <c r="I608" s="597"/>
      <c r="J608" s="597" t="s">
        <v>1515</v>
      </c>
      <c r="K608" s="597"/>
      <c r="L608" s="597"/>
      <c r="M608" s="597"/>
      <c r="N608" s="599"/>
    </row>
    <row r="609" spans="2:14">
      <c r="B609" s="582">
        <f t="shared" si="9"/>
        <v>599</v>
      </c>
      <c r="C609" s="592" t="s">
        <v>643</v>
      </c>
      <c r="D609" s="593"/>
      <c r="E609" s="594" t="s">
        <v>36</v>
      </c>
      <c r="F609" s="600">
        <v>191107</v>
      </c>
      <c r="G609" s="597"/>
      <c r="H609" s="597"/>
      <c r="I609" s="597"/>
      <c r="J609" s="597" t="s">
        <v>1515</v>
      </c>
      <c r="K609" s="597"/>
      <c r="L609" s="597"/>
      <c r="M609" s="597"/>
      <c r="N609" s="599"/>
    </row>
    <row r="610" spans="2:14">
      <c r="B610" s="582">
        <f t="shared" si="9"/>
        <v>600</v>
      </c>
      <c r="C610" s="592" t="s">
        <v>645</v>
      </c>
      <c r="D610" s="593"/>
      <c r="E610" s="594" t="s">
        <v>36</v>
      </c>
      <c r="F610" s="600">
        <v>10289</v>
      </c>
      <c r="G610" s="597"/>
      <c r="H610" s="597"/>
      <c r="I610" s="597"/>
      <c r="J610" s="597" t="s">
        <v>1515</v>
      </c>
      <c r="K610" s="597"/>
      <c r="L610" s="597"/>
      <c r="M610" s="597"/>
      <c r="N610" s="599"/>
    </row>
    <row r="611" spans="2:14">
      <c r="B611" s="582">
        <f t="shared" si="9"/>
        <v>601</v>
      </c>
      <c r="C611" s="592" t="s">
        <v>647</v>
      </c>
      <c r="D611" s="593"/>
      <c r="E611" s="594" t="s">
        <v>11</v>
      </c>
      <c r="F611" s="600">
        <v>425677</v>
      </c>
      <c r="G611" s="597"/>
      <c r="H611" s="597"/>
      <c r="I611" s="597"/>
      <c r="J611" s="597" t="s">
        <v>1515</v>
      </c>
      <c r="K611" s="597"/>
      <c r="L611" s="597"/>
      <c r="M611" s="597"/>
      <c r="N611" s="599"/>
    </row>
    <row r="612" spans="2:14">
      <c r="B612" s="582">
        <f t="shared" si="9"/>
        <v>602</v>
      </c>
      <c r="C612" s="592" t="s">
        <v>649</v>
      </c>
      <c r="D612" s="593"/>
      <c r="E612" s="594" t="s">
        <v>11</v>
      </c>
      <c r="F612" s="600">
        <v>177362</v>
      </c>
      <c r="G612" s="597"/>
      <c r="H612" s="597"/>
      <c r="I612" s="597"/>
      <c r="J612" s="597" t="s">
        <v>1515</v>
      </c>
      <c r="K612" s="597"/>
      <c r="L612" s="597"/>
      <c r="M612" s="597"/>
      <c r="N612" s="599"/>
    </row>
    <row r="613" spans="2:14">
      <c r="B613" s="582">
        <f t="shared" si="9"/>
        <v>603</v>
      </c>
      <c r="C613" s="592" t="s">
        <v>651</v>
      </c>
      <c r="D613" s="593"/>
      <c r="E613" s="594" t="s">
        <v>11</v>
      </c>
      <c r="F613" s="600">
        <v>70833</v>
      </c>
      <c r="G613" s="597"/>
      <c r="H613" s="597"/>
      <c r="I613" s="597"/>
      <c r="J613" s="597" t="s">
        <v>1515</v>
      </c>
      <c r="K613" s="597"/>
      <c r="L613" s="597"/>
      <c r="M613" s="597"/>
      <c r="N613" s="599"/>
    </row>
    <row r="614" spans="2:14">
      <c r="B614" s="582">
        <f t="shared" si="9"/>
        <v>604</v>
      </c>
      <c r="C614" s="592" t="s">
        <v>653</v>
      </c>
      <c r="D614" s="593"/>
      <c r="E614" s="594" t="s">
        <v>11</v>
      </c>
      <c r="F614" s="600">
        <v>197198</v>
      </c>
      <c r="G614" s="597"/>
      <c r="H614" s="597"/>
      <c r="I614" s="597"/>
      <c r="J614" s="597" t="s">
        <v>1515</v>
      </c>
      <c r="K614" s="597"/>
      <c r="L614" s="597"/>
      <c r="M614" s="597"/>
      <c r="N614" s="599"/>
    </row>
    <row r="615" spans="2:14">
      <c r="B615" s="582">
        <f t="shared" si="9"/>
        <v>605</v>
      </c>
      <c r="C615" s="592" t="s">
        <v>655</v>
      </c>
      <c r="D615" s="593"/>
      <c r="E615" s="594" t="s">
        <v>36</v>
      </c>
      <c r="F615" s="600">
        <v>306573</v>
      </c>
      <c r="G615" s="597"/>
      <c r="H615" s="597"/>
      <c r="I615" s="597"/>
      <c r="J615" s="597" t="s">
        <v>1515</v>
      </c>
      <c r="K615" s="597"/>
      <c r="L615" s="597"/>
      <c r="M615" s="597"/>
      <c r="N615" s="599"/>
    </row>
    <row r="616" spans="2:14">
      <c r="B616" s="582">
        <f t="shared" si="9"/>
        <v>606</v>
      </c>
      <c r="C616" s="592" t="s">
        <v>657</v>
      </c>
      <c r="D616" s="593" t="s">
        <v>2047</v>
      </c>
      <c r="E616" s="594" t="s">
        <v>36</v>
      </c>
      <c r="F616" s="600">
        <v>1399</v>
      </c>
      <c r="G616" s="597"/>
      <c r="H616" s="597"/>
      <c r="I616" s="597"/>
      <c r="J616" s="597" t="s">
        <v>1515</v>
      </c>
      <c r="K616" s="597"/>
      <c r="L616" s="597"/>
      <c r="M616" s="597"/>
      <c r="N616" s="599"/>
    </row>
    <row r="617" spans="2:14">
      <c r="B617" s="582">
        <f t="shared" si="9"/>
        <v>607</v>
      </c>
      <c r="C617" s="592" t="s">
        <v>659</v>
      </c>
      <c r="D617" s="593"/>
      <c r="E617" s="594" t="s">
        <v>11</v>
      </c>
      <c r="F617" s="600">
        <v>7473</v>
      </c>
      <c r="G617" s="597"/>
      <c r="H617" s="597"/>
      <c r="I617" s="597"/>
      <c r="J617" s="597" t="s">
        <v>1515</v>
      </c>
      <c r="K617" s="597"/>
      <c r="L617" s="597"/>
      <c r="M617" s="597"/>
      <c r="N617" s="599"/>
    </row>
    <row r="618" spans="2:14">
      <c r="B618" s="582">
        <f t="shared" si="9"/>
        <v>608</v>
      </c>
      <c r="C618" s="592" t="s">
        <v>661</v>
      </c>
      <c r="D618" s="593"/>
      <c r="E618" s="594" t="s">
        <v>11</v>
      </c>
      <c r="F618" s="600">
        <v>209781</v>
      </c>
      <c r="G618" s="597"/>
      <c r="H618" s="597"/>
      <c r="I618" s="597"/>
      <c r="J618" s="597" t="s">
        <v>1515</v>
      </c>
      <c r="K618" s="597"/>
      <c r="L618" s="597"/>
      <c r="M618" s="597"/>
      <c r="N618" s="599"/>
    </row>
    <row r="619" spans="2:14">
      <c r="B619" s="582">
        <f t="shared" si="9"/>
        <v>609</v>
      </c>
      <c r="C619" s="592" t="s">
        <v>663</v>
      </c>
      <c r="D619" s="593"/>
      <c r="E619" s="594" t="s">
        <v>11</v>
      </c>
      <c r="F619" s="600">
        <v>35366</v>
      </c>
      <c r="G619" s="597"/>
      <c r="H619" s="597"/>
      <c r="I619" s="597"/>
      <c r="J619" s="597" t="s">
        <v>1515</v>
      </c>
      <c r="K619" s="597"/>
      <c r="L619" s="597"/>
      <c r="M619" s="597"/>
      <c r="N619" s="599"/>
    </row>
    <row r="620" spans="2:14" ht="29">
      <c r="B620" s="582">
        <f t="shared" si="9"/>
        <v>610</v>
      </c>
      <c r="C620" s="592" t="s">
        <v>665</v>
      </c>
      <c r="D620" s="593"/>
      <c r="E620" s="594" t="s">
        <v>11</v>
      </c>
      <c r="F620" s="600">
        <v>1296</v>
      </c>
      <c r="G620" s="597"/>
      <c r="H620" s="597"/>
      <c r="I620" s="597"/>
      <c r="J620" s="597" t="s">
        <v>1515</v>
      </c>
      <c r="K620" s="597"/>
      <c r="L620" s="597"/>
      <c r="M620" s="597"/>
      <c r="N620" s="599"/>
    </row>
    <row r="621" spans="2:14">
      <c r="B621" s="582">
        <f t="shared" si="9"/>
        <v>611</v>
      </c>
      <c r="C621" s="592" t="s">
        <v>667</v>
      </c>
      <c r="D621" s="593"/>
      <c r="E621" s="594" t="s">
        <v>11</v>
      </c>
      <c r="F621" s="600">
        <v>54241</v>
      </c>
      <c r="G621" s="597"/>
      <c r="H621" s="597"/>
      <c r="I621" s="597"/>
      <c r="J621" s="597" t="s">
        <v>1515</v>
      </c>
      <c r="K621" s="597"/>
      <c r="L621" s="597"/>
      <c r="M621" s="597"/>
      <c r="N621" s="599"/>
    </row>
    <row r="622" spans="2:14">
      <c r="B622" s="582">
        <f t="shared" si="9"/>
        <v>612</v>
      </c>
      <c r="C622" s="592" t="s">
        <v>669</v>
      </c>
      <c r="D622" s="593"/>
      <c r="E622" s="594" t="s">
        <v>11</v>
      </c>
      <c r="F622" s="600">
        <v>133229</v>
      </c>
      <c r="G622" s="597"/>
      <c r="H622" s="597"/>
      <c r="I622" s="597"/>
      <c r="J622" s="597" t="s">
        <v>1515</v>
      </c>
      <c r="K622" s="597"/>
      <c r="L622" s="597"/>
      <c r="M622" s="597"/>
      <c r="N622" s="599"/>
    </row>
    <row r="623" spans="2:14">
      <c r="B623" s="582">
        <f t="shared" si="9"/>
        <v>613</v>
      </c>
      <c r="C623" s="592" t="s">
        <v>671</v>
      </c>
      <c r="D623" s="593"/>
      <c r="E623" s="594" t="s">
        <v>11</v>
      </c>
      <c r="F623" s="600">
        <v>183706</v>
      </c>
      <c r="G623" s="597"/>
      <c r="H623" s="597"/>
      <c r="I623" s="597"/>
      <c r="J623" s="597" t="s">
        <v>1515</v>
      </c>
      <c r="K623" s="597"/>
      <c r="L623" s="597"/>
      <c r="M623" s="597"/>
      <c r="N623" s="599"/>
    </row>
    <row r="624" spans="2:14">
      <c r="B624" s="582">
        <f t="shared" si="9"/>
        <v>614</v>
      </c>
      <c r="C624" s="592" t="s">
        <v>673</v>
      </c>
      <c r="D624" s="593"/>
      <c r="E624" s="594" t="s">
        <v>11</v>
      </c>
      <c r="F624" s="600">
        <v>337805</v>
      </c>
      <c r="G624" s="597"/>
      <c r="H624" s="597"/>
      <c r="I624" s="597"/>
      <c r="J624" s="597" t="s">
        <v>1515</v>
      </c>
      <c r="K624" s="597"/>
      <c r="L624" s="597"/>
      <c r="M624" s="597"/>
      <c r="N624" s="599"/>
    </row>
    <row r="625" spans="2:14">
      <c r="B625" s="582">
        <f t="shared" si="9"/>
        <v>615</v>
      </c>
      <c r="C625" s="592" t="s">
        <v>472</v>
      </c>
      <c r="D625" s="593" t="s">
        <v>2048</v>
      </c>
      <c r="E625" s="594" t="s">
        <v>11</v>
      </c>
      <c r="F625" s="600">
        <v>23704</v>
      </c>
      <c r="G625" s="597"/>
      <c r="H625" s="597"/>
      <c r="I625" s="597"/>
      <c r="J625" s="597" t="s">
        <v>1515</v>
      </c>
      <c r="K625" s="597"/>
      <c r="L625" s="597"/>
      <c r="M625" s="597"/>
      <c r="N625" s="599"/>
    </row>
    <row r="626" spans="2:14">
      <c r="B626" s="582">
        <f t="shared" si="9"/>
        <v>616</v>
      </c>
      <c r="C626" s="592" t="s">
        <v>675</v>
      </c>
      <c r="D626" s="593"/>
      <c r="E626" s="594" t="s">
        <v>36</v>
      </c>
      <c r="F626" s="600">
        <v>593944</v>
      </c>
      <c r="G626" s="597"/>
      <c r="H626" s="597"/>
      <c r="I626" s="597"/>
      <c r="J626" s="597" t="s">
        <v>1515</v>
      </c>
      <c r="K626" s="597"/>
      <c r="L626" s="597"/>
      <c r="M626" s="597"/>
      <c r="N626" s="599"/>
    </row>
    <row r="627" spans="2:14">
      <c r="B627" s="582">
        <f t="shared" si="9"/>
        <v>617</v>
      </c>
      <c r="C627" s="592" t="s">
        <v>677</v>
      </c>
      <c r="D627" s="593"/>
      <c r="E627" s="594" t="s">
        <v>11</v>
      </c>
      <c r="F627" s="600">
        <v>189249</v>
      </c>
      <c r="G627" s="597"/>
      <c r="H627" s="597"/>
      <c r="I627" s="597"/>
      <c r="J627" s="597" t="s">
        <v>1515</v>
      </c>
      <c r="K627" s="597"/>
      <c r="L627" s="597"/>
      <c r="M627" s="597"/>
      <c r="N627" s="599"/>
    </row>
    <row r="628" spans="2:14">
      <c r="B628" s="582">
        <f t="shared" si="9"/>
        <v>618</v>
      </c>
      <c r="C628" s="592" t="s">
        <v>679</v>
      </c>
      <c r="D628" s="593"/>
      <c r="E628" s="594" t="s">
        <v>11</v>
      </c>
      <c r="F628" s="600">
        <v>53227</v>
      </c>
      <c r="G628" s="597"/>
      <c r="H628" s="597"/>
      <c r="I628" s="597"/>
      <c r="J628" s="597" t="s">
        <v>1515</v>
      </c>
      <c r="K628" s="597"/>
      <c r="L628" s="597"/>
      <c r="M628" s="597"/>
      <c r="N628" s="599"/>
    </row>
    <row r="629" spans="2:14">
      <c r="B629" s="582">
        <f t="shared" si="9"/>
        <v>619</v>
      </c>
      <c r="C629" s="592" t="s">
        <v>681</v>
      </c>
      <c r="D629" s="593"/>
      <c r="E629" s="594" t="s">
        <v>11</v>
      </c>
      <c r="F629" s="600">
        <v>1225</v>
      </c>
      <c r="G629" s="597"/>
      <c r="H629" s="597"/>
      <c r="I629" s="597"/>
      <c r="J629" s="597" t="s">
        <v>1515</v>
      </c>
      <c r="K629" s="597"/>
      <c r="L629" s="597"/>
      <c r="M629" s="597"/>
      <c r="N629" s="599"/>
    </row>
    <row r="630" spans="2:14">
      <c r="B630" s="582">
        <f t="shared" si="9"/>
        <v>620</v>
      </c>
      <c r="C630" s="592" t="s">
        <v>683</v>
      </c>
      <c r="D630" s="593"/>
      <c r="E630" s="594" t="s">
        <v>36</v>
      </c>
      <c r="F630" s="600">
        <v>50588</v>
      </c>
      <c r="G630" s="597"/>
      <c r="H630" s="597"/>
      <c r="I630" s="597"/>
      <c r="J630" s="597" t="s">
        <v>1515</v>
      </c>
      <c r="K630" s="597"/>
      <c r="L630" s="597"/>
      <c r="M630" s="597"/>
      <c r="N630" s="599"/>
    </row>
    <row r="631" spans="2:14">
      <c r="B631" s="582">
        <f t="shared" si="9"/>
        <v>621</v>
      </c>
      <c r="C631" s="592" t="s">
        <v>476</v>
      </c>
      <c r="D631" s="593" t="s">
        <v>2049</v>
      </c>
      <c r="E631" s="594" t="s">
        <v>11</v>
      </c>
      <c r="F631" s="600">
        <v>91230</v>
      </c>
      <c r="G631" s="597"/>
      <c r="H631" s="597"/>
      <c r="I631" s="597"/>
      <c r="J631" s="597" t="s">
        <v>1515</v>
      </c>
      <c r="K631" s="597"/>
      <c r="L631" s="597"/>
      <c r="M631" s="597"/>
      <c r="N631" s="599"/>
    </row>
    <row r="632" spans="2:14">
      <c r="B632" s="582">
        <f t="shared" si="9"/>
        <v>622</v>
      </c>
      <c r="C632" s="592" t="s">
        <v>685</v>
      </c>
      <c r="D632" s="593"/>
      <c r="E632" s="594" t="s">
        <v>11</v>
      </c>
      <c r="F632" s="600">
        <v>98929</v>
      </c>
      <c r="G632" s="597"/>
      <c r="H632" s="597"/>
      <c r="I632" s="597"/>
      <c r="J632" s="597" t="s">
        <v>1515</v>
      </c>
      <c r="K632" s="597"/>
      <c r="L632" s="597"/>
      <c r="M632" s="597"/>
      <c r="N632" s="599"/>
    </row>
    <row r="633" spans="2:14">
      <c r="B633" s="582">
        <f t="shared" si="9"/>
        <v>623</v>
      </c>
      <c r="C633" s="592" t="s">
        <v>687</v>
      </c>
      <c r="D633" s="593"/>
      <c r="E633" s="594" t="s">
        <v>11</v>
      </c>
      <c r="F633" s="600">
        <v>156018</v>
      </c>
      <c r="G633" s="597"/>
      <c r="H633" s="597"/>
      <c r="I633" s="597"/>
      <c r="J633" s="597" t="s">
        <v>1515</v>
      </c>
      <c r="K633" s="597"/>
      <c r="L633" s="597"/>
      <c r="M633" s="597"/>
      <c r="N633" s="599"/>
    </row>
    <row r="634" spans="2:14">
      <c r="B634" s="582">
        <f t="shared" si="9"/>
        <v>624</v>
      </c>
      <c r="C634" s="592" t="s">
        <v>474</v>
      </c>
      <c r="D634" s="593" t="s">
        <v>2050</v>
      </c>
      <c r="E634" s="594" t="s">
        <v>11</v>
      </c>
      <c r="F634" s="600">
        <v>49112</v>
      </c>
      <c r="G634" s="597"/>
      <c r="H634" s="597"/>
      <c r="I634" s="597"/>
      <c r="J634" s="597" t="s">
        <v>1515</v>
      </c>
      <c r="K634" s="597"/>
      <c r="L634" s="597"/>
      <c r="M634" s="597"/>
      <c r="N634" s="599"/>
    </row>
    <row r="635" spans="2:14">
      <c r="B635" s="582">
        <f t="shared" si="9"/>
        <v>625</v>
      </c>
      <c r="C635" s="592" t="s">
        <v>689</v>
      </c>
      <c r="D635" s="593"/>
      <c r="E635" s="594" t="s">
        <v>11</v>
      </c>
      <c r="F635" s="600">
        <v>111336</v>
      </c>
      <c r="G635" s="597"/>
      <c r="H635" s="597"/>
      <c r="I635" s="597"/>
      <c r="J635" s="597" t="s">
        <v>1515</v>
      </c>
      <c r="K635" s="597"/>
      <c r="L635" s="597"/>
      <c r="M635" s="597"/>
      <c r="N635" s="599"/>
    </row>
    <row r="636" spans="2:14">
      <c r="B636" s="582">
        <f t="shared" si="9"/>
        <v>626</v>
      </c>
      <c r="C636" s="592" t="s">
        <v>691</v>
      </c>
      <c r="D636" s="593"/>
      <c r="E636" s="594" t="s">
        <v>11</v>
      </c>
      <c r="F636" s="600">
        <v>433673</v>
      </c>
      <c r="G636" s="597"/>
      <c r="H636" s="597"/>
      <c r="I636" s="597"/>
      <c r="J636" s="597" t="s">
        <v>1515</v>
      </c>
      <c r="K636" s="597"/>
      <c r="L636" s="597"/>
      <c r="M636" s="597"/>
      <c r="N636" s="599"/>
    </row>
    <row r="637" spans="2:14">
      <c r="B637" s="582">
        <f t="shared" si="9"/>
        <v>627</v>
      </c>
      <c r="C637" s="592" t="s">
        <v>693</v>
      </c>
      <c r="D637" s="593"/>
      <c r="E637" s="594" t="s">
        <v>11</v>
      </c>
      <c r="F637" s="600">
        <v>137620</v>
      </c>
      <c r="G637" s="597"/>
      <c r="H637" s="597"/>
      <c r="I637" s="597"/>
      <c r="J637" s="597" t="s">
        <v>1515</v>
      </c>
      <c r="K637" s="597"/>
      <c r="L637" s="597"/>
      <c r="M637" s="597"/>
      <c r="N637" s="599"/>
    </row>
    <row r="638" spans="2:14">
      <c r="B638" s="582">
        <f t="shared" si="9"/>
        <v>628</v>
      </c>
      <c r="C638" s="592" t="s">
        <v>695</v>
      </c>
      <c r="D638" s="593"/>
      <c r="E638" s="594" t="s">
        <v>11</v>
      </c>
      <c r="F638" s="600">
        <v>203034</v>
      </c>
      <c r="G638" s="597"/>
      <c r="H638" s="597"/>
      <c r="I638" s="597"/>
      <c r="J638" s="597" t="s">
        <v>1515</v>
      </c>
      <c r="K638" s="597"/>
      <c r="L638" s="597"/>
      <c r="M638" s="597"/>
      <c r="N638" s="599"/>
    </row>
    <row r="639" spans="2:14">
      <c r="B639" s="582">
        <f t="shared" si="9"/>
        <v>629</v>
      </c>
      <c r="C639" s="592" t="s">
        <v>697</v>
      </c>
      <c r="D639" s="593"/>
      <c r="E639" s="594" t="s">
        <v>11</v>
      </c>
      <c r="F639" s="600">
        <v>1700</v>
      </c>
      <c r="G639" s="597"/>
      <c r="H639" s="597"/>
      <c r="I639" s="597"/>
      <c r="J639" s="597" t="s">
        <v>1515</v>
      </c>
      <c r="K639" s="597"/>
      <c r="L639" s="597"/>
      <c r="M639" s="597"/>
      <c r="N639" s="599"/>
    </row>
    <row r="640" spans="2:14">
      <c r="B640" s="582">
        <f t="shared" si="9"/>
        <v>630</v>
      </c>
      <c r="C640" s="592" t="s">
        <v>699</v>
      </c>
      <c r="D640" s="593"/>
      <c r="E640" s="594" t="s">
        <v>11</v>
      </c>
      <c r="F640" s="600">
        <v>51407</v>
      </c>
      <c r="G640" s="597"/>
      <c r="H640" s="597"/>
      <c r="I640" s="597"/>
      <c r="J640" s="597" t="s">
        <v>1515</v>
      </c>
      <c r="K640" s="597"/>
      <c r="L640" s="597"/>
      <c r="M640" s="597"/>
      <c r="N640" s="599"/>
    </row>
    <row r="641" spans="1:14">
      <c r="B641" s="582">
        <f t="shared" si="9"/>
        <v>631</v>
      </c>
      <c r="C641" s="592" t="s">
        <v>701</v>
      </c>
      <c r="D641" s="593"/>
      <c r="E641" s="594" t="s">
        <v>11</v>
      </c>
      <c r="F641" s="600">
        <v>228099</v>
      </c>
      <c r="G641" s="597"/>
      <c r="H641" s="597"/>
      <c r="I641" s="597"/>
      <c r="J641" s="597" t="s">
        <v>1515</v>
      </c>
      <c r="K641" s="597"/>
      <c r="L641" s="597"/>
      <c r="M641" s="597"/>
      <c r="N641" s="599"/>
    </row>
    <row r="642" spans="1:14">
      <c r="B642" s="582">
        <f t="shared" si="9"/>
        <v>632</v>
      </c>
      <c r="C642" s="592" t="s">
        <v>703</v>
      </c>
      <c r="D642" s="593"/>
      <c r="E642" s="594" t="s">
        <v>11</v>
      </c>
      <c r="F642" s="600">
        <v>143269</v>
      </c>
      <c r="G642" s="597"/>
      <c r="H642" s="597"/>
      <c r="I642" s="597"/>
      <c r="J642" s="597" t="s">
        <v>1515</v>
      </c>
      <c r="K642" s="597"/>
      <c r="L642" s="597"/>
      <c r="M642" s="597"/>
      <c r="N642" s="599"/>
    </row>
    <row r="643" spans="1:14" ht="29">
      <c r="B643" s="582">
        <f t="shared" si="9"/>
        <v>633</v>
      </c>
      <c r="C643" s="592" t="s">
        <v>705</v>
      </c>
      <c r="D643" s="593"/>
      <c r="E643" s="594" t="s">
        <v>11</v>
      </c>
      <c r="F643" s="600">
        <v>326689</v>
      </c>
      <c r="G643" s="597"/>
      <c r="H643" s="597"/>
      <c r="I643" s="597"/>
      <c r="J643" s="597" t="s">
        <v>1515</v>
      </c>
      <c r="K643" s="597"/>
      <c r="L643" s="597"/>
      <c r="M643" s="597"/>
      <c r="N643" s="599"/>
    </row>
    <row r="644" spans="1:14">
      <c r="B644" s="582">
        <f t="shared" si="9"/>
        <v>634</v>
      </c>
      <c r="C644" s="592" t="s">
        <v>707</v>
      </c>
      <c r="D644" s="593"/>
      <c r="E644" s="594" t="s">
        <v>11</v>
      </c>
      <c r="F644" s="600">
        <v>46264</v>
      </c>
      <c r="G644" s="597"/>
      <c r="H644" s="597"/>
      <c r="I644" s="597"/>
      <c r="J644" s="597" t="s">
        <v>1515</v>
      </c>
      <c r="K644" s="597"/>
      <c r="L644" s="597"/>
      <c r="M644" s="597"/>
      <c r="N644" s="599"/>
    </row>
    <row r="645" spans="1:14" ht="29">
      <c r="B645" s="582">
        <f t="shared" si="9"/>
        <v>635</v>
      </c>
      <c r="C645" s="592" t="s">
        <v>709</v>
      </c>
      <c r="D645" s="593"/>
      <c r="E645" s="594" t="s">
        <v>11</v>
      </c>
      <c r="F645" s="600">
        <v>30489</v>
      </c>
      <c r="G645" s="597"/>
      <c r="H645" s="597"/>
      <c r="I645" s="597"/>
      <c r="J645" s="597" t="s">
        <v>1515</v>
      </c>
      <c r="K645" s="597"/>
      <c r="L645" s="597"/>
      <c r="M645" s="597"/>
      <c r="N645" s="599"/>
    </row>
    <row r="646" spans="1:14">
      <c r="B646" s="582">
        <f t="shared" si="9"/>
        <v>636</v>
      </c>
      <c r="C646" s="592" t="s">
        <v>478</v>
      </c>
      <c r="D646" s="593" t="s">
        <v>2051</v>
      </c>
      <c r="E646" s="594" t="s">
        <v>36</v>
      </c>
      <c r="F646" s="600">
        <v>130348</v>
      </c>
      <c r="G646" s="597"/>
      <c r="H646" s="597"/>
      <c r="I646" s="597"/>
      <c r="J646" s="597" t="s">
        <v>1515</v>
      </c>
      <c r="K646" s="620"/>
      <c r="L646" s="597"/>
      <c r="M646" s="621"/>
      <c r="N646" s="622"/>
    </row>
    <row r="647" spans="1:14">
      <c r="B647" s="582">
        <f t="shared" ref="B647:B710" si="10">B646+1</f>
        <v>637</v>
      </c>
      <c r="C647" s="592" t="s">
        <v>711</v>
      </c>
      <c r="D647" s="593"/>
      <c r="E647" s="594" t="s">
        <v>2052</v>
      </c>
      <c r="F647" s="600">
        <v>168846</v>
      </c>
      <c r="G647" s="597"/>
      <c r="H647" s="597"/>
      <c r="I647" s="597"/>
      <c r="J647" s="597" t="s">
        <v>1515</v>
      </c>
      <c r="K647" s="597"/>
      <c r="L647" s="597"/>
      <c r="M647" s="597"/>
      <c r="N647" s="599"/>
    </row>
    <row r="648" spans="1:14" ht="43.5">
      <c r="B648" s="582">
        <f t="shared" si="10"/>
        <v>638</v>
      </c>
      <c r="C648" s="592" t="s">
        <v>713</v>
      </c>
      <c r="D648" s="593"/>
      <c r="E648" s="594" t="s">
        <v>2052</v>
      </c>
      <c r="F648" s="600">
        <v>255807</v>
      </c>
      <c r="G648" s="597"/>
      <c r="H648" s="597"/>
      <c r="I648" s="597"/>
      <c r="J648" s="597" t="s">
        <v>1515</v>
      </c>
      <c r="K648" s="597"/>
      <c r="L648" s="597"/>
      <c r="M648" s="597"/>
      <c r="N648" s="599"/>
    </row>
    <row r="649" spans="1:14">
      <c r="B649" s="582">
        <f t="shared" si="10"/>
        <v>639</v>
      </c>
      <c r="C649" s="592" t="s">
        <v>715</v>
      </c>
      <c r="D649" s="593"/>
      <c r="E649" s="594" t="s">
        <v>2052</v>
      </c>
      <c r="F649" s="600">
        <v>73382</v>
      </c>
      <c r="G649" s="597"/>
      <c r="H649" s="597"/>
      <c r="I649" s="597"/>
      <c r="J649" s="597" t="s">
        <v>1515</v>
      </c>
      <c r="K649" s="597"/>
      <c r="L649" s="597"/>
      <c r="M649" s="597"/>
      <c r="N649" s="599"/>
    </row>
    <row r="650" spans="1:14">
      <c r="A650" s="562" t="s">
        <v>313</v>
      </c>
      <c r="B650" s="582">
        <f t="shared" si="10"/>
        <v>640</v>
      </c>
      <c r="C650" s="592" t="s">
        <v>2053</v>
      </c>
      <c r="D650" s="593" t="s">
        <v>2054</v>
      </c>
      <c r="E650" s="594" t="s">
        <v>11</v>
      </c>
      <c r="F650" s="600">
        <v>253710.27</v>
      </c>
      <c r="G650" s="597"/>
      <c r="H650" s="597"/>
      <c r="I650" s="597"/>
      <c r="J650" s="597" t="s">
        <v>1515</v>
      </c>
      <c r="K650" s="597"/>
      <c r="L650" s="597"/>
      <c r="M650" s="597"/>
      <c r="N650" s="599"/>
    </row>
    <row r="651" spans="1:14">
      <c r="B651" s="582">
        <f t="shared" si="10"/>
        <v>641</v>
      </c>
      <c r="C651" s="592" t="s">
        <v>717</v>
      </c>
      <c r="D651" s="593"/>
      <c r="E651" s="594" t="s">
        <v>11</v>
      </c>
      <c r="F651" s="600">
        <v>66757</v>
      </c>
      <c r="G651" s="597"/>
      <c r="H651" s="597"/>
      <c r="I651" s="597"/>
      <c r="J651" s="597" t="s">
        <v>1515</v>
      </c>
      <c r="K651" s="597"/>
      <c r="L651" s="597"/>
      <c r="M651" s="597"/>
      <c r="N651" s="599"/>
    </row>
    <row r="652" spans="1:14" ht="29">
      <c r="B652" s="582">
        <f t="shared" si="10"/>
        <v>642</v>
      </c>
      <c r="C652" s="592" t="s">
        <v>719</v>
      </c>
      <c r="D652" s="593"/>
      <c r="E652" s="594" t="s">
        <v>11</v>
      </c>
      <c r="F652" s="600">
        <v>202926</v>
      </c>
      <c r="G652" s="597"/>
      <c r="H652" s="597"/>
      <c r="I652" s="597"/>
      <c r="J652" s="597" t="s">
        <v>1515</v>
      </c>
      <c r="K652" s="597"/>
      <c r="L652" s="597"/>
      <c r="M652" s="597"/>
      <c r="N652" s="599"/>
    </row>
    <row r="653" spans="1:14">
      <c r="B653" s="582">
        <f t="shared" si="10"/>
        <v>643</v>
      </c>
      <c r="C653" s="592" t="s">
        <v>721</v>
      </c>
      <c r="D653" s="593"/>
      <c r="E653" s="594" t="s">
        <v>36</v>
      </c>
      <c r="F653" s="600">
        <v>284658</v>
      </c>
      <c r="G653" s="597"/>
      <c r="H653" s="597"/>
      <c r="I653" s="597"/>
      <c r="J653" s="597" t="s">
        <v>1515</v>
      </c>
      <c r="K653" s="597"/>
      <c r="L653" s="597"/>
      <c r="M653" s="597"/>
      <c r="N653" s="599"/>
    </row>
    <row r="654" spans="1:14">
      <c r="B654" s="582">
        <f t="shared" si="10"/>
        <v>644</v>
      </c>
      <c r="C654" s="592" t="s">
        <v>723</v>
      </c>
      <c r="D654" s="593"/>
      <c r="E654" s="594" t="s">
        <v>11</v>
      </c>
      <c r="F654" s="600">
        <v>41178</v>
      </c>
      <c r="G654" s="597"/>
      <c r="H654" s="597"/>
      <c r="I654" s="597"/>
      <c r="J654" s="597" t="s">
        <v>1515</v>
      </c>
      <c r="K654" s="597"/>
      <c r="L654" s="597"/>
      <c r="M654" s="597"/>
      <c r="N654" s="599"/>
    </row>
    <row r="655" spans="1:14">
      <c r="B655" s="582">
        <f t="shared" si="10"/>
        <v>645</v>
      </c>
      <c r="C655" s="592" t="s">
        <v>725</v>
      </c>
      <c r="D655" s="593"/>
      <c r="E655" s="594" t="s">
        <v>11</v>
      </c>
      <c r="F655" s="600">
        <v>180146</v>
      </c>
      <c r="G655" s="597"/>
      <c r="H655" s="597"/>
      <c r="I655" s="597"/>
      <c r="J655" s="597" t="s">
        <v>1515</v>
      </c>
      <c r="K655" s="597"/>
      <c r="L655" s="597"/>
      <c r="M655" s="597"/>
      <c r="N655" s="599"/>
    </row>
    <row r="656" spans="1:14">
      <c r="B656" s="582">
        <f t="shared" si="10"/>
        <v>646</v>
      </c>
      <c r="C656" s="592" t="s">
        <v>727</v>
      </c>
      <c r="D656" s="593"/>
      <c r="E656" s="594" t="s">
        <v>11</v>
      </c>
      <c r="F656" s="600">
        <v>54362</v>
      </c>
      <c r="G656" s="597"/>
      <c r="H656" s="597"/>
      <c r="I656" s="597"/>
      <c r="J656" s="597" t="s">
        <v>1515</v>
      </c>
      <c r="K656" s="597"/>
      <c r="L656" s="597"/>
      <c r="M656" s="597"/>
      <c r="N656" s="599"/>
    </row>
    <row r="657" spans="2:14">
      <c r="B657" s="582">
        <f t="shared" si="10"/>
        <v>647</v>
      </c>
      <c r="C657" s="592" t="s">
        <v>729</v>
      </c>
      <c r="D657" s="593"/>
      <c r="E657" s="594" t="s">
        <v>11</v>
      </c>
      <c r="F657" s="600">
        <v>100080</v>
      </c>
      <c r="G657" s="597"/>
      <c r="H657" s="597"/>
      <c r="I657" s="597"/>
      <c r="J657" s="597" t="s">
        <v>1515</v>
      </c>
      <c r="K657" s="597"/>
      <c r="L657" s="597"/>
      <c r="M657" s="597"/>
      <c r="N657" s="599"/>
    </row>
    <row r="658" spans="2:14">
      <c r="B658" s="582">
        <f t="shared" si="10"/>
        <v>648</v>
      </c>
      <c r="C658" s="592" t="s">
        <v>731</v>
      </c>
      <c r="D658" s="593"/>
      <c r="E658" s="594" t="s">
        <v>11</v>
      </c>
      <c r="F658" s="600">
        <v>286574</v>
      </c>
      <c r="G658" s="597"/>
      <c r="H658" s="597"/>
      <c r="I658" s="597"/>
      <c r="J658" s="597" t="s">
        <v>1515</v>
      </c>
      <c r="K658" s="597"/>
      <c r="L658" s="597"/>
      <c r="M658" s="597"/>
      <c r="N658" s="599"/>
    </row>
    <row r="659" spans="2:14">
      <c r="B659" s="582">
        <f t="shared" si="10"/>
        <v>649</v>
      </c>
      <c r="C659" s="592" t="s">
        <v>733</v>
      </c>
      <c r="D659" s="593"/>
      <c r="E659" s="594" t="s">
        <v>11</v>
      </c>
      <c r="F659" s="600">
        <v>248109</v>
      </c>
      <c r="G659" s="597"/>
      <c r="H659" s="597"/>
      <c r="I659" s="597"/>
      <c r="J659" s="597" t="s">
        <v>1515</v>
      </c>
      <c r="K659" s="597"/>
      <c r="L659" s="597"/>
      <c r="M659" s="597"/>
      <c r="N659" s="599"/>
    </row>
    <row r="660" spans="2:14">
      <c r="B660" s="582">
        <f t="shared" si="10"/>
        <v>650</v>
      </c>
      <c r="C660" s="592" t="s">
        <v>735</v>
      </c>
      <c r="D660" s="593"/>
      <c r="E660" s="594" t="s">
        <v>11</v>
      </c>
      <c r="F660" s="600">
        <v>197602</v>
      </c>
      <c r="G660" s="597"/>
      <c r="H660" s="597"/>
      <c r="I660" s="597"/>
      <c r="J660" s="597" t="s">
        <v>1515</v>
      </c>
      <c r="K660" s="597"/>
      <c r="L660" s="597"/>
      <c r="M660" s="597"/>
      <c r="N660" s="599"/>
    </row>
    <row r="661" spans="2:14" ht="29">
      <c r="B661" s="582">
        <f t="shared" si="10"/>
        <v>651</v>
      </c>
      <c r="C661" s="592" t="s">
        <v>737</v>
      </c>
      <c r="D661" s="593"/>
      <c r="E661" s="594" t="s">
        <v>11</v>
      </c>
      <c r="F661" s="600">
        <v>16044</v>
      </c>
      <c r="G661" s="597"/>
      <c r="H661" s="597"/>
      <c r="I661" s="597"/>
      <c r="J661" s="597" t="s">
        <v>1515</v>
      </c>
      <c r="K661" s="597"/>
      <c r="L661" s="597"/>
      <c r="M661" s="597"/>
      <c r="N661" s="599"/>
    </row>
    <row r="662" spans="2:14">
      <c r="B662" s="582">
        <f t="shared" si="10"/>
        <v>652</v>
      </c>
      <c r="C662" s="592" t="s">
        <v>739</v>
      </c>
      <c r="D662" s="593"/>
      <c r="E662" s="594" t="s">
        <v>11</v>
      </c>
      <c r="F662" s="600">
        <v>50349</v>
      </c>
      <c r="G662" s="597"/>
      <c r="H662" s="597"/>
      <c r="I662" s="597"/>
      <c r="J662" s="597" t="s">
        <v>1515</v>
      </c>
      <c r="K662" s="597"/>
      <c r="L662" s="597"/>
      <c r="M662" s="597"/>
      <c r="N662" s="599"/>
    </row>
    <row r="663" spans="2:14">
      <c r="B663" s="582">
        <f t="shared" si="10"/>
        <v>653</v>
      </c>
      <c r="C663" s="592" t="s">
        <v>741</v>
      </c>
      <c r="D663" s="593"/>
      <c r="E663" s="594" t="s">
        <v>11</v>
      </c>
      <c r="F663" s="600">
        <v>73810</v>
      </c>
      <c r="G663" s="597"/>
      <c r="H663" s="597"/>
      <c r="I663" s="597"/>
      <c r="J663" s="597" t="s">
        <v>1515</v>
      </c>
      <c r="K663" s="597"/>
      <c r="L663" s="597"/>
      <c r="M663" s="597"/>
      <c r="N663" s="599"/>
    </row>
    <row r="664" spans="2:14">
      <c r="B664" s="582">
        <f t="shared" si="10"/>
        <v>654</v>
      </c>
      <c r="C664" s="592" t="s">
        <v>480</v>
      </c>
      <c r="D664" s="593" t="s">
        <v>2044</v>
      </c>
      <c r="E664" s="594" t="s">
        <v>36</v>
      </c>
      <c r="F664" s="600">
        <v>98534</v>
      </c>
      <c r="G664" s="597"/>
      <c r="H664" s="597"/>
      <c r="I664" s="597"/>
      <c r="J664" s="597" t="s">
        <v>1515</v>
      </c>
      <c r="K664" s="597"/>
      <c r="L664" s="597"/>
      <c r="M664" s="597"/>
      <c r="N664" s="599"/>
    </row>
    <row r="665" spans="2:14">
      <c r="B665" s="582">
        <f t="shared" si="10"/>
        <v>655</v>
      </c>
      <c r="C665" s="592" t="s">
        <v>743</v>
      </c>
      <c r="D665" s="593"/>
      <c r="E665" s="594" t="s">
        <v>36</v>
      </c>
      <c r="F665" s="600">
        <v>593805</v>
      </c>
      <c r="G665" s="597"/>
      <c r="H665" s="597"/>
      <c r="I665" s="597"/>
      <c r="J665" s="597" t="s">
        <v>1515</v>
      </c>
      <c r="K665" s="597"/>
      <c r="L665" s="597"/>
      <c r="M665" s="597"/>
      <c r="N665" s="599"/>
    </row>
    <row r="666" spans="2:14">
      <c r="B666" s="582">
        <f t="shared" si="10"/>
        <v>656</v>
      </c>
      <c r="C666" s="592" t="s">
        <v>745</v>
      </c>
      <c r="D666" s="593"/>
      <c r="E666" s="594" t="s">
        <v>36</v>
      </c>
      <c r="F666" s="600">
        <v>46350</v>
      </c>
      <c r="G666" s="597"/>
      <c r="H666" s="597"/>
      <c r="I666" s="597"/>
      <c r="J666" s="597" t="s">
        <v>1515</v>
      </c>
      <c r="K666" s="597"/>
      <c r="L666" s="597"/>
      <c r="M666" s="597"/>
      <c r="N666" s="599"/>
    </row>
    <row r="667" spans="2:14">
      <c r="B667" s="582">
        <f t="shared" si="10"/>
        <v>657</v>
      </c>
      <c r="C667" s="592" t="s">
        <v>747</v>
      </c>
      <c r="D667" s="593"/>
      <c r="E667" s="594" t="s">
        <v>11</v>
      </c>
      <c r="F667" s="600">
        <v>203657</v>
      </c>
      <c r="G667" s="597"/>
      <c r="H667" s="597"/>
      <c r="I667" s="597"/>
      <c r="J667" s="597" t="s">
        <v>1515</v>
      </c>
      <c r="K667" s="597"/>
      <c r="L667" s="597"/>
      <c r="M667" s="597"/>
      <c r="N667" s="599"/>
    </row>
    <row r="668" spans="2:14">
      <c r="B668" s="582">
        <f t="shared" si="10"/>
        <v>658</v>
      </c>
      <c r="C668" s="592" t="s">
        <v>482</v>
      </c>
      <c r="D668" s="593" t="s">
        <v>2055</v>
      </c>
      <c r="E668" s="594" t="s">
        <v>11</v>
      </c>
      <c r="F668" s="600">
        <v>10832</v>
      </c>
      <c r="G668" s="597"/>
      <c r="H668" s="597"/>
      <c r="I668" s="597"/>
      <c r="J668" s="597" t="s">
        <v>1515</v>
      </c>
      <c r="K668" s="597"/>
      <c r="L668" s="597"/>
      <c r="M668" s="597"/>
      <c r="N668" s="599"/>
    </row>
    <row r="669" spans="2:14">
      <c r="B669" s="582">
        <f t="shared" si="10"/>
        <v>659</v>
      </c>
      <c r="C669" s="592" t="s">
        <v>749</v>
      </c>
      <c r="D669" s="593"/>
      <c r="E669" s="594" t="s">
        <v>11</v>
      </c>
      <c r="F669" s="600">
        <v>119734</v>
      </c>
      <c r="G669" s="597"/>
      <c r="H669" s="597"/>
      <c r="I669" s="597"/>
      <c r="J669" s="597" t="s">
        <v>1515</v>
      </c>
      <c r="K669" s="597"/>
      <c r="L669" s="597"/>
      <c r="M669" s="597"/>
      <c r="N669" s="599"/>
    </row>
    <row r="670" spans="2:14">
      <c r="B670" s="582">
        <f t="shared" si="10"/>
        <v>660</v>
      </c>
      <c r="C670" s="592" t="s">
        <v>751</v>
      </c>
      <c r="D670" s="593"/>
      <c r="E670" s="594" t="s">
        <v>11</v>
      </c>
      <c r="F670" s="600">
        <v>98042</v>
      </c>
      <c r="G670" s="597"/>
      <c r="H670" s="597"/>
      <c r="I670" s="597"/>
      <c r="J670" s="597" t="s">
        <v>1515</v>
      </c>
      <c r="K670" s="597"/>
      <c r="L670" s="597"/>
      <c r="M670" s="597"/>
      <c r="N670" s="599"/>
    </row>
    <row r="671" spans="2:14">
      <c r="B671" s="582">
        <f t="shared" si="10"/>
        <v>661</v>
      </c>
      <c r="C671" s="592" t="s">
        <v>753</v>
      </c>
      <c r="D671" s="593" t="s">
        <v>2056</v>
      </c>
      <c r="E671" s="594" t="s">
        <v>36</v>
      </c>
      <c r="F671" s="600">
        <v>22896</v>
      </c>
      <c r="G671" s="597"/>
      <c r="H671" s="597"/>
      <c r="I671" s="597"/>
      <c r="J671" s="597" t="s">
        <v>1515</v>
      </c>
      <c r="K671" s="597"/>
      <c r="L671" s="597"/>
      <c r="M671" s="597"/>
      <c r="N671" s="599"/>
    </row>
    <row r="672" spans="2:14">
      <c r="B672" s="582">
        <f t="shared" si="10"/>
        <v>662</v>
      </c>
      <c r="C672" s="592" t="s">
        <v>755</v>
      </c>
      <c r="D672" s="593"/>
      <c r="E672" s="594" t="s">
        <v>36</v>
      </c>
      <c r="F672" s="600">
        <v>135796</v>
      </c>
      <c r="G672" s="597"/>
      <c r="H672" s="597"/>
      <c r="I672" s="597"/>
      <c r="J672" s="597" t="s">
        <v>1515</v>
      </c>
      <c r="K672" s="597"/>
      <c r="L672" s="597"/>
      <c r="M672" s="597"/>
      <c r="N672" s="599"/>
    </row>
    <row r="673" spans="2:14">
      <c r="B673" s="582">
        <f t="shared" si="10"/>
        <v>663</v>
      </c>
      <c r="C673" s="592" t="s">
        <v>757</v>
      </c>
      <c r="D673" s="593"/>
      <c r="E673" s="594" t="s">
        <v>36</v>
      </c>
      <c r="F673" s="600">
        <v>44738</v>
      </c>
      <c r="G673" s="597"/>
      <c r="H673" s="597"/>
      <c r="I673" s="597"/>
      <c r="J673" s="597" t="s">
        <v>1515</v>
      </c>
      <c r="K673" s="597"/>
      <c r="L673" s="597"/>
      <c r="M673" s="597"/>
      <c r="N673" s="599"/>
    </row>
    <row r="674" spans="2:14">
      <c r="B674" s="582">
        <f t="shared" si="10"/>
        <v>664</v>
      </c>
      <c r="C674" s="592" t="s">
        <v>759</v>
      </c>
      <c r="D674" s="593"/>
      <c r="E674" s="594" t="s">
        <v>11</v>
      </c>
      <c r="F674" s="600">
        <v>155533</v>
      </c>
      <c r="G674" s="597"/>
      <c r="H674" s="597"/>
      <c r="I674" s="597"/>
      <c r="J674" s="597" t="s">
        <v>1515</v>
      </c>
      <c r="K674" s="597"/>
      <c r="L674" s="597"/>
      <c r="M674" s="597"/>
      <c r="N674" s="599"/>
    </row>
    <row r="675" spans="2:14">
      <c r="B675" s="582">
        <f t="shared" si="10"/>
        <v>665</v>
      </c>
      <c r="C675" s="592" t="s">
        <v>761</v>
      </c>
      <c r="D675" s="593"/>
      <c r="E675" s="594" t="s">
        <v>11</v>
      </c>
      <c r="F675" s="600">
        <v>141441</v>
      </c>
      <c r="G675" s="597"/>
      <c r="H675" s="597"/>
      <c r="I675" s="597"/>
      <c r="J675" s="597" t="s">
        <v>1515</v>
      </c>
      <c r="K675" s="597"/>
      <c r="L675" s="597"/>
      <c r="M675" s="597"/>
      <c r="N675" s="599"/>
    </row>
    <row r="676" spans="2:14">
      <c r="B676" s="582">
        <f t="shared" si="10"/>
        <v>666</v>
      </c>
      <c r="C676" s="592" t="s">
        <v>763</v>
      </c>
      <c r="D676" s="593"/>
      <c r="E676" s="594" t="s">
        <v>11</v>
      </c>
      <c r="F676" s="600">
        <v>502619</v>
      </c>
      <c r="G676" s="597"/>
      <c r="H676" s="597"/>
      <c r="I676" s="597"/>
      <c r="J676" s="597" t="s">
        <v>1515</v>
      </c>
      <c r="K676" s="597"/>
      <c r="L676" s="597"/>
      <c r="M676" s="597"/>
      <c r="N676" s="599"/>
    </row>
    <row r="677" spans="2:14">
      <c r="B677" s="582">
        <f t="shared" si="10"/>
        <v>667</v>
      </c>
      <c r="C677" s="592" t="s">
        <v>765</v>
      </c>
      <c r="D677" s="593"/>
      <c r="E677" s="594" t="s">
        <v>36</v>
      </c>
      <c r="F677" s="600">
        <v>60705</v>
      </c>
      <c r="G677" s="597"/>
      <c r="H677" s="597"/>
      <c r="I677" s="597"/>
      <c r="J677" s="597" t="s">
        <v>1515</v>
      </c>
      <c r="K677" s="597"/>
      <c r="L677" s="597"/>
      <c r="M677" s="597"/>
      <c r="N677" s="599"/>
    </row>
    <row r="678" spans="2:14">
      <c r="B678" s="582">
        <f t="shared" si="10"/>
        <v>668</v>
      </c>
      <c r="C678" s="592" t="s">
        <v>767</v>
      </c>
      <c r="D678" s="593"/>
      <c r="E678" s="594" t="s">
        <v>11</v>
      </c>
      <c r="F678" s="600">
        <v>31609</v>
      </c>
      <c r="G678" s="597"/>
      <c r="H678" s="597"/>
      <c r="I678" s="597"/>
      <c r="J678" s="597" t="s">
        <v>1515</v>
      </c>
      <c r="K678" s="597"/>
      <c r="L678" s="597"/>
      <c r="M678" s="597"/>
      <c r="N678" s="599"/>
    </row>
    <row r="679" spans="2:14">
      <c r="B679" s="582">
        <f t="shared" si="10"/>
        <v>669</v>
      </c>
      <c r="C679" s="592" t="s">
        <v>769</v>
      </c>
      <c r="D679" s="593"/>
      <c r="E679" s="594" t="s">
        <v>11</v>
      </c>
      <c r="F679" s="600">
        <v>168896</v>
      </c>
      <c r="G679" s="597"/>
      <c r="H679" s="597"/>
      <c r="I679" s="597"/>
      <c r="J679" s="597" t="s">
        <v>1515</v>
      </c>
      <c r="K679" s="597"/>
      <c r="L679" s="597"/>
      <c r="M679" s="597"/>
      <c r="N679" s="599"/>
    </row>
    <row r="680" spans="2:14">
      <c r="B680" s="582">
        <f t="shared" si="10"/>
        <v>670</v>
      </c>
      <c r="C680" s="592" t="s">
        <v>771</v>
      </c>
      <c r="D680" s="593"/>
      <c r="E680" s="594" t="s">
        <v>11</v>
      </c>
      <c r="F680" s="600">
        <v>136058</v>
      </c>
      <c r="G680" s="597"/>
      <c r="H680" s="597"/>
      <c r="I680" s="597"/>
      <c r="J680" s="597" t="s">
        <v>1515</v>
      </c>
      <c r="K680" s="597"/>
      <c r="L680" s="597"/>
      <c r="M680" s="597"/>
      <c r="N680" s="599"/>
    </row>
    <row r="681" spans="2:14">
      <c r="B681" s="582">
        <f t="shared" si="10"/>
        <v>671</v>
      </c>
      <c r="C681" s="592" t="s">
        <v>773</v>
      </c>
      <c r="D681" s="593"/>
      <c r="E681" s="594" t="s">
        <v>11</v>
      </c>
      <c r="F681" s="600">
        <v>255683</v>
      </c>
      <c r="G681" s="597"/>
      <c r="H681" s="597"/>
      <c r="I681" s="597"/>
      <c r="J681" s="597" t="s">
        <v>1515</v>
      </c>
      <c r="K681" s="597"/>
      <c r="L681" s="597"/>
      <c r="M681" s="597"/>
      <c r="N681" s="599"/>
    </row>
    <row r="682" spans="2:14">
      <c r="B682" s="582">
        <f t="shared" si="10"/>
        <v>672</v>
      </c>
      <c r="C682" s="592" t="s">
        <v>775</v>
      </c>
      <c r="D682" s="593"/>
      <c r="E682" s="594" t="s">
        <v>36</v>
      </c>
      <c r="F682" s="600">
        <v>317560</v>
      </c>
      <c r="G682" s="597"/>
      <c r="H682" s="597"/>
      <c r="I682" s="597"/>
      <c r="J682" s="597" t="s">
        <v>1515</v>
      </c>
      <c r="K682" s="597"/>
      <c r="L682" s="597"/>
      <c r="M682" s="597"/>
      <c r="N682" s="599"/>
    </row>
    <row r="683" spans="2:14">
      <c r="B683" s="582">
        <f t="shared" si="10"/>
        <v>673</v>
      </c>
      <c r="C683" s="592" t="s">
        <v>777</v>
      </c>
      <c r="D683" s="593"/>
      <c r="E683" s="594" t="s">
        <v>11</v>
      </c>
      <c r="F683" s="600">
        <v>515637</v>
      </c>
      <c r="G683" s="597"/>
      <c r="H683" s="597"/>
      <c r="I683" s="597"/>
      <c r="J683" s="597" t="s">
        <v>1515</v>
      </c>
      <c r="K683" s="597"/>
      <c r="L683" s="597"/>
      <c r="M683" s="597"/>
      <c r="N683" s="599"/>
    </row>
    <row r="684" spans="2:14">
      <c r="B684" s="582">
        <f t="shared" si="10"/>
        <v>674</v>
      </c>
      <c r="C684" s="592" t="s">
        <v>779</v>
      </c>
      <c r="D684" s="593"/>
      <c r="E684" s="594" t="s">
        <v>11</v>
      </c>
      <c r="F684" s="600">
        <v>431481</v>
      </c>
      <c r="G684" s="597"/>
      <c r="H684" s="597"/>
      <c r="I684" s="597"/>
      <c r="J684" s="597" t="s">
        <v>1515</v>
      </c>
      <c r="K684" s="597"/>
      <c r="L684" s="597"/>
      <c r="M684" s="597"/>
      <c r="N684" s="599"/>
    </row>
    <row r="685" spans="2:14">
      <c r="B685" s="582">
        <f t="shared" si="10"/>
        <v>675</v>
      </c>
      <c r="C685" s="592" t="s">
        <v>781</v>
      </c>
      <c r="D685" s="593"/>
      <c r="E685" s="594" t="s">
        <v>11</v>
      </c>
      <c r="F685" s="600">
        <v>32611</v>
      </c>
      <c r="G685" s="597"/>
      <c r="H685" s="597"/>
      <c r="I685" s="597"/>
      <c r="J685" s="597" t="s">
        <v>1515</v>
      </c>
      <c r="K685" s="597"/>
      <c r="L685" s="597"/>
      <c r="M685" s="597"/>
      <c r="N685" s="599"/>
    </row>
    <row r="686" spans="2:14">
      <c r="B686" s="582">
        <f t="shared" si="10"/>
        <v>676</v>
      </c>
      <c r="C686" s="592" t="s">
        <v>783</v>
      </c>
      <c r="D686" s="593"/>
      <c r="E686" s="594" t="s">
        <v>11</v>
      </c>
      <c r="F686" s="600">
        <v>53232</v>
      </c>
      <c r="G686" s="597"/>
      <c r="H686" s="597"/>
      <c r="I686" s="597"/>
      <c r="J686" s="597" t="s">
        <v>1515</v>
      </c>
      <c r="K686" s="597"/>
      <c r="L686" s="597"/>
      <c r="M686" s="597"/>
      <c r="N686" s="599"/>
    </row>
    <row r="687" spans="2:14" ht="29">
      <c r="B687" s="582">
        <f t="shared" si="10"/>
        <v>677</v>
      </c>
      <c r="C687" s="592" t="s">
        <v>784</v>
      </c>
      <c r="D687" s="593"/>
      <c r="E687" s="594" t="s">
        <v>11</v>
      </c>
      <c r="F687" s="600">
        <v>228663</v>
      </c>
      <c r="G687" s="597"/>
      <c r="H687" s="597"/>
      <c r="I687" s="597"/>
      <c r="J687" s="597" t="s">
        <v>1515</v>
      </c>
      <c r="K687" s="597"/>
      <c r="L687" s="597"/>
      <c r="M687" s="597"/>
      <c r="N687" s="599"/>
    </row>
    <row r="688" spans="2:14" ht="29">
      <c r="B688" s="582">
        <f t="shared" si="10"/>
        <v>678</v>
      </c>
      <c r="C688" s="592" t="s">
        <v>786</v>
      </c>
      <c r="D688" s="593"/>
      <c r="E688" s="594" t="s">
        <v>11</v>
      </c>
      <c r="F688" s="600">
        <v>36678</v>
      </c>
      <c r="G688" s="597"/>
      <c r="H688" s="597"/>
      <c r="I688" s="597"/>
      <c r="J688" s="597" t="s">
        <v>1515</v>
      </c>
      <c r="K688" s="597"/>
      <c r="L688" s="597"/>
      <c r="M688" s="597"/>
      <c r="N688" s="599"/>
    </row>
    <row r="689" spans="1:14">
      <c r="B689" s="582">
        <f t="shared" si="10"/>
        <v>679</v>
      </c>
      <c r="C689" s="592" t="s">
        <v>788</v>
      </c>
      <c r="D689" s="593"/>
      <c r="E689" s="594" t="s">
        <v>11</v>
      </c>
      <c r="F689" s="600">
        <v>125517</v>
      </c>
      <c r="G689" s="597"/>
      <c r="H689" s="597"/>
      <c r="I689" s="597"/>
      <c r="J689" s="597" t="s">
        <v>1515</v>
      </c>
      <c r="K689" s="597"/>
      <c r="L689" s="597"/>
      <c r="M689" s="597"/>
      <c r="N689" s="599"/>
    </row>
    <row r="690" spans="1:14">
      <c r="B690" s="582">
        <f t="shared" si="10"/>
        <v>680</v>
      </c>
      <c r="C690" s="592" t="s">
        <v>484</v>
      </c>
      <c r="D690" s="593" t="s">
        <v>2057</v>
      </c>
      <c r="E690" s="594" t="s">
        <v>11</v>
      </c>
      <c r="F690" s="600">
        <v>29969</v>
      </c>
      <c r="G690" s="597"/>
      <c r="H690" s="597"/>
      <c r="I690" s="597"/>
      <c r="J690" s="597" t="s">
        <v>1515</v>
      </c>
      <c r="K690" s="597"/>
      <c r="L690" s="597"/>
      <c r="M690" s="597"/>
      <c r="N690" s="599"/>
    </row>
    <row r="691" spans="1:14">
      <c r="B691" s="582">
        <f t="shared" si="10"/>
        <v>681</v>
      </c>
      <c r="C691" s="592" t="s">
        <v>486</v>
      </c>
      <c r="D691" s="593" t="s">
        <v>2044</v>
      </c>
      <c r="E691" s="594" t="s">
        <v>36</v>
      </c>
      <c r="F691" s="600">
        <v>340848</v>
      </c>
      <c r="G691" s="597"/>
      <c r="H691" s="597"/>
      <c r="I691" s="597"/>
      <c r="J691" s="597" t="s">
        <v>1515</v>
      </c>
      <c r="K691" s="597"/>
      <c r="L691" s="597"/>
      <c r="M691" s="597"/>
      <c r="N691" s="599"/>
    </row>
    <row r="692" spans="1:14">
      <c r="B692" s="582">
        <f t="shared" si="10"/>
        <v>682</v>
      </c>
      <c r="C692" s="592" t="s">
        <v>790</v>
      </c>
      <c r="D692" s="593"/>
      <c r="E692" s="594" t="s">
        <v>36</v>
      </c>
      <c r="F692" s="600">
        <v>534098</v>
      </c>
      <c r="G692" s="597"/>
      <c r="H692" s="597"/>
      <c r="I692" s="597"/>
      <c r="J692" s="597" t="s">
        <v>1515</v>
      </c>
      <c r="K692" s="597"/>
      <c r="L692" s="597"/>
      <c r="M692" s="597"/>
      <c r="N692" s="599"/>
    </row>
    <row r="693" spans="1:14">
      <c r="A693" s="562" t="s">
        <v>349</v>
      </c>
      <c r="B693" s="582">
        <f t="shared" si="10"/>
        <v>683</v>
      </c>
      <c r="C693" s="592" t="s">
        <v>2058</v>
      </c>
      <c r="D693" s="593" t="s">
        <v>2059</v>
      </c>
      <c r="E693" s="594" t="s">
        <v>11</v>
      </c>
      <c r="F693" s="600">
        <v>19476</v>
      </c>
      <c r="G693" s="597"/>
      <c r="H693" s="597"/>
      <c r="I693" s="597"/>
      <c r="J693" s="597" t="s">
        <v>1515</v>
      </c>
      <c r="K693" s="597"/>
      <c r="L693" s="597"/>
      <c r="M693" s="597"/>
      <c r="N693" s="599"/>
    </row>
    <row r="694" spans="1:14">
      <c r="B694" s="582">
        <f t="shared" si="10"/>
        <v>684</v>
      </c>
      <c r="C694" s="592" t="s">
        <v>792</v>
      </c>
      <c r="D694" s="593"/>
      <c r="E694" s="594" t="s">
        <v>11</v>
      </c>
      <c r="F694" s="600">
        <v>47088</v>
      </c>
      <c r="G694" s="597"/>
      <c r="H694" s="597"/>
      <c r="I694" s="597"/>
      <c r="J694" s="597" t="s">
        <v>1515</v>
      </c>
      <c r="K694" s="597"/>
      <c r="L694" s="597"/>
      <c r="M694" s="597"/>
      <c r="N694" s="599"/>
    </row>
    <row r="695" spans="1:14">
      <c r="B695" s="582">
        <f t="shared" si="10"/>
        <v>685</v>
      </c>
      <c r="C695" s="592" t="s">
        <v>794</v>
      </c>
      <c r="D695" s="593"/>
      <c r="E695" s="594" t="s">
        <v>11</v>
      </c>
      <c r="F695" s="600">
        <v>116254</v>
      </c>
      <c r="G695" s="597"/>
      <c r="H695" s="597"/>
      <c r="I695" s="597"/>
      <c r="J695" s="597" t="s">
        <v>1515</v>
      </c>
      <c r="K695" s="597"/>
      <c r="L695" s="597"/>
      <c r="M695" s="597"/>
      <c r="N695" s="599"/>
    </row>
    <row r="696" spans="1:14">
      <c r="B696" s="582">
        <f t="shared" si="10"/>
        <v>686</v>
      </c>
      <c r="C696" s="592" t="s">
        <v>796</v>
      </c>
      <c r="D696" s="593"/>
      <c r="E696" s="594" t="s">
        <v>11</v>
      </c>
      <c r="F696" s="600">
        <v>202330</v>
      </c>
      <c r="G696" s="597"/>
      <c r="H696" s="597"/>
      <c r="I696" s="597"/>
      <c r="J696" s="597" t="s">
        <v>1515</v>
      </c>
      <c r="K696" s="597"/>
      <c r="L696" s="597"/>
      <c r="M696" s="597"/>
      <c r="N696" s="599"/>
    </row>
    <row r="697" spans="1:14">
      <c r="B697" s="582">
        <f t="shared" si="10"/>
        <v>687</v>
      </c>
      <c r="C697" s="592" t="s">
        <v>798</v>
      </c>
      <c r="D697" s="593"/>
      <c r="E697" s="594" t="s">
        <v>11</v>
      </c>
      <c r="F697" s="600">
        <v>132289</v>
      </c>
      <c r="G697" s="597"/>
      <c r="H697" s="597"/>
      <c r="I697" s="597"/>
      <c r="J697" s="597" t="s">
        <v>1515</v>
      </c>
      <c r="K697" s="597"/>
      <c r="L697" s="597"/>
      <c r="M697" s="597"/>
      <c r="N697" s="599"/>
    </row>
    <row r="698" spans="1:14">
      <c r="B698" s="582">
        <f t="shared" si="10"/>
        <v>688</v>
      </c>
      <c r="C698" s="592" t="s">
        <v>800</v>
      </c>
      <c r="D698" s="593"/>
      <c r="E698" s="594" t="s">
        <v>11</v>
      </c>
      <c r="F698" s="600">
        <v>347511</v>
      </c>
      <c r="G698" s="597"/>
      <c r="H698" s="597"/>
      <c r="I698" s="597"/>
      <c r="J698" s="597" t="s">
        <v>1515</v>
      </c>
      <c r="K698" s="597"/>
      <c r="L698" s="597"/>
      <c r="M698" s="597"/>
      <c r="N698" s="599"/>
    </row>
    <row r="699" spans="1:14">
      <c r="B699" s="582">
        <f t="shared" si="10"/>
        <v>689</v>
      </c>
      <c r="C699" s="592" t="s">
        <v>2060</v>
      </c>
      <c r="D699" s="593"/>
      <c r="E699" s="594" t="s">
        <v>11</v>
      </c>
      <c r="F699" s="600">
        <v>205485</v>
      </c>
      <c r="G699" s="597"/>
      <c r="H699" s="597"/>
      <c r="I699" s="597"/>
      <c r="J699" s="597" t="s">
        <v>1515</v>
      </c>
      <c r="K699" s="597"/>
      <c r="L699" s="597"/>
      <c r="M699" s="597"/>
      <c r="N699" s="599"/>
    </row>
    <row r="700" spans="1:14">
      <c r="B700" s="582">
        <f t="shared" si="10"/>
        <v>690</v>
      </c>
      <c r="C700" s="592" t="s">
        <v>802</v>
      </c>
      <c r="D700" s="593"/>
      <c r="E700" s="594" t="s">
        <v>11</v>
      </c>
      <c r="F700" s="600">
        <v>86970</v>
      </c>
      <c r="G700" s="597"/>
      <c r="H700" s="597"/>
      <c r="I700" s="597"/>
      <c r="J700" s="597" t="s">
        <v>1515</v>
      </c>
      <c r="K700" s="597"/>
      <c r="L700" s="597"/>
      <c r="M700" s="597"/>
      <c r="N700" s="599"/>
    </row>
    <row r="701" spans="1:14">
      <c r="B701" s="582">
        <f t="shared" si="10"/>
        <v>691</v>
      </c>
      <c r="C701" s="592" t="s">
        <v>804</v>
      </c>
      <c r="D701" s="593"/>
      <c r="E701" s="594" t="s">
        <v>11</v>
      </c>
      <c r="F701" s="600">
        <v>169157</v>
      </c>
      <c r="G701" s="597"/>
      <c r="H701" s="597"/>
      <c r="I701" s="597"/>
      <c r="J701" s="597" t="s">
        <v>1515</v>
      </c>
      <c r="K701" s="597"/>
      <c r="L701" s="597"/>
      <c r="M701" s="597"/>
      <c r="N701" s="599"/>
    </row>
    <row r="702" spans="1:14" ht="29">
      <c r="B702" s="582">
        <f t="shared" si="10"/>
        <v>692</v>
      </c>
      <c r="C702" s="592" t="s">
        <v>806</v>
      </c>
      <c r="D702" s="593"/>
      <c r="E702" s="594" t="s">
        <v>11</v>
      </c>
      <c r="F702" s="600">
        <v>86281</v>
      </c>
      <c r="G702" s="597"/>
      <c r="H702" s="597"/>
      <c r="I702" s="597"/>
      <c r="J702" s="597" t="s">
        <v>1515</v>
      </c>
      <c r="K702" s="597"/>
      <c r="L702" s="597"/>
      <c r="M702" s="597"/>
      <c r="N702" s="599"/>
    </row>
    <row r="703" spans="1:14">
      <c r="B703" s="582">
        <f t="shared" si="10"/>
        <v>693</v>
      </c>
      <c r="C703" s="592" t="s">
        <v>808</v>
      </c>
      <c r="D703" s="593"/>
      <c r="E703" s="594" t="s">
        <v>11</v>
      </c>
      <c r="F703" s="600">
        <v>145547</v>
      </c>
      <c r="G703" s="597"/>
      <c r="H703" s="597"/>
      <c r="I703" s="597"/>
      <c r="J703" s="597" t="s">
        <v>1515</v>
      </c>
      <c r="K703" s="597"/>
      <c r="L703" s="597"/>
      <c r="M703" s="597"/>
      <c r="N703" s="599"/>
    </row>
    <row r="704" spans="1:14">
      <c r="B704" s="582">
        <f t="shared" si="10"/>
        <v>694</v>
      </c>
      <c r="C704" s="592" t="s">
        <v>810</v>
      </c>
      <c r="D704" s="593"/>
      <c r="E704" s="594" t="s">
        <v>11</v>
      </c>
      <c r="F704" s="600">
        <v>388794</v>
      </c>
      <c r="G704" s="597"/>
      <c r="H704" s="597"/>
      <c r="I704" s="597"/>
      <c r="J704" s="597" t="s">
        <v>1515</v>
      </c>
      <c r="K704" s="597"/>
      <c r="L704" s="597"/>
      <c r="M704" s="597"/>
      <c r="N704" s="599"/>
    </row>
    <row r="705" spans="2:14">
      <c r="B705" s="582">
        <f t="shared" si="10"/>
        <v>695</v>
      </c>
      <c r="C705" s="592" t="s">
        <v>812</v>
      </c>
      <c r="D705" s="593"/>
      <c r="E705" s="594" t="s">
        <v>11</v>
      </c>
      <c r="F705" s="600">
        <v>247341</v>
      </c>
      <c r="G705" s="597"/>
      <c r="H705" s="597"/>
      <c r="I705" s="597"/>
      <c r="J705" s="597" t="s">
        <v>1515</v>
      </c>
      <c r="K705" s="597"/>
      <c r="L705" s="597"/>
      <c r="M705" s="597"/>
      <c r="N705" s="599"/>
    </row>
    <row r="706" spans="2:14">
      <c r="B706" s="582">
        <f t="shared" si="10"/>
        <v>696</v>
      </c>
      <c r="C706" s="592" t="s">
        <v>814</v>
      </c>
      <c r="D706" s="593"/>
      <c r="E706" s="594" t="s">
        <v>11</v>
      </c>
      <c r="F706" s="600">
        <v>29362</v>
      </c>
      <c r="G706" s="597"/>
      <c r="H706" s="597"/>
      <c r="I706" s="597"/>
      <c r="J706" s="597" t="s">
        <v>1515</v>
      </c>
      <c r="K706" s="597"/>
      <c r="L706" s="597"/>
      <c r="M706" s="597"/>
      <c r="N706" s="599"/>
    </row>
    <row r="707" spans="2:14">
      <c r="B707" s="582">
        <f t="shared" si="10"/>
        <v>697</v>
      </c>
      <c r="C707" s="592" t="s">
        <v>816</v>
      </c>
      <c r="D707" s="593"/>
      <c r="E707" s="594" t="s">
        <v>11</v>
      </c>
      <c r="F707" s="600">
        <v>11064</v>
      </c>
      <c r="G707" s="597"/>
      <c r="H707" s="597"/>
      <c r="I707" s="597"/>
      <c r="J707" s="597" t="s">
        <v>1515</v>
      </c>
      <c r="K707" s="597"/>
      <c r="L707" s="597"/>
      <c r="M707" s="597"/>
      <c r="N707" s="599"/>
    </row>
    <row r="708" spans="2:14" ht="29">
      <c r="B708" s="582">
        <f t="shared" si="10"/>
        <v>698</v>
      </c>
      <c r="C708" s="592" t="s">
        <v>818</v>
      </c>
      <c r="D708" s="593"/>
      <c r="E708" s="594" t="s">
        <v>11</v>
      </c>
      <c r="F708" s="600">
        <v>5170</v>
      </c>
      <c r="G708" s="597"/>
      <c r="H708" s="597"/>
      <c r="I708" s="597"/>
      <c r="J708" s="597" t="s">
        <v>1515</v>
      </c>
      <c r="K708" s="597"/>
      <c r="L708" s="597"/>
      <c r="M708" s="597"/>
      <c r="N708" s="599"/>
    </row>
    <row r="709" spans="2:14">
      <c r="B709" s="582">
        <f t="shared" si="10"/>
        <v>699</v>
      </c>
      <c r="C709" s="592" t="s">
        <v>820</v>
      </c>
      <c r="D709" s="593"/>
      <c r="E709" s="594" t="s">
        <v>11</v>
      </c>
      <c r="F709" s="600">
        <v>1107</v>
      </c>
      <c r="G709" s="597"/>
      <c r="H709" s="597"/>
      <c r="I709" s="597"/>
      <c r="J709" s="597" t="s">
        <v>1515</v>
      </c>
      <c r="K709" s="597"/>
      <c r="L709" s="597"/>
      <c r="M709" s="597"/>
      <c r="N709" s="599"/>
    </row>
    <row r="710" spans="2:14">
      <c r="B710" s="582">
        <f t="shared" si="10"/>
        <v>700</v>
      </c>
      <c r="C710" s="592" t="s">
        <v>822</v>
      </c>
      <c r="D710" s="593"/>
      <c r="E710" s="594" t="s">
        <v>11</v>
      </c>
      <c r="F710" s="600">
        <v>71992</v>
      </c>
      <c r="G710" s="597"/>
      <c r="H710" s="597"/>
      <c r="I710" s="597"/>
      <c r="J710" s="597" t="s">
        <v>1515</v>
      </c>
      <c r="K710" s="597"/>
      <c r="L710" s="597"/>
      <c r="M710" s="597"/>
      <c r="N710" s="599"/>
    </row>
    <row r="711" spans="2:14">
      <c r="B711" s="582">
        <f t="shared" ref="B711:B774" si="11">B710+1</f>
        <v>701</v>
      </c>
      <c r="C711" s="592" t="s">
        <v>824</v>
      </c>
      <c r="D711" s="593"/>
      <c r="E711" s="594" t="s">
        <v>11</v>
      </c>
      <c r="F711" s="600">
        <v>56410</v>
      </c>
      <c r="G711" s="597"/>
      <c r="H711" s="597"/>
      <c r="I711" s="597"/>
      <c r="J711" s="597" t="s">
        <v>1515</v>
      </c>
      <c r="K711" s="597"/>
      <c r="L711" s="597"/>
      <c r="M711" s="597"/>
      <c r="N711" s="599"/>
    </row>
    <row r="712" spans="2:14">
      <c r="B712" s="582">
        <f t="shared" si="11"/>
        <v>702</v>
      </c>
      <c r="C712" s="592" t="s">
        <v>826</v>
      </c>
      <c r="D712" s="593"/>
      <c r="E712" s="594" t="s">
        <v>11</v>
      </c>
      <c r="F712" s="600">
        <v>356893</v>
      </c>
      <c r="G712" s="597"/>
      <c r="H712" s="597"/>
      <c r="I712" s="597"/>
      <c r="J712" s="597" t="s">
        <v>1515</v>
      </c>
      <c r="K712" s="597"/>
      <c r="L712" s="597"/>
      <c r="M712" s="597"/>
      <c r="N712" s="599"/>
    </row>
    <row r="713" spans="2:14">
      <c r="B713" s="582">
        <f t="shared" si="11"/>
        <v>703</v>
      </c>
      <c r="C713" s="592" t="s">
        <v>828</v>
      </c>
      <c r="D713" s="593"/>
      <c r="E713" s="594" t="s">
        <v>36</v>
      </c>
      <c r="F713" s="600">
        <v>126322</v>
      </c>
      <c r="G713" s="597"/>
      <c r="H713" s="597"/>
      <c r="I713" s="597"/>
      <c r="J713" s="597" t="s">
        <v>1515</v>
      </c>
      <c r="K713" s="597"/>
      <c r="L713" s="597"/>
      <c r="M713" s="597"/>
      <c r="N713" s="599"/>
    </row>
    <row r="714" spans="2:14">
      <c r="B714" s="582">
        <f t="shared" si="11"/>
        <v>704</v>
      </c>
      <c r="C714" s="592" t="s">
        <v>830</v>
      </c>
      <c r="D714" s="593" t="s">
        <v>2061</v>
      </c>
      <c r="E714" s="594" t="s">
        <v>11</v>
      </c>
      <c r="F714" s="600">
        <v>3758</v>
      </c>
      <c r="G714" s="597"/>
      <c r="H714" s="597"/>
      <c r="I714" s="597"/>
      <c r="J714" s="597" t="s">
        <v>1515</v>
      </c>
      <c r="K714" s="597"/>
      <c r="L714" s="597"/>
      <c r="M714" s="597"/>
      <c r="N714" s="599"/>
    </row>
    <row r="715" spans="2:14">
      <c r="B715" s="582">
        <f t="shared" si="11"/>
        <v>705</v>
      </c>
      <c r="C715" s="592" t="s">
        <v>832</v>
      </c>
      <c r="D715" s="593"/>
      <c r="E715" s="594" t="s">
        <v>11</v>
      </c>
      <c r="F715" s="600">
        <v>18343</v>
      </c>
      <c r="G715" s="597"/>
      <c r="H715" s="597"/>
      <c r="I715" s="597"/>
      <c r="J715" s="597" t="s">
        <v>1515</v>
      </c>
      <c r="K715" s="597"/>
      <c r="L715" s="597"/>
      <c r="M715" s="597"/>
      <c r="N715" s="599"/>
    </row>
    <row r="716" spans="2:14">
      <c r="B716" s="582">
        <f t="shared" si="11"/>
        <v>706</v>
      </c>
      <c r="C716" s="592" t="s">
        <v>834</v>
      </c>
      <c r="D716" s="593"/>
      <c r="E716" s="594" t="s">
        <v>11</v>
      </c>
      <c r="F716" s="600">
        <v>173825</v>
      </c>
      <c r="G716" s="597"/>
      <c r="H716" s="597"/>
      <c r="I716" s="597"/>
      <c r="J716" s="597" t="s">
        <v>1515</v>
      </c>
      <c r="K716" s="597"/>
      <c r="L716" s="597"/>
      <c r="M716" s="597"/>
      <c r="N716" s="599"/>
    </row>
    <row r="717" spans="2:14">
      <c r="B717" s="582">
        <f t="shared" si="11"/>
        <v>707</v>
      </c>
      <c r="C717" s="592" t="s">
        <v>836</v>
      </c>
      <c r="D717" s="593"/>
      <c r="E717" s="594" t="s">
        <v>11</v>
      </c>
      <c r="F717" s="600">
        <v>229379</v>
      </c>
      <c r="G717" s="597"/>
      <c r="H717" s="597"/>
      <c r="I717" s="597"/>
      <c r="J717" s="597" t="s">
        <v>1515</v>
      </c>
      <c r="K717" s="597"/>
      <c r="L717" s="597"/>
      <c r="M717" s="597"/>
      <c r="N717" s="599"/>
    </row>
    <row r="718" spans="2:14">
      <c r="B718" s="582">
        <f t="shared" si="11"/>
        <v>708</v>
      </c>
      <c r="C718" s="592" t="s">
        <v>838</v>
      </c>
      <c r="D718" s="593"/>
      <c r="E718" s="594" t="s">
        <v>36</v>
      </c>
      <c r="F718" s="600">
        <v>108824</v>
      </c>
      <c r="G718" s="597"/>
      <c r="H718" s="597"/>
      <c r="I718" s="597"/>
      <c r="J718" s="597" t="s">
        <v>1515</v>
      </c>
      <c r="K718" s="597"/>
      <c r="L718" s="597"/>
      <c r="M718" s="597"/>
      <c r="N718" s="599"/>
    </row>
    <row r="719" spans="2:14" ht="29">
      <c r="B719" s="582">
        <f t="shared" si="11"/>
        <v>709</v>
      </c>
      <c r="C719" s="592" t="s">
        <v>840</v>
      </c>
      <c r="D719" s="593"/>
      <c r="E719" s="594" t="s">
        <v>36</v>
      </c>
      <c r="F719" s="600">
        <v>111897</v>
      </c>
      <c r="G719" s="597"/>
      <c r="H719" s="597"/>
      <c r="I719" s="597"/>
      <c r="J719" s="597" t="s">
        <v>1515</v>
      </c>
      <c r="K719" s="597"/>
      <c r="L719" s="597"/>
      <c r="M719" s="597"/>
      <c r="N719" s="599"/>
    </row>
    <row r="720" spans="2:14" ht="29">
      <c r="B720" s="582">
        <f t="shared" si="11"/>
        <v>710</v>
      </c>
      <c r="C720" s="592" t="s">
        <v>842</v>
      </c>
      <c r="D720" s="593"/>
      <c r="E720" s="594" t="s">
        <v>36</v>
      </c>
      <c r="F720" s="600">
        <v>280406</v>
      </c>
      <c r="G720" s="597"/>
      <c r="H720" s="597"/>
      <c r="I720" s="597"/>
      <c r="J720" s="597" t="s">
        <v>1515</v>
      </c>
      <c r="K720" s="597"/>
      <c r="L720" s="597"/>
      <c r="M720" s="597"/>
      <c r="N720" s="599"/>
    </row>
    <row r="721" spans="1:14">
      <c r="B721" s="582">
        <f t="shared" si="11"/>
        <v>711</v>
      </c>
      <c r="C721" s="592" t="s">
        <v>844</v>
      </c>
      <c r="D721" s="593"/>
      <c r="E721" s="594" t="s">
        <v>11</v>
      </c>
      <c r="F721" s="600">
        <v>152681</v>
      </c>
      <c r="G721" s="597"/>
      <c r="H721" s="597"/>
      <c r="I721" s="597"/>
      <c r="J721" s="597" t="s">
        <v>1515</v>
      </c>
      <c r="K721" s="597"/>
      <c r="L721" s="597"/>
      <c r="M721" s="597"/>
      <c r="N721" s="599"/>
    </row>
    <row r="722" spans="1:14">
      <c r="B722" s="582">
        <f t="shared" si="11"/>
        <v>712</v>
      </c>
      <c r="C722" s="592" t="s">
        <v>846</v>
      </c>
      <c r="D722" s="593"/>
      <c r="E722" s="594" t="s">
        <v>11</v>
      </c>
      <c r="F722" s="600">
        <v>116342</v>
      </c>
      <c r="G722" s="597"/>
      <c r="H722" s="597"/>
      <c r="I722" s="597"/>
      <c r="J722" s="597" t="s">
        <v>1515</v>
      </c>
      <c r="K722" s="597"/>
      <c r="L722" s="597"/>
      <c r="M722" s="597"/>
      <c r="N722" s="599"/>
    </row>
    <row r="723" spans="1:14">
      <c r="B723" s="582">
        <f t="shared" si="11"/>
        <v>713</v>
      </c>
      <c r="C723" s="592" t="s">
        <v>848</v>
      </c>
      <c r="D723" s="593"/>
      <c r="E723" s="594" t="s">
        <v>11</v>
      </c>
      <c r="F723" s="600">
        <v>186136</v>
      </c>
      <c r="G723" s="597"/>
      <c r="H723" s="597"/>
      <c r="I723" s="597"/>
      <c r="J723" s="597" t="s">
        <v>1515</v>
      </c>
      <c r="K723" s="597"/>
      <c r="L723" s="597"/>
      <c r="M723" s="597"/>
      <c r="N723" s="599"/>
    </row>
    <row r="724" spans="1:14">
      <c r="B724" s="582">
        <f t="shared" si="11"/>
        <v>714</v>
      </c>
      <c r="C724" s="592" t="s">
        <v>850</v>
      </c>
      <c r="D724" s="593"/>
      <c r="E724" s="594" t="s">
        <v>11</v>
      </c>
      <c r="F724" s="600">
        <v>261631</v>
      </c>
      <c r="G724" s="597"/>
      <c r="H724" s="597"/>
      <c r="I724" s="597"/>
      <c r="J724" s="597" t="s">
        <v>1515</v>
      </c>
      <c r="K724" s="597"/>
      <c r="L724" s="597"/>
      <c r="M724" s="597"/>
      <c r="N724" s="599"/>
    </row>
    <row r="725" spans="1:14">
      <c r="B725" s="582">
        <f t="shared" si="11"/>
        <v>715</v>
      </c>
      <c r="C725" s="592" t="s">
        <v>852</v>
      </c>
      <c r="D725" s="593"/>
      <c r="E725" s="594" t="s">
        <v>36</v>
      </c>
      <c r="F725" s="600">
        <v>832</v>
      </c>
      <c r="G725" s="597"/>
      <c r="H725" s="597"/>
      <c r="I725" s="597"/>
      <c r="J725" s="597" t="s">
        <v>1515</v>
      </c>
      <c r="K725" s="597"/>
      <c r="L725" s="597"/>
      <c r="M725" s="597"/>
      <c r="N725" s="599"/>
    </row>
    <row r="726" spans="1:14">
      <c r="A726" s="562" t="s">
        <v>393</v>
      </c>
      <c r="B726" s="582">
        <f t="shared" si="11"/>
        <v>716</v>
      </c>
      <c r="C726" s="592" t="s">
        <v>2375</v>
      </c>
      <c r="D726" s="593" t="s">
        <v>2062</v>
      </c>
      <c r="E726" s="594" t="s">
        <v>11</v>
      </c>
      <c r="F726" s="600">
        <v>74403</v>
      </c>
      <c r="G726" s="597"/>
      <c r="H726" s="597"/>
      <c r="I726" s="597"/>
      <c r="J726" s="597" t="s">
        <v>1515</v>
      </c>
      <c r="K726" s="597"/>
      <c r="L726" s="597"/>
      <c r="M726" s="597"/>
      <c r="N726" s="599"/>
    </row>
    <row r="727" spans="1:14">
      <c r="B727" s="582">
        <f t="shared" si="11"/>
        <v>717</v>
      </c>
      <c r="C727" s="592" t="s">
        <v>854</v>
      </c>
      <c r="D727" s="593"/>
      <c r="E727" s="594" t="s">
        <v>11</v>
      </c>
      <c r="F727" s="600">
        <v>58982</v>
      </c>
      <c r="G727" s="597"/>
      <c r="H727" s="597"/>
      <c r="I727" s="597"/>
      <c r="J727" s="597" t="s">
        <v>1515</v>
      </c>
      <c r="K727" s="597"/>
      <c r="L727" s="597"/>
      <c r="M727" s="597"/>
      <c r="N727" s="599"/>
    </row>
    <row r="728" spans="1:14">
      <c r="B728" s="582">
        <f t="shared" si="11"/>
        <v>718</v>
      </c>
      <c r="C728" s="592" t="s">
        <v>856</v>
      </c>
      <c r="D728" s="593"/>
      <c r="E728" s="594" t="s">
        <v>36</v>
      </c>
      <c r="F728" s="600">
        <v>320081</v>
      </c>
      <c r="G728" s="597"/>
      <c r="H728" s="597"/>
      <c r="I728" s="597"/>
      <c r="J728" s="597" t="s">
        <v>1515</v>
      </c>
      <c r="K728" s="597"/>
      <c r="L728" s="597"/>
      <c r="M728" s="597"/>
      <c r="N728" s="599"/>
    </row>
    <row r="729" spans="1:14">
      <c r="B729" s="582">
        <f t="shared" si="11"/>
        <v>719</v>
      </c>
      <c r="C729" s="592" t="s">
        <v>858</v>
      </c>
      <c r="D729" s="593"/>
      <c r="E729" s="594" t="s">
        <v>11</v>
      </c>
      <c r="F729" s="600">
        <v>367518</v>
      </c>
      <c r="G729" s="597"/>
      <c r="H729" s="597"/>
      <c r="I729" s="597"/>
      <c r="J729" s="597" t="s">
        <v>1515</v>
      </c>
      <c r="K729" s="597"/>
      <c r="L729" s="597"/>
      <c r="M729" s="597"/>
      <c r="N729" s="599"/>
    </row>
    <row r="730" spans="1:14">
      <c r="B730" s="582">
        <f t="shared" si="11"/>
        <v>720</v>
      </c>
      <c r="C730" s="592" t="s">
        <v>860</v>
      </c>
      <c r="D730" s="593"/>
      <c r="E730" s="594" t="s">
        <v>11</v>
      </c>
      <c r="F730" s="600">
        <v>222507</v>
      </c>
      <c r="G730" s="597"/>
      <c r="H730" s="597"/>
      <c r="I730" s="597"/>
      <c r="J730" s="597" t="s">
        <v>1515</v>
      </c>
      <c r="K730" s="597"/>
      <c r="L730" s="597"/>
      <c r="M730" s="597"/>
      <c r="N730" s="599"/>
    </row>
    <row r="731" spans="1:14">
      <c r="B731" s="582">
        <f t="shared" si="11"/>
        <v>721</v>
      </c>
      <c r="C731" s="592" t="s">
        <v>862</v>
      </c>
      <c r="D731" s="593"/>
      <c r="E731" s="594" t="s">
        <v>11</v>
      </c>
      <c r="F731" s="600">
        <v>919</v>
      </c>
      <c r="G731" s="597"/>
      <c r="H731" s="597"/>
      <c r="I731" s="597"/>
      <c r="J731" s="597" t="s">
        <v>1515</v>
      </c>
      <c r="K731" s="597"/>
      <c r="L731" s="597"/>
      <c r="M731" s="597"/>
      <c r="N731" s="599"/>
    </row>
    <row r="732" spans="1:14">
      <c r="B732" s="582">
        <f t="shared" si="11"/>
        <v>722</v>
      </c>
      <c r="C732" s="592" t="s">
        <v>864</v>
      </c>
      <c r="D732" s="593"/>
      <c r="E732" s="594" t="s">
        <v>11</v>
      </c>
      <c r="F732" s="600">
        <v>451389</v>
      </c>
      <c r="G732" s="597"/>
      <c r="H732" s="597"/>
      <c r="I732" s="597"/>
      <c r="J732" s="597" t="s">
        <v>1515</v>
      </c>
      <c r="K732" s="597"/>
      <c r="L732" s="597"/>
      <c r="M732" s="597"/>
      <c r="N732" s="599"/>
    </row>
    <row r="733" spans="1:14">
      <c r="B733" s="582">
        <f t="shared" si="11"/>
        <v>723</v>
      </c>
      <c r="C733" s="592" t="s">
        <v>866</v>
      </c>
      <c r="D733" s="593"/>
      <c r="E733" s="594" t="s">
        <v>11</v>
      </c>
      <c r="F733" s="600">
        <v>241993</v>
      </c>
      <c r="G733" s="597"/>
      <c r="H733" s="597"/>
      <c r="I733" s="597"/>
      <c r="J733" s="597" t="s">
        <v>1515</v>
      </c>
      <c r="K733" s="597"/>
      <c r="L733" s="597"/>
      <c r="M733" s="597"/>
      <c r="N733" s="599"/>
    </row>
    <row r="734" spans="1:14">
      <c r="B734" s="582">
        <f t="shared" si="11"/>
        <v>724</v>
      </c>
      <c r="C734" s="592" t="s">
        <v>868</v>
      </c>
      <c r="D734" s="593"/>
      <c r="E734" s="594" t="s">
        <v>11</v>
      </c>
      <c r="F734" s="600">
        <v>199137</v>
      </c>
      <c r="G734" s="597"/>
      <c r="H734" s="597"/>
      <c r="I734" s="597"/>
      <c r="J734" s="597" t="s">
        <v>1515</v>
      </c>
      <c r="K734" s="597"/>
      <c r="L734" s="597"/>
      <c r="M734" s="597"/>
      <c r="N734" s="599"/>
    </row>
    <row r="735" spans="1:14">
      <c r="B735" s="582">
        <f t="shared" si="11"/>
        <v>725</v>
      </c>
      <c r="C735" s="592" t="s">
        <v>498</v>
      </c>
      <c r="D735" s="593" t="s">
        <v>2063</v>
      </c>
      <c r="E735" s="594" t="s">
        <v>11</v>
      </c>
      <c r="F735" s="600">
        <v>49735</v>
      </c>
      <c r="G735" s="597"/>
      <c r="H735" s="597"/>
      <c r="I735" s="597"/>
      <c r="J735" s="597" t="s">
        <v>1515</v>
      </c>
      <c r="K735" s="597"/>
      <c r="L735" s="597"/>
      <c r="M735" s="597"/>
      <c r="N735" s="599"/>
    </row>
    <row r="736" spans="1:14">
      <c r="B736" s="582">
        <f t="shared" si="11"/>
        <v>726</v>
      </c>
      <c r="C736" s="592" t="s">
        <v>870</v>
      </c>
      <c r="D736" s="593"/>
      <c r="E736" s="594" t="s">
        <v>11</v>
      </c>
      <c r="F736" s="600">
        <v>1247</v>
      </c>
      <c r="G736" s="597"/>
      <c r="H736" s="597"/>
      <c r="I736" s="597"/>
      <c r="J736" s="597" t="s">
        <v>1515</v>
      </c>
      <c r="K736" s="597"/>
      <c r="L736" s="597"/>
      <c r="M736" s="597"/>
      <c r="N736" s="599"/>
    </row>
    <row r="737" spans="1:14">
      <c r="A737" s="562" t="s">
        <v>407</v>
      </c>
      <c r="B737" s="582">
        <f t="shared" si="11"/>
        <v>727</v>
      </c>
      <c r="C737" s="592" t="s">
        <v>408</v>
      </c>
      <c r="D737" s="593" t="s">
        <v>2064</v>
      </c>
      <c r="E737" s="594" t="s">
        <v>11</v>
      </c>
      <c r="F737" s="600">
        <v>74428</v>
      </c>
      <c r="G737" s="597"/>
      <c r="H737" s="597"/>
      <c r="I737" s="597"/>
      <c r="J737" s="597" t="s">
        <v>1515</v>
      </c>
      <c r="K737" s="597"/>
      <c r="L737" s="597"/>
      <c r="M737" s="597"/>
      <c r="N737" s="599"/>
    </row>
    <row r="738" spans="1:14">
      <c r="B738" s="582">
        <f t="shared" si="11"/>
        <v>728</v>
      </c>
      <c r="C738" s="592" t="s">
        <v>872</v>
      </c>
      <c r="D738" s="593"/>
      <c r="E738" s="594" t="s">
        <v>11</v>
      </c>
      <c r="F738" s="600">
        <v>33676</v>
      </c>
      <c r="G738" s="597"/>
      <c r="H738" s="597"/>
      <c r="I738" s="597"/>
      <c r="J738" s="597" t="s">
        <v>1515</v>
      </c>
      <c r="K738" s="597"/>
      <c r="L738" s="597"/>
      <c r="M738" s="597"/>
      <c r="N738" s="599"/>
    </row>
    <row r="739" spans="1:14" ht="29">
      <c r="B739" s="582">
        <f t="shared" si="11"/>
        <v>729</v>
      </c>
      <c r="C739" s="592" t="s">
        <v>874</v>
      </c>
      <c r="D739" s="593"/>
      <c r="E739" s="594" t="s">
        <v>11</v>
      </c>
      <c r="F739" s="600">
        <v>196301</v>
      </c>
      <c r="G739" s="597"/>
      <c r="H739" s="597"/>
      <c r="I739" s="597"/>
      <c r="J739" s="597" t="s">
        <v>1515</v>
      </c>
      <c r="K739" s="597"/>
      <c r="L739" s="597"/>
      <c r="M739" s="597"/>
      <c r="N739" s="599"/>
    </row>
    <row r="740" spans="1:14">
      <c r="B740" s="582">
        <f t="shared" si="11"/>
        <v>730</v>
      </c>
      <c r="C740" s="592" t="s">
        <v>876</v>
      </c>
      <c r="D740" s="593"/>
      <c r="E740" s="594" t="s">
        <v>11</v>
      </c>
      <c r="F740" s="600">
        <v>183266</v>
      </c>
      <c r="G740" s="597"/>
      <c r="H740" s="597"/>
      <c r="I740" s="597"/>
      <c r="J740" s="597" t="s">
        <v>1515</v>
      </c>
      <c r="K740" s="597"/>
      <c r="L740" s="597"/>
      <c r="M740" s="597"/>
      <c r="N740" s="599"/>
    </row>
    <row r="741" spans="1:14" ht="29">
      <c r="B741" s="582">
        <f t="shared" si="11"/>
        <v>731</v>
      </c>
      <c r="C741" s="592" t="s">
        <v>878</v>
      </c>
      <c r="D741" s="593"/>
      <c r="E741" s="594" t="s">
        <v>11</v>
      </c>
      <c r="F741" s="600">
        <v>5909</v>
      </c>
      <c r="G741" s="597"/>
      <c r="H741" s="597"/>
      <c r="I741" s="597"/>
      <c r="J741" s="597" t="s">
        <v>1515</v>
      </c>
      <c r="K741" s="597"/>
      <c r="L741" s="597"/>
      <c r="M741" s="597"/>
      <c r="N741" s="599"/>
    </row>
    <row r="742" spans="1:14">
      <c r="B742" s="582">
        <f t="shared" si="11"/>
        <v>732</v>
      </c>
      <c r="C742" s="592" t="s">
        <v>880</v>
      </c>
      <c r="D742" s="593"/>
      <c r="E742" s="594" t="s">
        <v>11</v>
      </c>
      <c r="F742" s="600">
        <v>71381</v>
      </c>
      <c r="G742" s="597"/>
      <c r="H742" s="597"/>
      <c r="I742" s="597"/>
      <c r="J742" s="597" t="s">
        <v>1515</v>
      </c>
      <c r="K742" s="597"/>
      <c r="L742" s="597"/>
      <c r="M742" s="597"/>
      <c r="N742" s="599"/>
    </row>
    <row r="743" spans="1:14">
      <c r="B743" s="582">
        <f t="shared" si="11"/>
        <v>733</v>
      </c>
      <c r="C743" s="592" t="s">
        <v>882</v>
      </c>
      <c r="D743" s="593"/>
      <c r="E743" s="594" t="s">
        <v>11</v>
      </c>
      <c r="F743" s="600">
        <v>77249</v>
      </c>
      <c r="G743" s="597"/>
      <c r="H743" s="597"/>
      <c r="I743" s="597"/>
      <c r="J743" s="597" t="s">
        <v>1515</v>
      </c>
      <c r="K743" s="597"/>
      <c r="L743" s="597"/>
      <c r="M743" s="597"/>
      <c r="N743" s="599"/>
    </row>
    <row r="744" spans="1:14">
      <c r="B744" s="582">
        <f t="shared" si="11"/>
        <v>734</v>
      </c>
      <c r="C744" s="592" t="s">
        <v>884</v>
      </c>
      <c r="D744" s="593"/>
      <c r="E744" s="594" t="s">
        <v>11</v>
      </c>
      <c r="F744" s="600">
        <v>430246</v>
      </c>
      <c r="G744" s="597"/>
      <c r="H744" s="597"/>
      <c r="I744" s="597"/>
      <c r="J744" s="597" t="s">
        <v>1515</v>
      </c>
      <c r="K744" s="597"/>
      <c r="L744" s="597"/>
      <c r="M744" s="597"/>
      <c r="N744" s="599"/>
    </row>
    <row r="745" spans="1:14">
      <c r="B745" s="582">
        <f t="shared" si="11"/>
        <v>735</v>
      </c>
      <c r="C745" s="592" t="s">
        <v>886</v>
      </c>
      <c r="D745" s="593"/>
      <c r="E745" s="594" t="s">
        <v>11</v>
      </c>
      <c r="F745" s="600">
        <v>311632</v>
      </c>
      <c r="G745" s="597"/>
      <c r="H745" s="597"/>
      <c r="I745" s="597"/>
      <c r="J745" s="597" t="s">
        <v>1515</v>
      </c>
      <c r="K745" s="597"/>
      <c r="L745" s="597"/>
      <c r="M745" s="597"/>
      <c r="N745" s="599"/>
    </row>
    <row r="746" spans="1:14">
      <c r="A746" s="562" t="s">
        <v>417</v>
      </c>
      <c r="B746" s="582">
        <f t="shared" si="11"/>
        <v>736</v>
      </c>
      <c r="C746" s="592" t="s">
        <v>2065</v>
      </c>
      <c r="D746" s="593" t="s">
        <v>2066</v>
      </c>
      <c r="E746" s="594" t="s">
        <v>36</v>
      </c>
      <c r="F746" s="600">
        <v>25210</v>
      </c>
      <c r="G746" s="597"/>
      <c r="H746" s="597"/>
      <c r="I746" s="597"/>
      <c r="J746" s="597" t="s">
        <v>1515</v>
      </c>
      <c r="K746" s="597"/>
      <c r="L746" s="597"/>
      <c r="M746" s="597"/>
      <c r="N746" s="599"/>
    </row>
    <row r="747" spans="1:14">
      <c r="B747" s="582">
        <f t="shared" si="11"/>
        <v>737</v>
      </c>
      <c r="C747" s="592" t="s">
        <v>888</v>
      </c>
      <c r="D747" s="593"/>
      <c r="E747" s="594" t="s">
        <v>11</v>
      </c>
      <c r="F747" s="600">
        <v>23905</v>
      </c>
      <c r="G747" s="597"/>
      <c r="H747" s="597"/>
      <c r="I747" s="597"/>
      <c r="J747" s="597" t="s">
        <v>1515</v>
      </c>
      <c r="K747" s="597"/>
      <c r="L747" s="597"/>
      <c r="M747" s="597"/>
      <c r="N747" s="599"/>
    </row>
    <row r="748" spans="1:14">
      <c r="B748" s="582">
        <f t="shared" si="11"/>
        <v>738</v>
      </c>
      <c r="C748" s="592" t="s">
        <v>890</v>
      </c>
      <c r="D748" s="593"/>
      <c r="E748" s="594" t="s">
        <v>11</v>
      </c>
      <c r="F748" s="600">
        <v>66336</v>
      </c>
      <c r="G748" s="597"/>
      <c r="H748" s="597"/>
      <c r="I748" s="597"/>
      <c r="J748" s="597" t="s">
        <v>1515</v>
      </c>
      <c r="K748" s="597"/>
      <c r="L748" s="597"/>
      <c r="M748" s="597"/>
      <c r="N748" s="599"/>
    </row>
    <row r="749" spans="1:14">
      <c r="B749" s="582">
        <f t="shared" si="11"/>
        <v>739</v>
      </c>
      <c r="C749" s="592" t="s">
        <v>506</v>
      </c>
      <c r="D749" s="593" t="s">
        <v>1407</v>
      </c>
      <c r="E749" s="594" t="s">
        <v>11</v>
      </c>
      <c r="F749" s="600">
        <v>5553</v>
      </c>
      <c r="G749" s="597"/>
      <c r="H749" s="597"/>
      <c r="I749" s="597"/>
      <c r="J749" s="597" t="s">
        <v>1515</v>
      </c>
      <c r="K749" s="597"/>
      <c r="L749" s="597"/>
      <c r="M749" s="597"/>
      <c r="N749" s="599"/>
    </row>
    <row r="750" spans="1:14">
      <c r="B750" s="582">
        <f t="shared" si="11"/>
        <v>740</v>
      </c>
      <c r="C750" s="592" t="s">
        <v>892</v>
      </c>
      <c r="D750" s="593"/>
      <c r="E750" s="594" t="s">
        <v>11</v>
      </c>
      <c r="F750" s="600">
        <v>322502</v>
      </c>
      <c r="G750" s="597"/>
      <c r="H750" s="597"/>
      <c r="I750" s="597"/>
      <c r="J750" s="597" t="s">
        <v>1515</v>
      </c>
      <c r="K750" s="597"/>
      <c r="L750" s="597"/>
      <c r="M750" s="597"/>
      <c r="N750" s="599"/>
    </row>
    <row r="751" spans="1:14">
      <c r="B751" s="582">
        <f t="shared" si="11"/>
        <v>741</v>
      </c>
      <c r="C751" s="592" t="s">
        <v>894</v>
      </c>
      <c r="D751" s="593"/>
      <c r="E751" s="594" t="s">
        <v>11</v>
      </c>
      <c r="F751" s="600">
        <v>479806</v>
      </c>
      <c r="G751" s="597"/>
      <c r="H751" s="597"/>
      <c r="I751" s="597"/>
      <c r="J751" s="597" t="s">
        <v>1515</v>
      </c>
      <c r="K751" s="597"/>
      <c r="L751" s="597"/>
      <c r="M751" s="597"/>
      <c r="N751" s="599"/>
    </row>
    <row r="752" spans="1:14">
      <c r="B752" s="582">
        <f t="shared" si="11"/>
        <v>742</v>
      </c>
      <c r="C752" s="592" t="s">
        <v>896</v>
      </c>
      <c r="D752" s="593"/>
      <c r="E752" s="594" t="s">
        <v>11</v>
      </c>
      <c r="F752" s="600">
        <v>11963</v>
      </c>
      <c r="G752" s="597"/>
      <c r="H752" s="597"/>
      <c r="I752" s="597"/>
      <c r="J752" s="597" t="s">
        <v>1515</v>
      </c>
      <c r="K752" s="597"/>
      <c r="L752" s="597"/>
      <c r="M752" s="597"/>
      <c r="N752" s="599"/>
    </row>
    <row r="753" spans="1:14" ht="29">
      <c r="B753" s="582">
        <f t="shared" si="11"/>
        <v>743</v>
      </c>
      <c r="C753" s="592" t="s">
        <v>898</v>
      </c>
      <c r="D753" s="593"/>
      <c r="E753" s="594" t="s">
        <v>11</v>
      </c>
      <c r="F753" s="600">
        <v>420329</v>
      </c>
      <c r="G753" s="597"/>
      <c r="H753" s="597"/>
      <c r="I753" s="597"/>
      <c r="J753" s="597" t="s">
        <v>1515</v>
      </c>
      <c r="K753" s="597"/>
      <c r="L753" s="597"/>
      <c r="M753" s="597"/>
      <c r="N753" s="599"/>
    </row>
    <row r="754" spans="1:14">
      <c r="B754" s="582">
        <f t="shared" si="11"/>
        <v>744</v>
      </c>
      <c r="C754" s="592" t="s">
        <v>900</v>
      </c>
      <c r="D754" s="593"/>
      <c r="E754" s="594" t="s">
        <v>11</v>
      </c>
      <c r="F754" s="600">
        <v>12785</v>
      </c>
      <c r="G754" s="597"/>
      <c r="H754" s="597"/>
      <c r="I754" s="597"/>
      <c r="J754" s="597" t="s">
        <v>1515</v>
      </c>
      <c r="K754" s="597"/>
      <c r="L754" s="597"/>
      <c r="M754" s="597"/>
      <c r="N754" s="599"/>
    </row>
    <row r="755" spans="1:14">
      <c r="A755" s="562" t="s">
        <v>437</v>
      </c>
      <c r="B755" s="582">
        <f t="shared" si="11"/>
        <v>745</v>
      </c>
      <c r="C755" s="592" t="s">
        <v>2067</v>
      </c>
      <c r="D755" s="593" t="s">
        <v>2068</v>
      </c>
      <c r="E755" s="594" t="s">
        <v>36</v>
      </c>
      <c r="F755" s="600">
        <v>40860</v>
      </c>
      <c r="G755" s="597"/>
      <c r="H755" s="597"/>
      <c r="I755" s="597"/>
      <c r="J755" s="597" t="s">
        <v>1515</v>
      </c>
      <c r="K755" s="597"/>
      <c r="L755" s="597"/>
      <c r="M755" s="597"/>
      <c r="N755" s="599"/>
    </row>
    <row r="756" spans="1:14">
      <c r="B756" s="582">
        <f t="shared" si="11"/>
        <v>746</v>
      </c>
      <c r="C756" s="592" t="s">
        <v>902</v>
      </c>
      <c r="D756" s="593"/>
      <c r="E756" s="594" t="s">
        <v>11</v>
      </c>
      <c r="F756" s="600">
        <v>78401</v>
      </c>
      <c r="G756" s="597"/>
      <c r="H756" s="597"/>
      <c r="I756" s="597"/>
      <c r="J756" s="597" t="s">
        <v>1515</v>
      </c>
      <c r="K756" s="597"/>
      <c r="L756" s="597"/>
      <c r="M756" s="597"/>
      <c r="N756" s="599"/>
    </row>
    <row r="757" spans="1:14">
      <c r="B757" s="582">
        <f t="shared" si="11"/>
        <v>747</v>
      </c>
      <c r="C757" s="592" t="s">
        <v>903</v>
      </c>
      <c r="D757" s="593"/>
      <c r="E757" s="594" t="s">
        <v>11</v>
      </c>
      <c r="F757" s="600">
        <v>111412</v>
      </c>
      <c r="G757" s="597"/>
      <c r="H757" s="597"/>
      <c r="I757" s="597"/>
      <c r="J757" s="597" t="s">
        <v>1515</v>
      </c>
      <c r="K757" s="597"/>
      <c r="L757" s="597"/>
      <c r="M757" s="597"/>
      <c r="N757" s="599"/>
    </row>
    <row r="758" spans="1:14">
      <c r="B758" s="582">
        <f t="shared" si="11"/>
        <v>748</v>
      </c>
      <c r="C758" s="592" t="s">
        <v>508</v>
      </c>
      <c r="D758" s="593" t="s">
        <v>2059</v>
      </c>
      <c r="E758" s="594" t="s">
        <v>11</v>
      </c>
      <c r="F758" s="600">
        <v>156417</v>
      </c>
      <c r="G758" s="597"/>
      <c r="H758" s="597"/>
      <c r="I758" s="597"/>
      <c r="J758" s="597" t="s">
        <v>1515</v>
      </c>
      <c r="K758" s="597"/>
      <c r="L758" s="597"/>
      <c r="M758" s="597"/>
      <c r="N758" s="599"/>
    </row>
    <row r="759" spans="1:14">
      <c r="B759" s="582">
        <f t="shared" si="11"/>
        <v>749</v>
      </c>
      <c r="C759" s="592" t="s">
        <v>905</v>
      </c>
      <c r="D759" s="593"/>
      <c r="E759" s="594" t="s">
        <v>11</v>
      </c>
      <c r="F759" s="600">
        <v>19027</v>
      </c>
      <c r="G759" s="597"/>
      <c r="H759" s="597"/>
      <c r="I759" s="597"/>
      <c r="J759" s="597" t="s">
        <v>1515</v>
      </c>
      <c r="K759" s="597"/>
      <c r="L759" s="597"/>
      <c r="M759" s="597"/>
      <c r="N759" s="599"/>
    </row>
    <row r="760" spans="1:14">
      <c r="B760" s="582">
        <f t="shared" si="11"/>
        <v>750</v>
      </c>
      <c r="C760" s="592" t="s">
        <v>510</v>
      </c>
      <c r="D760" s="593" t="s">
        <v>2069</v>
      </c>
      <c r="E760" s="594" t="s">
        <v>11</v>
      </c>
      <c r="F760" s="600">
        <v>76396</v>
      </c>
      <c r="G760" s="597"/>
      <c r="H760" s="597"/>
      <c r="I760" s="597"/>
      <c r="J760" s="597" t="s">
        <v>1515</v>
      </c>
      <c r="K760" s="597"/>
      <c r="L760" s="597"/>
      <c r="M760" s="597"/>
      <c r="N760" s="599"/>
    </row>
    <row r="761" spans="1:14" ht="29">
      <c r="B761" s="582">
        <f t="shared" si="11"/>
        <v>751</v>
      </c>
      <c r="C761" s="592" t="s">
        <v>906</v>
      </c>
      <c r="D761" s="593"/>
      <c r="E761" s="594" t="s">
        <v>36</v>
      </c>
      <c r="F761" s="600">
        <v>150281</v>
      </c>
      <c r="G761" s="597"/>
      <c r="H761" s="597"/>
      <c r="I761" s="597"/>
      <c r="J761" s="597" t="s">
        <v>1515</v>
      </c>
      <c r="K761" s="597"/>
      <c r="L761" s="597"/>
      <c r="M761" s="597"/>
      <c r="N761" s="599"/>
    </row>
    <row r="762" spans="1:14">
      <c r="B762" s="582">
        <f t="shared" si="11"/>
        <v>752</v>
      </c>
      <c r="C762" s="583" t="s">
        <v>2070</v>
      </c>
      <c r="D762" s="593"/>
      <c r="G762" s="597"/>
      <c r="H762" s="597"/>
      <c r="I762" s="597"/>
      <c r="J762" s="597"/>
      <c r="K762" s="597"/>
      <c r="L762" s="597"/>
      <c r="M762" s="597"/>
      <c r="N762" s="599"/>
    </row>
    <row r="763" spans="1:14" ht="29">
      <c r="B763" s="582">
        <f t="shared" si="11"/>
        <v>753</v>
      </c>
      <c r="C763" s="592" t="s">
        <v>911</v>
      </c>
      <c r="D763" s="593"/>
      <c r="E763" s="594" t="s">
        <v>2052</v>
      </c>
      <c r="F763" s="600">
        <v>20992954</v>
      </c>
      <c r="G763" s="597" t="s">
        <v>1515</v>
      </c>
      <c r="H763" s="597"/>
      <c r="I763" s="597"/>
      <c r="J763" s="597"/>
      <c r="K763" s="597"/>
      <c r="L763" s="597"/>
      <c r="M763" s="597"/>
      <c r="N763" s="599"/>
    </row>
    <row r="764" spans="1:14" ht="29">
      <c r="B764" s="582">
        <f t="shared" si="11"/>
        <v>754</v>
      </c>
      <c r="C764" s="592" t="s">
        <v>912</v>
      </c>
      <c r="D764" s="593"/>
      <c r="E764" s="594" t="s">
        <v>2052</v>
      </c>
      <c r="F764" s="600">
        <v>2754262</v>
      </c>
      <c r="G764" s="597" t="s">
        <v>1515</v>
      </c>
      <c r="H764" s="597"/>
      <c r="I764" s="597"/>
      <c r="J764" s="597"/>
      <c r="K764" s="597"/>
      <c r="L764" s="597"/>
      <c r="M764" s="597"/>
      <c r="N764" s="599"/>
    </row>
    <row r="765" spans="1:14" ht="29">
      <c r="B765" s="582">
        <f t="shared" si="11"/>
        <v>755</v>
      </c>
      <c r="C765" s="583" t="s">
        <v>2071</v>
      </c>
      <c r="D765" s="593"/>
      <c r="G765" s="597"/>
      <c r="H765" s="597"/>
      <c r="I765" s="597"/>
      <c r="J765" s="597"/>
      <c r="K765" s="597"/>
      <c r="L765" s="597"/>
      <c r="M765" s="597"/>
      <c r="N765" s="599"/>
    </row>
    <row r="766" spans="1:14">
      <c r="B766" s="582">
        <f t="shared" si="11"/>
        <v>756</v>
      </c>
      <c r="C766" s="592" t="s">
        <v>951</v>
      </c>
      <c r="D766" s="593"/>
      <c r="E766" s="594" t="s">
        <v>11</v>
      </c>
      <c r="F766" s="600">
        <v>287835</v>
      </c>
      <c r="G766" s="597" t="s">
        <v>1515</v>
      </c>
      <c r="H766" s="597"/>
      <c r="I766" s="597"/>
      <c r="J766" s="597"/>
      <c r="K766" s="597"/>
      <c r="L766" s="597"/>
      <c r="M766" s="597"/>
      <c r="N766" s="599"/>
    </row>
    <row r="767" spans="1:14">
      <c r="B767" s="582">
        <f t="shared" si="11"/>
        <v>757</v>
      </c>
      <c r="C767" s="592" t="s">
        <v>952</v>
      </c>
      <c r="D767" s="593"/>
      <c r="E767" s="594" t="s">
        <v>11</v>
      </c>
      <c r="F767" s="600">
        <v>302609</v>
      </c>
      <c r="G767" s="597" t="s">
        <v>1515</v>
      </c>
      <c r="H767" s="597"/>
      <c r="I767" s="597"/>
      <c r="J767" s="597"/>
      <c r="K767" s="597"/>
      <c r="L767" s="597"/>
      <c r="M767" s="597"/>
      <c r="N767" s="599"/>
    </row>
    <row r="768" spans="1:14">
      <c r="B768" s="582">
        <f t="shared" si="11"/>
        <v>758</v>
      </c>
      <c r="C768" s="592" t="s">
        <v>953</v>
      </c>
      <c r="D768" s="593"/>
      <c r="E768" s="594" t="s">
        <v>11</v>
      </c>
      <c r="F768" s="600">
        <v>2978205</v>
      </c>
      <c r="G768" s="597" t="s">
        <v>1515</v>
      </c>
      <c r="H768" s="597"/>
      <c r="I768" s="597"/>
      <c r="J768" s="597"/>
      <c r="K768" s="597"/>
      <c r="L768" s="597"/>
      <c r="M768" s="597"/>
      <c r="N768" s="599"/>
    </row>
    <row r="769" spans="1:14">
      <c r="A769" s="562" t="s">
        <v>2072</v>
      </c>
      <c r="B769" s="582">
        <f t="shared" si="11"/>
        <v>759</v>
      </c>
      <c r="C769" s="592" t="s">
        <v>954</v>
      </c>
      <c r="D769" s="593" t="s">
        <v>2073</v>
      </c>
      <c r="E769" s="594" t="s">
        <v>36</v>
      </c>
      <c r="F769" s="600">
        <v>3115052</v>
      </c>
      <c r="G769" s="597" t="s">
        <v>1515</v>
      </c>
      <c r="H769" s="597"/>
      <c r="I769" s="597"/>
      <c r="J769" s="597"/>
      <c r="K769" s="597"/>
      <c r="L769" s="597"/>
      <c r="M769" s="597"/>
      <c r="N769" s="599"/>
    </row>
    <row r="770" spans="1:14">
      <c r="B770" s="582">
        <f t="shared" si="11"/>
        <v>760</v>
      </c>
      <c r="D770" s="593"/>
      <c r="F770" s="595"/>
      <c r="G770" s="597"/>
      <c r="H770" s="597"/>
      <c r="I770" s="597"/>
      <c r="J770" s="597"/>
      <c r="K770" s="597"/>
      <c r="L770" s="597"/>
      <c r="M770" s="597"/>
      <c r="N770" s="599"/>
    </row>
    <row r="771" spans="1:14">
      <c r="B771" s="582">
        <f t="shared" si="11"/>
        <v>761</v>
      </c>
      <c r="C771" s="583" t="s">
        <v>2074</v>
      </c>
      <c r="D771" s="593"/>
      <c r="F771" s="600">
        <v>82985149</v>
      </c>
      <c r="G771" s="597"/>
      <c r="H771" s="597"/>
      <c r="I771" s="597"/>
      <c r="J771" s="597"/>
      <c r="K771" s="597"/>
      <c r="L771" s="597"/>
      <c r="M771" s="597"/>
      <c r="N771" s="599"/>
    </row>
    <row r="772" spans="1:14">
      <c r="A772" s="562" t="s">
        <v>619</v>
      </c>
      <c r="B772" s="582">
        <f t="shared" si="11"/>
        <v>762</v>
      </c>
      <c r="C772" s="592" t="s">
        <v>2075</v>
      </c>
      <c r="D772" s="593" t="s">
        <v>2404</v>
      </c>
      <c r="E772" s="594" t="s">
        <v>11</v>
      </c>
      <c r="F772" s="595"/>
      <c r="G772" s="597" t="s">
        <v>1515</v>
      </c>
      <c r="H772" s="597"/>
      <c r="I772" s="620"/>
      <c r="J772" s="620"/>
      <c r="K772" s="597"/>
      <c r="L772" s="621"/>
      <c r="M772" s="610"/>
      <c r="N772" s="599"/>
    </row>
    <row r="773" spans="1:14">
      <c r="A773" s="562" t="s">
        <v>594</v>
      </c>
      <c r="B773" s="582">
        <f t="shared" si="11"/>
        <v>763</v>
      </c>
      <c r="C773" s="592" t="s">
        <v>2076</v>
      </c>
      <c r="D773" s="593" t="s">
        <v>2077</v>
      </c>
      <c r="E773" s="594" t="s">
        <v>36</v>
      </c>
      <c r="F773" s="595"/>
      <c r="G773" s="597" t="s">
        <v>1515</v>
      </c>
      <c r="H773" s="597"/>
      <c r="I773" s="620"/>
      <c r="J773" s="620"/>
      <c r="K773" s="597"/>
      <c r="L773" s="621"/>
      <c r="M773" s="610"/>
      <c r="N773" s="599"/>
    </row>
    <row r="774" spans="1:14">
      <c r="B774" s="582">
        <f t="shared" si="11"/>
        <v>764</v>
      </c>
      <c r="D774" s="593" t="s">
        <v>2405</v>
      </c>
      <c r="E774" s="594" t="s">
        <v>36</v>
      </c>
      <c r="F774" s="595"/>
      <c r="G774" s="597" t="s">
        <v>1515</v>
      </c>
      <c r="H774" s="597"/>
      <c r="I774" s="620"/>
      <c r="J774" s="620"/>
      <c r="K774" s="597"/>
      <c r="L774" s="621"/>
      <c r="M774" s="610"/>
      <c r="N774" s="599"/>
    </row>
    <row r="775" spans="1:14">
      <c r="B775" s="582">
        <f t="shared" ref="B775:B788" si="12">B774+1</f>
        <v>765</v>
      </c>
      <c r="D775" s="593" t="s">
        <v>2406</v>
      </c>
      <c r="E775" s="594" t="s">
        <v>11</v>
      </c>
      <c r="F775" s="595"/>
      <c r="G775" s="597" t="s">
        <v>1515</v>
      </c>
      <c r="H775" s="597"/>
      <c r="I775" s="620"/>
      <c r="J775" s="620"/>
      <c r="K775" s="597"/>
      <c r="L775" s="621"/>
      <c r="M775" s="610"/>
      <c r="N775" s="599"/>
    </row>
    <row r="776" spans="1:14">
      <c r="B776" s="582">
        <f t="shared" si="12"/>
        <v>766</v>
      </c>
      <c r="D776" s="593" t="s">
        <v>2078</v>
      </c>
      <c r="E776" s="594" t="s">
        <v>11</v>
      </c>
      <c r="F776" s="595"/>
      <c r="G776" s="597" t="s">
        <v>1515</v>
      </c>
      <c r="H776" s="597"/>
      <c r="I776" s="620"/>
      <c r="J776" s="620"/>
      <c r="K776" s="597"/>
      <c r="L776" s="621"/>
      <c r="M776" s="610"/>
      <c r="N776" s="599"/>
    </row>
    <row r="777" spans="1:14">
      <c r="B777" s="582">
        <f t="shared" si="12"/>
        <v>767</v>
      </c>
      <c r="D777" s="593" t="s">
        <v>2079</v>
      </c>
      <c r="E777" s="594" t="s">
        <v>11</v>
      </c>
      <c r="F777" s="595"/>
      <c r="G777" s="597" t="s">
        <v>1515</v>
      </c>
      <c r="H777" s="597"/>
      <c r="I777" s="620"/>
      <c r="J777" s="620"/>
      <c r="K777" s="597"/>
      <c r="L777" s="621"/>
      <c r="M777" s="610"/>
      <c r="N777" s="599"/>
    </row>
    <row r="778" spans="1:14">
      <c r="B778" s="582">
        <f t="shared" si="12"/>
        <v>768</v>
      </c>
      <c r="D778" s="593" t="s">
        <v>2407</v>
      </c>
      <c r="E778" s="594" t="s">
        <v>11</v>
      </c>
      <c r="F778" s="595"/>
      <c r="G778" s="597" t="s">
        <v>1515</v>
      </c>
      <c r="H778" s="597"/>
      <c r="I778" s="620"/>
      <c r="J778" s="620"/>
      <c r="K778" s="597"/>
      <c r="L778" s="621"/>
      <c r="M778" s="610"/>
      <c r="N778" s="599"/>
    </row>
    <row r="779" spans="1:14" ht="29">
      <c r="A779" s="562" t="s">
        <v>313</v>
      </c>
      <c r="B779" s="582">
        <f t="shared" si="12"/>
        <v>769</v>
      </c>
      <c r="C779" s="592" t="s">
        <v>2053</v>
      </c>
      <c r="D779" s="593" t="s">
        <v>2408</v>
      </c>
      <c r="E779" s="594" t="s">
        <v>11</v>
      </c>
      <c r="F779" s="595"/>
      <c r="G779" s="597" t="s">
        <v>1515</v>
      </c>
      <c r="H779" s="597"/>
      <c r="I779" s="620"/>
      <c r="J779" s="620"/>
      <c r="K779" s="597"/>
      <c r="L779" s="621"/>
      <c r="M779" s="610"/>
      <c r="N779" s="599"/>
    </row>
    <row r="780" spans="1:14" ht="29">
      <c r="B780" s="582">
        <f t="shared" si="12"/>
        <v>770</v>
      </c>
      <c r="D780" s="593" t="s">
        <v>2461</v>
      </c>
      <c r="E780" s="594" t="s">
        <v>11</v>
      </c>
      <c r="F780" s="595"/>
      <c r="G780" s="597" t="s">
        <v>1515</v>
      </c>
      <c r="H780" s="597"/>
      <c r="I780" s="620"/>
      <c r="J780" s="620"/>
      <c r="K780" s="597"/>
      <c r="L780" s="621"/>
      <c r="M780" s="610"/>
      <c r="N780" s="599"/>
    </row>
    <row r="781" spans="1:14">
      <c r="B781" s="582">
        <f t="shared" si="12"/>
        <v>771</v>
      </c>
      <c r="D781" s="593" t="s">
        <v>2409</v>
      </c>
      <c r="E781" s="594" t="s">
        <v>11</v>
      </c>
      <c r="F781" s="595"/>
      <c r="G781" s="597" t="s">
        <v>1515</v>
      </c>
      <c r="H781" s="597"/>
      <c r="I781" s="620"/>
      <c r="J781" s="620"/>
      <c r="K781" s="597"/>
      <c r="L781" s="621"/>
      <c r="M781" s="610"/>
      <c r="N781" s="599"/>
    </row>
    <row r="782" spans="1:14" ht="29">
      <c r="A782" s="562" t="s">
        <v>724</v>
      </c>
      <c r="B782" s="582">
        <f t="shared" si="12"/>
        <v>772</v>
      </c>
      <c r="C782" s="592" t="s">
        <v>2080</v>
      </c>
      <c r="D782" s="593" t="s">
        <v>2410</v>
      </c>
      <c r="E782" s="594" t="s">
        <v>11</v>
      </c>
      <c r="F782" s="595"/>
      <c r="G782" s="597" t="s">
        <v>1515</v>
      </c>
      <c r="H782" s="597"/>
      <c r="I782" s="620"/>
      <c r="J782" s="620"/>
      <c r="K782" s="597"/>
      <c r="L782" s="621"/>
      <c r="M782" s="610"/>
      <c r="N782" s="599"/>
    </row>
    <row r="783" spans="1:14" ht="29">
      <c r="B783" s="582">
        <f t="shared" si="12"/>
        <v>773</v>
      </c>
      <c r="D783" s="593" t="s">
        <v>2411</v>
      </c>
      <c r="E783" s="594" t="s">
        <v>11</v>
      </c>
      <c r="F783" s="595"/>
      <c r="G783" s="597" t="s">
        <v>1515</v>
      </c>
      <c r="H783" s="597"/>
      <c r="I783" s="620"/>
      <c r="J783" s="620"/>
      <c r="K783" s="597"/>
      <c r="L783" s="621"/>
      <c r="M783" s="610"/>
      <c r="N783" s="599"/>
    </row>
    <row r="784" spans="1:14">
      <c r="B784" s="582">
        <f t="shared" si="12"/>
        <v>774</v>
      </c>
      <c r="D784" s="593" t="s">
        <v>2079</v>
      </c>
      <c r="E784" s="594" t="s">
        <v>11</v>
      </c>
      <c r="F784" s="595"/>
      <c r="G784" s="597" t="s">
        <v>1515</v>
      </c>
      <c r="H784" s="597"/>
      <c r="I784" s="620"/>
      <c r="J784" s="620"/>
      <c r="K784" s="597"/>
      <c r="L784" s="621"/>
      <c r="M784" s="610"/>
      <c r="N784" s="599"/>
    </row>
    <row r="785" spans="1:14">
      <c r="A785" s="562" t="s">
        <v>728</v>
      </c>
      <c r="B785" s="582">
        <f t="shared" si="12"/>
        <v>775</v>
      </c>
      <c r="C785" s="592" t="s">
        <v>2081</v>
      </c>
      <c r="D785" s="593" t="s">
        <v>2082</v>
      </c>
      <c r="E785" s="594" t="s">
        <v>11</v>
      </c>
      <c r="F785" s="595"/>
      <c r="G785" s="597" t="s">
        <v>1515</v>
      </c>
      <c r="H785" s="597"/>
      <c r="I785" s="620"/>
      <c r="J785" s="620"/>
      <c r="K785" s="597"/>
      <c r="L785" s="621"/>
      <c r="M785" s="610"/>
      <c r="N785" s="599"/>
    </row>
    <row r="786" spans="1:14" ht="29">
      <c r="A786" s="562" t="s">
        <v>809</v>
      </c>
      <c r="B786" s="582">
        <f t="shared" si="12"/>
        <v>776</v>
      </c>
      <c r="C786" s="592" t="s">
        <v>2083</v>
      </c>
      <c r="D786" s="593" t="s">
        <v>2462</v>
      </c>
      <c r="E786" s="594" t="s">
        <v>11</v>
      </c>
      <c r="F786" s="595"/>
      <c r="G786" s="597" t="s">
        <v>1515</v>
      </c>
      <c r="H786" s="597"/>
      <c r="I786" s="620"/>
      <c r="J786" s="620"/>
      <c r="K786" s="597"/>
      <c r="L786" s="621"/>
      <c r="M786" s="610"/>
      <c r="N786" s="599"/>
    </row>
    <row r="787" spans="1:14">
      <c r="B787" s="582">
        <f t="shared" si="12"/>
        <v>777</v>
      </c>
      <c r="D787" s="593" t="s">
        <v>2463</v>
      </c>
      <c r="E787" s="594" t="s">
        <v>11</v>
      </c>
      <c r="F787" s="595"/>
      <c r="G787" s="597" t="s">
        <v>1515</v>
      </c>
      <c r="H787" s="597"/>
      <c r="I787" s="620"/>
      <c r="J787" s="620"/>
      <c r="K787" s="597"/>
      <c r="L787" s="621"/>
      <c r="M787" s="610"/>
      <c r="N787" s="599"/>
    </row>
    <row r="788" spans="1:14">
      <c r="B788" s="582">
        <f t="shared" si="12"/>
        <v>778</v>
      </c>
      <c r="D788" s="593" t="s">
        <v>2409</v>
      </c>
      <c r="E788" s="594" t="s">
        <v>11</v>
      </c>
      <c r="F788" s="595"/>
      <c r="G788" s="597" t="s">
        <v>1515</v>
      </c>
      <c r="H788" s="597"/>
      <c r="I788" s="620"/>
      <c r="J788" s="620"/>
      <c r="K788" s="597"/>
      <c r="L788" s="621"/>
      <c r="M788" s="610"/>
      <c r="N788" s="599"/>
    </row>
    <row r="789" spans="1:14">
      <c r="B789" s="568"/>
      <c r="F789" s="623"/>
      <c r="I789" s="562"/>
      <c r="J789" s="562"/>
      <c r="L789" s="594"/>
      <c r="M789" s="623"/>
      <c r="N789" s="624"/>
    </row>
    <row r="790" spans="1:14">
      <c r="B790" s="568"/>
      <c r="C790" s="581" t="s">
        <v>2084</v>
      </c>
      <c r="D790" s="619"/>
      <c r="N790" s="624"/>
    </row>
    <row r="791" spans="1:14">
      <c r="B791" s="568"/>
      <c r="C791" s="581" t="s">
        <v>2085</v>
      </c>
      <c r="N791" s="624"/>
    </row>
    <row r="792" spans="1:14">
      <c r="B792" s="568"/>
      <c r="C792" s="581"/>
      <c r="N792" s="624"/>
    </row>
    <row r="793" spans="1:14">
      <c r="B793" s="568"/>
      <c r="C793" s="562" t="s">
        <v>2086</v>
      </c>
      <c r="G793" s="625"/>
      <c r="H793" s="625"/>
      <c r="I793" s="625"/>
      <c r="J793" s="625"/>
      <c r="K793" s="625"/>
      <c r="L793" s="625"/>
      <c r="M793" s="625"/>
      <c r="N793" s="624"/>
    </row>
    <row r="794" spans="1:14">
      <c r="B794" s="568"/>
      <c r="C794" s="562" t="s">
        <v>2087</v>
      </c>
      <c r="N794" s="624"/>
    </row>
    <row r="795" spans="1:14">
      <c r="B795" s="568"/>
      <c r="C795" s="562" t="s">
        <v>2088</v>
      </c>
      <c r="N795" s="624"/>
    </row>
    <row r="796" spans="1:14">
      <c r="B796" s="568"/>
      <c r="C796" s="562" t="s">
        <v>2089</v>
      </c>
      <c r="N796" s="624"/>
    </row>
    <row r="797" spans="1:14">
      <c r="B797" s="568"/>
      <c r="C797" s="562" t="s">
        <v>2090</v>
      </c>
      <c r="N797" s="624"/>
    </row>
    <row r="798" spans="1:14">
      <c r="B798" s="568"/>
      <c r="C798" s="562" t="s">
        <v>2091</v>
      </c>
      <c r="N798" s="624"/>
    </row>
    <row r="799" spans="1:14">
      <c r="A799" s="567"/>
      <c r="B799" s="568"/>
      <c r="C799" s="562" t="s">
        <v>2412</v>
      </c>
      <c r="N799" s="624"/>
    </row>
    <row r="800" spans="1:14" ht="15" thickBot="1">
      <c r="B800" s="626"/>
      <c r="C800" s="866" t="s">
        <v>2307</v>
      </c>
      <c r="D800" s="866"/>
      <c r="E800" s="866"/>
      <c r="F800" s="866"/>
      <c r="G800" s="866"/>
      <c r="H800" s="866"/>
      <c r="I800" s="866"/>
      <c r="J800" s="866"/>
      <c r="K800" s="866"/>
      <c r="L800" s="866"/>
      <c r="M800" s="866"/>
      <c r="N800" s="867"/>
    </row>
  </sheetData>
  <mergeCells count="2">
    <mergeCell ref="G4:M4"/>
    <mergeCell ref="C800:N800"/>
  </mergeCells>
  <pageMargins left="0.7" right="0.7" top="0.75" bottom="0.75" header="0.3" footer="0.3"/>
  <pageSetup scale="45"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0"/>
  <sheetViews>
    <sheetView workbookViewId="0">
      <selection activeCell="D10" sqref="D10"/>
    </sheetView>
  </sheetViews>
  <sheetFormatPr defaultColWidth="9.1796875" defaultRowHeight="13"/>
  <cols>
    <col min="1" max="1" width="9.1796875" style="632"/>
    <col min="2" max="2" width="9.54296875" style="642" hidden="1" customWidth="1"/>
    <col min="3" max="3" width="25" style="642" bestFit="1" customWidth="1"/>
    <col min="4" max="4" width="75.26953125" style="632" customWidth="1"/>
    <col min="5" max="5" width="68" style="632" customWidth="1"/>
    <col min="6" max="16384" width="9.1796875" style="632"/>
  </cols>
  <sheetData>
    <row r="1" spans="1:5" ht="15.5">
      <c r="A1" s="627" t="str">
        <f>'Cover Sheets'!A10:D10</f>
        <v>WAPA-UGP 2018 Rate True-up Calculation</v>
      </c>
      <c r="B1" s="628"/>
      <c r="C1" s="629"/>
      <c r="D1" s="630"/>
      <c r="E1" s="631"/>
    </row>
    <row r="2" spans="1:5" ht="15.5">
      <c r="A2" s="824" t="s">
        <v>2590</v>
      </c>
      <c r="B2" s="825"/>
      <c r="C2" s="825"/>
      <c r="E2" s="644"/>
    </row>
    <row r="3" spans="1:5" ht="15.5">
      <c r="A3" s="824" t="str">
        <f>'WS1-RateBase'!A4</f>
        <v>12 Months Ending 09/30/2018 ACTUAL</v>
      </c>
      <c r="B3" s="825"/>
      <c r="C3" s="825"/>
      <c r="E3" s="644"/>
    </row>
    <row r="4" spans="1:5" s="634" customFormat="1">
      <c r="A4" s="633" t="s">
        <v>0</v>
      </c>
      <c r="B4" s="634" t="s">
        <v>2092</v>
      </c>
      <c r="C4" s="634" t="s">
        <v>1500</v>
      </c>
      <c r="D4" s="635" t="s">
        <v>2093</v>
      </c>
      <c r="E4" s="636" t="s">
        <v>1511</v>
      </c>
    </row>
    <row r="5" spans="1:5" s="639" customFormat="1">
      <c r="A5" s="637">
        <v>1</v>
      </c>
      <c r="B5" s="638"/>
      <c r="C5" s="638" t="s">
        <v>1512</v>
      </c>
      <c r="E5" s="640"/>
    </row>
    <row r="6" spans="1:5">
      <c r="A6" s="641">
        <f>A5+1</f>
        <v>2</v>
      </c>
      <c r="D6" s="643"/>
      <c r="E6" s="644"/>
    </row>
    <row r="7" spans="1:5">
      <c r="A7" s="637">
        <f>A6+1</f>
        <v>3</v>
      </c>
      <c r="B7" s="642" t="s">
        <v>238</v>
      </c>
      <c r="C7" s="642" t="s">
        <v>1517</v>
      </c>
      <c r="D7" s="632" t="s">
        <v>2094</v>
      </c>
      <c r="E7" s="644" t="s">
        <v>2095</v>
      </c>
    </row>
    <row r="8" spans="1:5">
      <c r="A8" s="641">
        <f>A7+1</f>
        <v>4</v>
      </c>
      <c r="D8" s="632" t="s">
        <v>2096</v>
      </c>
      <c r="E8" s="644"/>
    </row>
    <row r="9" spans="1:5">
      <c r="A9" s="637">
        <f>A8+1</f>
        <v>5</v>
      </c>
      <c r="D9" s="632" t="s">
        <v>2097</v>
      </c>
      <c r="E9" s="644"/>
    </row>
    <row r="10" spans="1:5">
      <c r="A10" s="641">
        <f>A9+1</f>
        <v>6</v>
      </c>
      <c r="B10" s="642" t="s">
        <v>243</v>
      </c>
      <c r="C10" s="642" t="s">
        <v>1529</v>
      </c>
      <c r="D10" s="632" t="s">
        <v>2098</v>
      </c>
      <c r="E10" s="644"/>
    </row>
    <row r="11" spans="1:5">
      <c r="A11" s="637">
        <f t="shared" ref="A11:A74" si="0">A10+1</f>
        <v>7</v>
      </c>
      <c r="B11" s="642" t="s">
        <v>247</v>
      </c>
      <c r="C11" s="642" t="s">
        <v>1534</v>
      </c>
      <c r="D11" s="632" t="s">
        <v>2099</v>
      </c>
      <c r="E11" s="644"/>
    </row>
    <row r="12" spans="1:5">
      <c r="A12" s="641">
        <f t="shared" si="0"/>
        <v>8</v>
      </c>
      <c r="B12" s="642" t="s">
        <v>1540</v>
      </c>
      <c r="C12" s="642" t="s">
        <v>1541</v>
      </c>
      <c r="D12" s="632" t="s">
        <v>2100</v>
      </c>
      <c r="E12" s="644" t="s">
        <v>2101</v>
      </c>
    </row>
    <row r="13" spans="1:5">
      <c r="A13" s="637">
        <f t="shared" si="0"/>
        <v>9</v>
      </c>
      <c r="D13" s="632" t="s">
        <v>2102</v>
      </c>
      <c r="E13" s="644" t="s">
        <v>2103</v>
      </c>
    </row>
    <row r="14" spans="1:5">
      <c r="A14" s="641">
        <f t="shared" si="0"/>
        <v>10</v>
      </c>
      <c r="B14" s="642" t="s">
        <v>619</v>
      </c>
      <c r="C14" s="642" t="s">
        <v>2075</v>
      </c>
      <c r="D14" s="632" t="s">
        <v>2104</v>
      </c>
      <c r="E14" s="644"/>
    </row>
    <row r="15" spans="1:5">
      <c r="A15" s="637">
        <f t="shared" si="0"/>
        <v>11</v>
      </c>
      <c r="B15" s="642" t="s">
        <v>251</v>
      </c>
      <c r="C15" s="642" t="s">
        <v>1549</v>
      </c>
      <c r="D15" s="632" t="s">
        <v>2105</v>
      </c>
      <c r="E15" s="644"/>
    </row>
    <row r="16" spans="1:5">
      <c r="A16" s="641">
        <f t="shared" si="0"/>
        <v>12</v>
      </c>
      <c r="D16" s="632" t="s">
        <v>2106</v>
      </c>
      <c r="E16" s="644" t="s">
        <v>2107</v>
      </c>
    </row>
    <row r="17" spans="1:6">
      <c r="A17" s="637">
        <f t="shared" si="0"/>
        <v>13</v>
      </c>
      <c r="B17" s="642" t="s">
        <v>253</v>
      </c>
      <c r="C17" s="642" t="s">
        <v>1551</v>
      </c>
      <c r="D17" s="632" t="s">
        <v>2108</v>
      </c>
      <c r="E17" s="644" t="s">
        <v>2109</v>
      </c>
    </row>
    <row r="18" spans="1:6">
      <c r="A18" s="641">
        <f t="shared" si="0"/>
        <v>14</v>
      </c>
      <c r="D18" s="632" t="s">
        <v>2110</v>
      </c>
      <c r="E18" s="644" t="s">
        <v>2111</v>
      </c>
    </row>
    <row r="19" spans="1:6">
      <c r="A19" s="637">
        <f t="shared" si="0"/>
        <v>15</v>
      </c>
      <c r="B19" s="642" t="s">
        <v>257</v>
      </c>
      <c r="C19" s="642" t="s">
        <v>1558</v>
      </c>
      <c r="D19" s="632" t="s">
        <v>2112</v>
      </c>
      <c r="E19" s="644" t="s">
        <v>2113</v>
      </c>
    </row>
    <row r="20" spans="1:6">
      <c r="A20" s="641">
        <f t="shared" si="0"/>
        <v>16</v>
      </c>
      <c r="B20" s="642" t="s">
        <v>1565</v>
      </c>
      <c r="C20" s="642" t="s">
        <v>1566</v>
      </c>
      <c r="D20" s="632" t="s">
        <v>2114</v>
      </c>
      <c r="E20" s="644"/>
    </row>
    <row r="21" spans="1:6">
      <c r="A21" s="637">
        <f t="shared" si="0"/>
        <v>17</v>
      </c>
      <c r="D21" s="632" t="s">
        <v>2115</v>
      </c>
      <c r="E21" s="644"/>
      <c r="F21" s="612"/>
    </row>
    <row r="22" spans="1:6">
      <c r="A22" s="641">
        <f t="shared" si="0"/>
        <v>18</v>
      </c>
      <c r="D22" s="632" t="s">
        <v>2116</v>
      </c>
      <c r="E22" s="644" t="s">
        <v>2117</v>
      </c>
    </row>
    <row r="23" spans="1:6">
      <c r="A23" s="637">
        <f t="shared" si="0"/>
        <v>19</v>
      </c>
      <c r="B23" s="642" t="s">
        <v>2118</v>
      </c>
      <c r="C23" s="642" t="s">
        <v>2119</v>
      </c>
      <c r="D23" s="632" t="s">
        <v>2120</v>
      </c>
      <c r="E23" s="644"/>
    </row>
    <row r="24" spans="1:6">
      <c r="A24" s="641">
        <f t="shared" si="0"/>
        <v>20</v>
      </c>
      <c r="B24" s="642" t="s">
        <v>918</v>
      </c>
      <c r="C24" s="642" t="s">
        <v>2121</v>
      </c>
      <c r="D24" s="632" t="s">
        <v>2120</v>
      </c>
      <c r="E24" s="644"/>
    </row>
    <row r="25" spans="1:6">
      <c r="A25" s="637">
        <f t="shared" si="0"/>
        <v>21</v>
      </c>
      <c r="B25" s="642" t="s">
        <v>1585</v>
      </c>
      <c r="C25" s="642" t="s">
        <v>1586</v>
      </c>
      <c r="D25" s="632" t="s">
        <v>2122</v>
      </c>
      <c r="E25" s="644" t="s">
        <v>2123</v>
      </c>
    </row>
    <row r="26" spans="1:6">
      <c r="A26" s="641">
        <f t="shared" si="0"/>
        <v>22</v>
      </c>
      <c r="D26" s="632" t="s">
        <v>2124</v>
      </c>
      <c r="E26" s="644" t="s">
        <v>2125</v>
      </c>
    </row>
    <row r="27" spans="1:6">
      <c r="A27" s="637">
        <f t="shared" si="0"/>
        <v>23</v>
      </c>
      <c r="B27" s="642" t="s">
        <v>267</v>
      </c>
      <c r="C27" s="642" t="s">
        <v>1590</v>
      </c>
      <c r="D27" s="632" t="s">
        <v>2126</v>
      </c>
      <c r="E27" s="644" t="s">
        <v>2127</v>
      </c>
    </row>
    <row r="28" spans="1:6">
      <c r="A28" s="641">
        <f t="shared" si="0"/>
        <v>24</v>
      </c>
      <c r="D28" s="632" t="s">
        <v>2128</v>
      </c>
      <c r="E28" s="644" t="s">
        <v>2129</v>
      </c>
    </row>
    <row r="29" spans="1:6">
      <c r="A29" s="637">
        <f t="shared" si="0"/>
        <v>25</v>
      </c>
      <c r="D29" s="632" t="s">
        <v>2130</v>
      </c>
      <c r="E29" s="644"/>
    </row>
    <row r="30" spans="1:6">
      <c r="A30" s="641">
        <f t="shared" si="0"/>
        <v>26</v>
      </c>
      <c r="D30" s="632" t="s">
        <v>2131</v>
      </c>
      <c r="E30" s="644" t="s">
        <v>2129</v>
      </c>
    </row>
    <row r="31" spans="1:6">
      <c r="A31" s="637">
        <f t="shared" si="0"/>
        <v>27</v>
      </c>
      <c r="B31" s="642" t="s">
        <v>269</v>
      </c>
      <c r="C31" s="642" t="s">
        <v>1595</v>
      </c>
      <c r="D31" s="632" t="s">
        <v>2132</v>
      </c>
      <c r="E31" s="644" t="s">
        <v>2133</v>
      </c>
    </row>
    <row r="32" spans="1:6">
      <c r="A32" s="641">
        <f t="shared" si="0"/>
        <v>28</v>
      </c>
      <c r="B32" s="642" t="s">
        <v>277</v>
      </c>
      <c r="C32" s="642" t="s">
        <v>1615</v>
      </c>
      <c r="D32" s="632" t="s">
        <v>2134</v>
      </c>
      <c r="E32" s="644" t="s">
        <v>2135</v>
      </c>
    </row>
    <row r="33" spans="1:5">
      <c r="A33" s="637">
        <f t="shared" si="0"/>
        <v>29</v>
      </c>
      <c r="B33" s="642" t="s">
        <v>279</v>
      </c>
      <c r="C33" s="642" t="s">
        <v>2136</v>
      </c>
      <c r="D33" s="632" t="s">
        <v>2120</v>
      </c>
      <c r="E33" s="644"/>
    </row>
    <row r="34" spans="1:5">
      <c r="A34" s="641">
        <f t="shared" si="0"/>
        <v>30</v>
      </c>
      <c r="B34" s="642" t="s">
        <v>281</v>
      </c>
      <c r="C34" s="642" t="s">
        <v>1620</v>
      </c>
      <c r="D34" s="632" t="s">
        <v>2137</v>
      </c>
      <c r="E34" s="644" t="s">
        <v>2123</v>
      </c>
    </row>
    <row r="35" spans="1:5">
      <c r="A35" s="637">
        <f t="shared" si="0"/>
        <v>31</v>
      </c>
      <c r="B35" s="642" t="s">
        <v>469</v>
      </c>
      <c r="C35" s="642" t="s">
        <v>2023</v>
      </c>
      <c r="D35" s="632" t="s">
        <v>2138</v>
      </c>
      <c r="E35" s="644"/>
    </row>
    <row r="36" spans="1:5">
      <c r="A36" s="641">
        <f t="shared" si="0"/>
        <v>32</v>
      </c>
      <c r="B36" s="642" t="s">
        <v>283</v>
      </c>
      <c r="C36" s="642" t="s">
        <v>1627</v>
      </c>
      <c r="D36" s="632" t="s">
        <v>2139</v>
      </c>
      <c r="E36" s="644" t="s">
        <v>2140</v>
      </c>
    </row>
    <row r="37" spans="1:5">
      <c r="A37" s="637">
        <f t="shared" si="0"/>
        <v>33</v>
      </c>
      <c r="B37" s="642" t="s">
        <v>285</v>
      </c>
      <c r="C37" s="642" t="s">
        <v>2141</v>
      </c>
      <c r="D37" s="632" t="s">
        <v>2120</v>
      </c>
      <c r="E37" s="644"/>
    </row>
    <row r="38" spans="1:5">
      <c r="A38" s="641">
        <f t="shared" si="0"/>
        <v>34</v>
      </c>
      <c r="B38" s="642" t="s">
        <v>287</v>
      </c>
      <c r="C38" s="642" t="s">
        <v>1637</v>
      </c>
      <c r="D38" s="632" t="s">
        <v>2142</v>
      </c>
      <c r="E38" s="644" t="s">
        <v>2143</v>
      </c>
    </row>
    <row r="39" spans="1:5">
      <c r="A39" s="637">
        <f t="shared" si="0"/>
        <v>35</v>
      </c>
      <c r="D39" s="632" t="s">
        <v>2144</v>
      </c>
      <c r="E39" s="644" t="s">
        <v>2145</v>
      </c>
    </row>
    <row r="40" spans="1:5">
      <c r="A40" s="641">
        <f t="shared" si="0"/>
        <v>36</v>
      </c>
      <c r="B40" s="642" t="s">
        <v>289</v>
      </c>
      <c r="C40" s="642" t="s">
        <v>1647</v>
      </c>
      <c r="D40" s="632" t="s">
        <v>2146</v>
      </c>
      <c r="E40" s="644"/>
    </row>
    <row r="41" spans="1:5">
      <c r="A41" s="637">
        <f t="shared" si="0"/>
        <v>37</v>
      </c>
      <c r="D41" s="632" t="s">
        <v>2147</v>
      </c>
      <c r="E41" s="644" t="s">
        <v>2148</v>
      </c>
    </row>
    <row r="42" spans="1:5">
      <c r="A42" s="641">
        <f t="shared" si="0"/>
        <v>38</v>
      </c>
      <c r="B42" s="642" t="s">
        <v>291</v>
      </c>
      <c r="C42" s="642" t="s">
        <v>1650</v>
      </c>
      <c r="D42" s="632" t="s">
        <v>2149</v>
      </c>
      <c r="E42" s="644"/>
    </row>
    <row r="43" spans="1:5">
      <c r="A43" s="637">
        <f t="shared" si="0"/>
        <v>39</v>
      </c>
      <c r="D43" s="632" t="s">
        <v>2150</v>
      </c>
      <c r="E43" s="644"/>
    </row>
    <row r="44" spans="1:5">
      <c r="A44" s="641">
        <f t="shared" si="0"/>
        <v>40</v>
      </c>
      <c r="D44" s="632" t="s">
        <v>2151</v>
      </c>
      <c r="E44" s="644" t="s">
        <v>2152</v>
      </c>
    </row>
    <row r="45" spans="1:5">
      <c r="A45" s="637">
        <f t="shared" si="0"/>
        <v>41</v>
      </c>
      <c r="D45" s="632" t="s">
        <v>2153</v>
      </c>
      <c r="E45" s="644"/>
    </row>
    <row r="46" spans="1:5">
      <c r="A46" s="641">
        <f t="shared" si="0"/>
        <v>42</v>
      </c>
      <c r="B46" s="642" t="s">
        <v>293</v>
      </c>
      <c r="C46" s="642" t="s">
        <v>1655</v>
      </c>
      <c r="D46" s="632" t="s">
        <v>2154</v>
      </c>
      <c r="E46" s="644"/>
    </row>
    <row r="47" spans="1:5">
      <c r="A47" s="637">
        <f t="shared" si="0"/>
        <v>43</v>
      </c>
      <c r="B47" s="642" t="s">
        <v>297</v>
      </c>
      <c r="C47" s="642" t="s">
        <v>1658</v>
      </c>
      <c r="D47" s="632" t="s">
        <v>2155</v>
      </c>
      <c r="E47" s="644"/>
    </row>
    <row r="48" spans="1:5">
      <c r="A48" s="641">
        <f t="shared" si="0"/>
        <v>44</v>
      </c>
      <c r="B48" s="642" t="s">
        <v>299</v>
      </c>
      <c r="C48" s="642" t="s">
        <v>1660</v>
      </c>
      <c r="D48" s="643" t="s">
        <v>2464</v>
      </c>
      <c r="E48" s="644"/>
    </row>
    <row r="49" spans="1:5">
      <c r="A49" s="637">
        <f t="shared" si="0"/>
        <v>45</v>
      </c>
      <c r="B49" s="642" t="s">
        <v>301</v>
      </c>
      <c r="C49" s="642" t="s">
        <v>1662</v>
      </c>
      <c r="D49" s="632" t="s">
        <v>2156</v>
      </c>
      <c r="E49" s="644" t="s">
        <v>2157</v>
      </c>
    </row>
    <row r="50" spans="1:5">
      <c r="A50" s="641">
        <f t="shared" si="0"/>
        <v>46</v>
      </c>
      <c r="B50" s="642" t="s">
        <v>305</v>
      </c>
      <c r="C50" s="642" t="s">
        <v>1668</v>
      </c>
      <c r="D50" s="632" t="s">
        <v>2158</v>
      </c>
      <c r="E50" s="644"/>
    </row>
    <row r="51" spans="1:5">
      <c r="A51" s="637">
        <f t="shared" si="0"/>
        <v>47</v>
      </c>
      <c r="D51" s="632" t="s">
        <v>2159</v>
      </c>
      <c r="E51" s="644" t="s">
        <v>2160</v>
      </c>
    </row>
    <row r="52" spans="1:5">
      <c r="A52" s="641">
        <f t="shared" si="0"/>
        <v>48</v>
      </c>
      <c r="B52" s="642" t="s">
        <v>920</v>
      </c>
      <c r="C52" s="642" t="s">
        <v>2161</v>
      </c>
      <c r="D52" s="632" t="s">
        <v>2120</v>
      </c>
      <c r="E52" s="644"/>
    </row>
    <row r="53" spans="1:5">
      <c r="A53" s="637">
        <f t="shared" si="0"/>
        <v>49</v>
      </c>
      <c r="B53" s="642" t="s">
        <v>922</v>
      </c>
      <c r="C53" s="642" t="s">
        <v>2162</v>
      </c>
      <c r="D53" s="632" t="s">
        <v>2120</v>
      </c>
      <c r="E53" s="644"/>
    </row>
    <row r="54" spans="1:5">
      <c r="A54" s="641">
        <f t="shared" si="0"/>
        <v>50</v>
      </c>
      <c r="B54" s="642" t="s">
        <v>309</v>
      </c>
      <c r="C54" s="642" t="s">
        <v>1684</v>
      </c>
      <c r="D54" s="632" t="s">
        <v>2163</v>
      </c>
      <c r="E54" s="644" t="s">
        <v>2164</v>
      </c>
    </row>
    <row r="55" spans="1:5">
      <c r="A55" s="637">
        <f t="shared" si="0"/>
        <v>51</v>
      </c>
      <c r="B55" s="642" t="s">
        <v>311</v>
      </c>
      <c r="C55" s="642" t="s">
        <v>1692</v>
      </c>
      <c r="D55" s="632" t="s">
        <v>2165</v>
      </c>
      <c r="E55" s="644"/>
    </row>
    <row r="56" spans="1:5">
      <c r="A56" s="641">
        <f t="shared" si="0"/>
        <v>52</v>
      </c>
      <c r="D56" s="632" t="s">
        <v>2166</v>
      </c>
      <c r="E56" s="644"/>
    </row>
    <row r="57" spans="1:5">
      <c r="A57" s="637">
        <f t="shared" si="0"/>
        <v>53</v>
      </c>
      <c r="D57" s="632" t="s">
        <v>2167</v>
      </c>
      <c r="E57" s="644"/>
    </row>
    <row r="58" spans="1:5">
      <c r="A58" s="641">
        <f t="shared" si="0"/>
        <v>54</v>
      </c>
      <c r="D58" s="632" t="s">
        <v>2168</v>
      </c>
      <c r="E58" s="644" t="s">
        <v>2169</v>
      </c>
    </row>
    <row r="59" spans="1:5">
      <c r="A59" s="637">
        <f t="shared" si="0"/>
        <v>55</v>
      </c>
      <c r="D59" s="632" t="s">
        <v>2170</v>
      </c>
      <c r="E59" s="644"/>
    </row>
    <row r="60" spans="1:5">
      <c r="A60" s="641">
        <f t="shared" si="0"/>
        <v>56</v>
      </c>
      <c r="D60" s="632" t="s">
        <v>2171</v>
      </c>
      <c r="E60" s="644" t="s">
        <v>2172</v>
      </c>
    </row>
    <row r="61" spans="1:5">
      <c r="A61" s="637">
        <f t="shared" si="0"/>
        <v>57</v>
      </c>
      <c r="B61" s="642" t="s">
        <v>313</v>
      </c>
      <c r="C61" s="642" t="s">
        <v>2053</v>
      </c>
      <c r="D61" s="632" t="s">
        <v>2173</v>
      </c>
      <c r="E61" s="644"/>
    </row>
    <row r="62" spans="1:5">
      <c r="A62" s="641">
        <f t="shared" si="0"/>
        <v>58</v>
      </c>
      <c r="B62" s="642" t="s">
        <v>317</v>
      </c>
      <c r="C62" s="642" t="s">
        <v>1698</v>
      </c>
      <c r="D62" s="632" t="s">
        <v>2174</v>
      </c>
      <c r="E62" s="644" t="s">
        <v>2175</v>
      </c>
    </row>
    <row r="63" spans="1:5">
      <c r="A63" s="637">
        <f t="shared" si="0"/>
        <v>59</v>
      </c>
      <c r="B63" s="642" t="s">
        <v>928</v>
      </c>
      <c r="C63" s="642" t="s">
        <v>2176</v>
      </c>
      <c r="D63" s="632" t="s">
        <v>2120</v>
      </c>
      <c r="E63" s="644"/>
    </row>
    <row r="64" spans="1:5">
      <c r="A64" s="641">
        <f t="shared" si="0"/>
        <v>60</v>
      </c>
      <c r="B64" s="642" t="s">
        <v>724</v>
      </c>
      <c r="C64" s="642" t="s">
        <v>2080</v>
      </c>
      <c r="D64" s="632" t="s">
        <v>2177</v>
      </c>
      <c r="E64" s="644" t="s">
        <v>2178</v>
      </c>
    </row>
    <row r="65" spans="1:5">
      <c r="A65" s="637">
        <f t="shared" si="0"/>
        <v>61</v>
      </c>
      <c r="B65" s="642" t="s">
        <v>728</v>
      </c>
      <c r="C65" s="642" t="s">
        <v>2081</v>
      </c>
      <c r="D65" s="632" t="s">
        <v>2179</v>
      </c>
      <c r="E65" s="644" t="s">
        <v>2178</v>
      </c>
    </row>
    <row r="66" spans="1:5">
      <c r="A66" s="641">
        <f t="shared" si="0"/>
        <v>62</v>
      </c>
      <c r="B66" s="642" t="s">
        <v>2180</v>
      </c>
      <c r="C66" s="642" t="s">
        <v>2181</v>
      </c>
      <c r="D66" s="632" t="s">
        <v>2120</v>
      </c>
      <c r="E66" s="644"/>
    </row>
    <row r="67" spans="1:5">
      <c r="A67" s="637">
        <f t="shared" si="0"/>
        <v>63</v>
      </c>
      <c r="B67" s="642" t="s">
        <v>932</v>
      </c>
      <c r="C67" s="642" t="s">
        <v>2182</v>
      </c>
      <c r="D67" s="632" t="s">
        <v>2120</v>
      </c>
      <c r="E67" s="644"/>
    </row>
    <row r="68" spans="1:5">
      <c r="A68" s="641">
        <f t="shared" si="0"/>
        <v>64</v>
      </c>
      <c r="B68" s="642" t="s">
        <v>325</v>
      </c>
      <c r="C68" s="642" t="s">
        <v>1735</v>
      </c>
      <c r="D68" s="632" t="s">
        <v>2183</v>
      </c>
      <c r="E68" s="644" t="s">
        <v>2184</v>
      </c>
    </row>
    <row r="69" spans="1:5">
      <c r="A69" s="637">
        <f t="shared" si="0"/>
        <v>65</v>
      </c>
      <c r="D69" s="632" t="s">
        <v>2185</v>
      </c>
      <c r="E69" s="644"/>
    </row>
    <row r="70" spans="1:5">
      <c r="A70" s="641">
        <f t="shared" si="0"/>
        <v>66</v>
      </c>
      <c r="D70" s="632" t="s">
        <v>2186</v>
      </c>
      <c r="E70" s="644"/>
    </row>
    <row r="71" spans="1:5">
      <c r="A71" s="637">
        <f t="shared" si="0"/>
        <v>67</v>
      </c>
      <c r="B71" s="642" t="s">
        <v>329</v>
      </c>
      <c r="C71" s="642" t="s">
        <v>1752</v>
      </c>
      <c r="D71" s="632" t="s">
        <v>2187</v>
      </c>
      <c r="E71" s="644" t="s">
        <v>2123</v>
      </c>
    </row>
    <row r="72" spans="1:5">
      <c r="A72" s="641">
        <f t="shared" si="0"/>
        <v>68</v>
      </c>
      <c r="D72" s="632" t="s">
        <v>2188</v>
      </c>
      <c r="E72" s="644"/>
    </row>
    <row r="73" spans="1:5">
      <c r="A73" s="637">
        <f t="shared" si="0"/>
        <v>69</v>
      </c>
      <c r="B73" s="642" t="s">
        <v>331</v>
      </c>
      <c r="C73" s="642" t="s">
        <v>1755</v>
      </c>
      <c r="D73" s="632" t="s">
        <v>2100</v>
      </c>
      <c r="E73" s="644" t="s">
        <v>2101</v>
      </c>
    </row>
    <row r="74" spans="1:5">
      <c r="A74" s="641">
        <f t="shared" si="0"/>
        <v>70</v>
      </c>
      <c r="B74" s="642" t="s">
        <v>333</v>
      </c>
      <c r="C74" s="642" t="s">
        <v>1763</v>
      </c>
      <c r="D74" s="632" t="s">
        <v>2189</v>
      </c>
      <c r="E74" s="644" t="s">
        <v>2190</v>
      </c>
    </row>
    <row r="75" spans="1:5">
      <c r="A75" s="637">
        <f t="shared" ref="A75:A139" si="1">A74+1</f>
        <v>71</v>
      </c>
      <c r="B75" s="642" t="s">
        <v>335</v>
      </c>
      <c r="C75" s="642" t="s">
        <v>1771</v>
      </c>
      <c r="D75" s="632" t="s">
        <v>2191</v>
      </c>
      <c r="E75" s="644" t="s">
        <v>2192</v>
      </c>
    </row>
    <row r="76" spans="1:5">
      <c r="A76" s="641">
        <f t="shared" si="1"/>
        <v>72</v>
      </c>
      <c r="B76" s="642" t="s">
        <v>337</v>
      </c>
      <c r="C76" s="642" t="s">
        <v>1773</v>
      </c>
      <c r="D76" s="632" t="s">
        <v>2193</v>
      </c>
      <c r="E76" s="644"/>
    </row>
    <row r="77" spans="1:5">
      <c r="A77" s="637">
        <f t="shared" si="1"/>
        <v>73</v>
      </c>
      <c r="D77" s="632" t="s">
        <v>1688</v>
      </c>
      <c r="E77" s="644"/>
    </row>
    <row r="78" spans="1:5">
      <c r="A78" s="641">
        <f t="shared" si="1"/>
        <v>74</v>
      </c>
      <c r="D78" s="632" t="s">
        <v>2194</v>
      </c>
      <c r="E78" s="644" t="s">
        <v>2101</v>
      </c>
    </row>
    <row r="79" spans="1:5">
      <c r="A79" s="637">
        <f t="shared" si="1"/>
        <v>75</v>
      </c>
      <c r="B79" s="642" t="s">
        <v>934</v>
      </c>
      <c r="C79" s="642" t="s">
        <v>2195</v>
      </c>
      <c r="D79" s="632" t="s">
        <v>2120</v>
      </c>
      <c r="E79" s="644"/>
    </row>
    <row r="80" spans="1:5">
      <c r="A80" s="641">
        <f t="shared" si="1"/>
        <v>76</v>
      </c>
      <c r="B80" s="642" t="s">
        <v>2196</v>
      </c>
      <c r="C80" s="642" t="s">
        <v>2197</v>
      </c>
      <c r="D80" s="632" t="s">
        <v>2120</v>
      </c>
      <c r="E80" s="644"/>
    </row>
    <row r="81" spans="1:5">
      <c r="A81" s="637">
        <f t="shared" si="1"/>
        <v>77</v>
      </c>
      <c r="B81" s="642" t="s">
        <v>339</v>
      </c>
      <c r="C81" s="642" t="s">
        <v>1778</v>
      </c>
      <c r="D81" s="632" t="s">
        <v>2198</v>
      </c>
      <c r="E81" s="644"/>
    </row>
    <row r="82" spans="1:5">
      <c r="A82" s="641">
        <f t="shared" si="1"/>
        <v>78</v>
      </c>
      <c r="D82" s="632" t="s">
        <v>2199</v>
      </c>
      <c r="E82" s="644"/>
    </row>
    <row r="83" spans="1:5">
      <c r="A83" s="637">
        <f t="shared" si="1"/>
        <v>79</v>
      </c>
      <c r="D83" s="632" t="s">
        <v>2200</v>
      </c>
      <c r="E83" s="644" t="s">
        <v>2201</v>
      </c>
    </row>
    <row r="84" spans="1:5">
      <c r="A84" s="641">
        <f t="shared" si="1"/>
        <v>80</v>
      </c>
      <c r="D84" s="632" t="s">
        <v>2202</v>
      </c>
      <c r="E84" s="644"/>
    </row>
    <row r="85" spans="1:5">
      <c r="A85" s="637">
        <f t="shared" si="1"/>
        <v>81</v>
      </c>
      <c r="B85" s="642" t="s">
        <v>341</v>
      </c>
      <c r="C85" s="642" t="s">
        <v>1789</v>
      </c>
      <c r="D85" s="632" t="s">
        <v>2203</v>
      </c>
      <c r="E85" s="644"/>
    </row>
    <row r="86" spans="1:5">
      <c r="A86" s="641">
        <f t="shared" si="1"/>
        <v>82</v>
      </c>
      <c r="D86" s="632" t="s">
        <v>2204</v>
      </c>
      <c r="E86" s="644" t="s">
        <v>2205</v>
      </c>
    </row>
    <row r="87" spans="1:5">
      <c r="A87" s="637">
        <f t="shared" si="1"/>
        <v>83</v>
      </c>
      <c r="B87" s="642" t="s">
        <v>343</v>
      </c>
      <c r="C87" s="642" t="s">
        <v>1793</v>
      </c>
      <c r="D87" s="632" t="s">
        <v>2206</v>
      </c>
      <c r="E87" s="644" t="s">
        <v>2207</v>
      </c>
    </row>
    <row r="88" spans="1:5">
      <c r="A88" s="641">
        <f t="shared" si="1"/>
        <v>84</v>
      </c>
      <c r="D88" s="632" t="s">
        <v>2208</v>
      </c>
      <c r="E88" s="644"/>
    </row>
    <row r="89" spans="1:5" ht="14.5">
      <c r="A89" s="637">
        <f t="shared" si="1"/>
        <v>85</v>
      </c>
      <c r="D89" s="593" t="s">
        <v>1795</v>
      </c>
      <c r="E89" s="644"/>
    </row>
    <row r="90" spans="1:5">
      <c r="A90" s="641">
        <f t="shared" si="1"/>
        <v>86</v>
      </c>
      <c r="B90" s="642" t="s">
        <v>345</v>
      </c>
      <c r="C90" s="642" t="s">
        <v>1797</v>
      </c>
      <c r="D90" s="632" t="s">
        <v>2209</v>
      </c>
      <c r="E90" s="644"/>
    </row>
    <row r="91" spans="1:5">
      <c r="A91" s="637">
        <f t="shared" si="1"/>
        <v>87</v>
      </c>
      <c r="D91" s="632" t="s">
        <v>2210</v>
      </c>
      <c r="E91" s="644" t="s">
        <v>2107</v>
      </c>
    </row>
    <row r="92" spans="1:5">
      <c r="A92" s="641">
        <f t="shared" si="1"/>
        <v>88</v>
      </c>
      <c r="B92" s="642" t="s">
        <v>351</v>
      </c>
      <c r="C92" s="642" t="s">
        <v>1809</v>
      </c>
      <c r="D92" s="632" t="s">
        <v>2211</v>
      </c>
      <c r="E92" s="644"/>
    </row>
    <row r="93" spans="1:5">
      <c r="A93" s="637">
        <f t="shared" si="1"/>
        <v>89</v>
      </c>
      <c r="D93" s="632" t="s">
        <v>2212</v>
      </c>
      <c r="E93" s="644" t="s">
        <v>2213</v>
      </c>
    </row>
    <row r="94" spans="1:5">
      <c r="A94" s="641">
        <f t="shared" si="1"/>
        <v>90</v>
      </c>
      <c r="B94" s="642" t="s">
        <v>353</v>
      </c>
      <c r="C94" s="642" t="s">
        <v>1811</v>
      </c>
      <c r="D94" s="632" t="s">
        <v>2214</v>
      </c>
      <c r="E94" s="644"/>
    </row>
    <row r="95" spans="1:5">
      <c r="A95" s="641"/>
      <c r="D95" s="632" t="s">
        <v>2587</v>
      </c>
      <c r="E95" s="644"/>
    </row>
    <row r="96" spans="1:5">
      <c r="A96" s="637">
        <f>A94+1</f>
        <v>91</v>
      </c>
      <c r="D96" s="632" t="s">
        <v>2215</v>
      </c>
      <c r="E96" s="644" t="s">
        <v>2216</v>
      </c>
    </row>
    <row r="97" spans="1:5">
      <c r="A97" s="641">
        <f t="shared" si="1"/>
        <v>92</v>
      </c>
      <c r="B97" s="642" t="s">
        <v>355</v>
      </c>
      <c r="C97" s="642" t="s">
        <v>1817</v>
      </c>
      <c r="D97" s="632" t="s">
        <v>2217</v>
      </c>
      <c r="E97" s="644"/>
    </row>
    <row r="98" spans="1:5">
      <c r="A98" s="637">
        <f t="shared" si="1"/>
        <v>93</v>
      </c>
      <c r="B98" s="642" t="s">
        <v>363</v>
      </c>
      <c r="C98" s="642" t="s">
        <v>1831</v>
      </c>
      <c r="D98" s="632" t="s">
        <v>2218</v>
      </c>
      <c r="E98" s="644" t="s">
        <v>2219</v>
      </c>
    </row>
    <row r="99" spans="1:5">
      <c r="A99" s="641">
        <f t="shared" si="1"/>
        <v>94</v>
      </c>
      <c r="B99" s="642" t="s">
        <v>365</v>
      </c>
      <c r="C99" s="642" t="s">
        <v>1837</v>
      </c>
      <c r="D99" s="632" t="s">
        <v>2220</v>
      </c>
      <c r="E99" s="644"/>
    </row>
    <row r="100" spans="1:5">
      <c r="A100" s="637">
        <f t="shared" si="1"/>
        <v>95</v>
      </c>
      <c r="D100" s="632" t="s">
        <v>2221</v>
      </c>
      <c r="E100" s="644"/>
    </row>
    <row r="101" spans="1:5">
      <c r="A101" s="641">
        <f t="shared" si="1"/>
        <v>96</v>
      </c>
      <c r="D101" s="632" t="s">
        <v>2222</v>
      </c>
      <c r="E101" s="644"/>
    </row>
    <row r="102" spans="1:5">
      <c r="A102" s="637">
        <f t="shared" si="1"/>
        <v>97</v>
      </c>
      <c r="B102" s="642" t="s">
        <v>367</v>
      </c>
      <c r="C102" s="642" t="s">
        <v>1841</v>
      </c>
      <c r="D102" s="632" t="s">
        <v>2223</v>
      </c>
      <c r="E102" s="644" t="s">
        <v>2101</v>
      </c>
    </row>
    <row r="103" spans="1:5">
      <c r="A103" s="641">
        <f t="shared" si="1"/>
        <v>98</v>
      </c>
      <c r="B103" s="642" t="s">
        <v>2224</v>
      </c>
      <c r="C103" s="642" t="s">
        <v>2225</v>
      </c>
      <c r="D103" s="632" t="s">
        <v>2120</v>
      </c>
      <c r="E103" s="644"/>
    </row>
    <row r="104" spans="1:5">
      <c r="A104" s="637">
        <f t="shared" si="1"/>
        <v>99</v>
      </c>
      <c r="B104" s="642" t="s">
        <v>369</v>
      </c>
      <c r="C104" s="642" t="s">
        <v>1845</v>
      </c>
      <c r="D104" s="632" t="s">
        <v>2226</v>
      </c>
      <c r="E104" s="644"/>
    </row>
    <row r="105" spans="1:5">
      <c r="A105" s="641">
        <f t="shared" si="1"/>
        <v>100</v>
      </c>
      <c r="B105" s="642" t="s">
        <v>373</v>
      </c>
      <c r="C105" s="642" t="s">
        <v>1853</v>
      </c>
      <c r="D105" s="632" t="s">
        <v>2227</v>
      </c>
      <c r="E105" s="644" t="s">
        <v>2228</v>
      </c>
    </row>
    <row r="106" spans="1:5">
      <c r="A106" s="637">
        <f t="shared" si="1"/>
        <v>101</v>
      </c>
      <c r="B106" s="642" t="s">
        <v>371</v>
      </c>
      <c r="C106" s="642" t="s">
        <v>1846</v>
      </c>
      <c r="D106" s="632" t="s">
        <v>2229</v>
      </c>
      <c r="E106" s="644"/>
    </row>
    <row r="107" spans="1:5">
      <c r="A107" s="641">
        <f t="shared" si="1"/>
        <v>102</v>
      </c>
      <c r="B107" s="642" t="s">
        <v>809</v>
      </c>
      <c r="C107" s="642" t="s">
        <v>2083</v>
      </c>
      <c r="D107" s="632" t="s">
        <v>2230</v>
      </c>
      <c r="E107" s="644" t="s">
        <v>2192</v>
      </c>
    </row>
    <row r="108" spans="1:5">
      <c r="A108" s="637">
        <f t="shared" si="1"/>
        <v>103</v>
      </c>
      <c r="D108" s="632" t="s">
        <v>2126</v>
      </c>
      <c r="E108" s="644" t="s">
        <v>2192</v>
      </c>
    </row>
    <row r="109" spans="1:5">
      <c r="A109" s="641">
        <f t="shared" si="1"/>
        <v>104</v>
      </c>
      <c r="B109" s="642" t="s">
        <v>375</v>
      </c>
      <c r="C109" s="642" t="s">
        <v>1857</v>
      </c>
      <c r="D109" s="632" t="s">
        <v>2231</v>
      </c>
      <c r="E109" s="644" t="s">
        <v>2232</v>
      </c>
    </row>
    <row r="110" spans="1:5">
      <c r="A110" s="637">
        <f t="shared" si="1"/>
        <v>105</v>
      </c>
      <c r="B110" s="642" t="s">
        <v>491</v>
      </c>
      <c r="C110" s="642" t="s">
        <v>2027</v>
      </c>
      <c r="D110" s="632" t="s">
        <v>2233</v>
      </c>
      <c r="E110" s="644"/>
    </row>
    <row r="111" spans="1:5">
      <c r="A111" s="641">
        <f t="shared" si="1"/>
        <v>106</v>
      </c>
      <c r="B111" s="642" t="s">
        <v>377</v>
      </c>
      <c r="C111" s="642" t="s">
        <v>1865</v>
      </c>
      <c r="D111" s="632" t="s">
        <v>2234</v>
      </c>
      <c r="E111" s="644"/>
    </row>
    <row r="112" spans="1:5">
      <c r="A112" s="637">
        <f t="shared" si="1"/>
        <v>107</v>
      </c>
      <c r="D112" s="632" t="s">
        <v>1690</v>
      </c>
      <c r="E112" s="644" t="s">
        <v>2175</v>
      </c>
    </row>
    <row r="113" spans="1:5">
      <c r="A113" s="641">
        <f t="shared" si="1"/>
        <v>108</v>
      </c>
      <c r="B113" s="642" t="s">
        <v>379</v>
      </c>
      <c r="C113" s="642" t="s">
        <v>1868</v>
      </c>
      <c r="D113" s="632" t="s">
        <v>2235</v>
      </c>
      <c r="E113" s="644"/>
    </row>
    <row r="114" spans="1:5">
      <c r="A114" s="637">
        <f t="shared" si="1"/>
        <v>109</v>
      </c>
      <c r="D114" s="632" t="s">
        <v>2236</v>
      </c>
      <c r="E114" s="644" t="s">
        <v>2237</v>
      </c>
    </row>
    <row r="115" spans="1:5">
      <c r="A115" s="641">
        <f t="shared" si="1"/>
        <v>110</v>
      </c>
      <c r="B115" s="642" t="s">
        <v>493</v>
      </c>
      <c r="C115" s="642" t="s">
        <v>2028</v>
      </c>
      <c r="D115" s="632" t="s">
        <v>2238</v>
      </c>
      <c r="E115" s="644"/>
    </row>
    <row r="116" spans="1:5">
      <c r="A116" s="637">
        <f t="shared" si="1"/>
        <v>111</v>
      </c>
      <c r="B116" s="642" t="s">
        <v>383</v>
      </c>
      <c r="C116" s="642" t="s">
        <v>1875</v>
      </c>
      <c r="D116" s="632" t="s">
        <v>2239</v>
      </c>
      <c r="E116" s="644"/>
    </row>
    <row r="117" spans="1:5">
      <c r="A117" s="641">
        <f t="shared" si="1"/>
        <v>112</v>
      </c>
      <c r="B117" s="642" t="s">
        <v>385</v>
      </c>
      <c r="C117" s="642" t="s">
        <v>2240</v>
      </c>
      <c r="D117" s="632" t="s">
        <v>2120</v>
      </c>
      <c r="E117" s="644"/>
    </row>
    <row r="118" spans="1:5">
      <c r="A118" s="637">
        <f t="shared" si="1"/>
        <v>113</v>
      </c>
      <c r="B118" s="642" t="s">
        <v>389</v>
      </c>
      <c r="C118" s="642" t="s">
        <v>1882</v>
      </c>
      <c r="D118" s="632" t="s">
        <v>2241</v>
      </c>
      <c r="E118" s="644"/>
    </row>
    <row r="119" spans="1:5">
      <c r="A119" s="641">
        <f t="shared" si="1"/>
        <v>114</v>
      </c>
      <c r="D119" s="632" t="s">
        <v>2242</v>
      </c>
      <c r="E119" s="644" t="s">
        <v>2190</v>
      </c>
    </row>
    <row r="120" spans="1:5">
      <c r="A120" s="637">
        <f t="shared" si="1"/>
        <v>115</v>
      </c>
      <c r="D120" s="632" t="s">
        <v>2243</v>
      </c>
      <c r="E120" s="644" t="s">
        <v>2190</v>
      </c>
    </row>
    <row r="121" spans="1:5">
      <c r="A121" s="641">
        <f t="shared" si="1"/>
        <v>116</v>
      </c>
      <c r="B121" s="642" t="s">
        <v>391</v>
      </c>
      <c r="C121" s="642" t="s">
        <v>1885</v>
      </c>
      <c r="D121" s="632" t="s">
        <v>2376</v>
      </c>
      <c r="E121" s="644"/>
    </row>
    <row r="122" spans="1:5">
      <c r="A122" s="637">
        <f t="shared" si="1"/>
        <v>117</v>
      </c>
      <c r="D122" s="632" t="s">
        <v>2168</v>
      </c>
      <c r="E122" s="644" t="s">
        <v>2152</v>
      </c>
    </row>
    <row r="123" spans="1:5">
      <c r="A123" s="641">
        <f t="shared" si="1"/>
        <v>118</v>
      </c>
      <c r="B123" s="642" t="s">
        <v>938</v>
      </c>
      <c r="C123" s="642" t="s">
        <v>2244</v>
      </c>
      <c r="D123" s="632" t="s">
        <v>2120</v>
      </c>
      <c r="E123" s="644"/>
    </row>
    <row r="124" spans="1:5">
      <c r="A124" s="637">
        <f t="shared" si="1"/>
        <v>119</v>
      </c>
      <c r="B124" s="642" t="s">
        <v>397</v>
      </c>
      <c r="C124" s="642" t="s">
        <v>2245</v>
      </c>
      <c r="D124" s="632" t="s">
        <v>2120</v>
      </c>
      <c r="E124" s="644"/>
    </row>
    <row r="125" spans="1:5">
      <c r="A125" s="641">
        <f t="shared" si="1"/>
        <v>120</v>
      </c>
      <c r="B125" s="642" t="s">
        <v>397</v>
      </c>
      <c r="C125" s="642" t="s">
        <v>1889</v>
      </c>
      <c r="D125" s="632" t="s">
        <v>2126</v>
      </c>
      <c r="E125" s="644" t="s">
        <v>2246</v>
      </c>
    </row>
    <row r="126" spans="1:5">
      <c r="A126" s="637">
        <f t="shared" si="1"/>
        <v>121</v>
      </c>
      <c r="B126" s="642" t="s">
        <v>940</v>
      </c>
      <c r="C126" s="642" t="s">
        <v>2247</v>
      </c>
      <c r="D126" s="632" t="s">
        <v>2120</v>
      </c>
      <c r="E126" s="644"/>
    </row>
    <row r="127" spans="1:5">
      <c r="A127" s="641">
        <f t="shared" si="1"/>
        <v>122</v>
      </c>
      <c r="B127" s="642" t="s">
        <v>403</v>
      </c>
      <c r="C127" s="642" t="s">
        <v>1909</v>
      </c>
      <c r="D127" s="632" t="s">
        <v>2248</v>
      </c>
      <c r="E127" s="644" t="s">
        <v>2101</v>
      </c>
    </row>
    <row r="128" spans="1:5">
      <c r="A128" s="637">
        <f t="shared" si="1"/>
        <v>123</v>
      </c>
      <c r="D128" s="632" t="s">
        <v>2100</v>
      </c>
      <c r="E128" s="644" t="s">
        <v>2101</v>
      </c>
    </row>
    <row r="129" spans="1:5">
      <c r="A129" s="641">
        <f t="shared" si="1"/>
        <v>124</v>
      </c>
      <c r="B129" s="642" t="s">
        <v>405</v>
      </c>
      <c r="C129" s="642" t="s">
        <v>1915</v>
      </c>
      <c r="D129" s="632" t="s">
        <v>2249</v>
      </c>
      <c r="E129" s="644" t="s">
        <v>2250</v>
      </c>
    </row>
    <row r="130" spans="1:5">
      <c r="A130" s="637">
        <f t="shared" si="1"/>
        <v>125</v>
      </c>
      <c r="B130" s="642" t="s">
        <v>409</v>
      </c>
      <c r="C130" s="642" t="s">
        <v>1919</v>
      </c>
      <c r="D130" s="632" t="s">
        <v>2251</v>
      </c>
      <c r="E130" s="644"/>
    </row>
    <row r="131" spans="1:5">
      <c r="A131" s="641">
        <f t="shared" si="1"/>
        <v>126</v>
      </c>
      <c r="D131" s="632" t="s">
        <v>2252</v>
      </c>
      <c r="E131" s="644"/>
    </row>
    <row r="132" spans="1:5">
      <c r="A132" s="637">
        <f t="shared" si="1"/>
        <v>127</v>
      </c>
      <c r="D132" s="632" t="s">
        <v>2253</v>
      </c>
      <c r="E132" s="644"/>
    </row>
    <row r="133" spans="1:5">
      <c r="A133" s="641">
        <f t="shared" si="1"/>
        <v>128</v>
      </c>
      <c r="B133" s="642" t="s">
        <v>943</v>
      </c>
      <c r="C133" s="642" t="s">
        <v>2254</v>
      </c>
      <c r="D133" s="632" t="s">
        <v>2120</v>
      </c>
      <c r="E133" s="644"/>
    </row>
    <row r="134" spans="1:5">
      <c r="A134" s="637">
        <f t="shared" si="1"/>
        <v>129</v>
      </c>
      <c r="B134" s="642" t="s">
        <v>499</v>
      </c>
      <c r="C134" s="642" t="s">
        <v>2032</v>
      </c>
      <c r="D134" s="632" t="s">
        <v>2255</v>
      </c>
      <c r="E134" s="644"/>
    </row>
    <row r="135" spans="1:5">
      <c r="A135" s="641">
        <f t="shared" si="1"/>
        <v>130</v>
      </c>
      <c r="D135" s="632" t="s">
        <v>2256</v>
      </c>
      <c r="E135" s="644" t="s">
        <v>2257</v>
      </c>
    </row>
    <row r="136" spans="1:5">
      <c r="A136" s="637">
        <f t="shared" si="1"/>
        <v>131</v>
      </c>
      <c r="B136" s="642" t="s">
        <v>944</v>
      </c>
      <c r="C136" s="642" t="s">
        <v>1925</v>
      </c>
      <c r="D136" s="632" t="s">
        <v>2258</v>
      </c>
      <c r="E136" s="644"/>
    </row>
    <row r="137" spans="1:5">
      <c r="A137" s="641">
        <f t="shared" si="1"/>
        <v>132</v>
      </c>
      <c r="D137" s="632" t="s">
        <v>2259</v>
      </c>
      <c r="E137" s="644" t="s">
        <v>2111</v>
      </c>
    </row>
    <row r="138" spans="1:5">
      <c r="A138" s="637">
        <f t="shared" si="1"/>
        <v>133</v>
      </c>
      <c r="B138" s="642" t="s">
        <v>411</v>
      </c>
      <c r="C138" s="642" t="s">
        <v>1928</v>
      </c>
      <c r="D138" s="632" t="s">
        <v>2165</v>
      </c>
      <c r="E138" s="644" t="s">
        <v>2101</v>
      </c>
    </row>
    <row r="139" spans="1:5">
      <c r="A139" s="641">
        <f t="shared" si="1"/>
        <v>134</v>
      </c>
      <c r="D139" s="632" t="s">
        <v>2260</v>
      </c>
      <c r="E139" s="644" t="s">
        <v>2123</v>
      </c>
    </row>
    <row r="140" spans="1:5">
      <c r="A140" s="637">
        <f t="shared" ref="A140:A177" si="2">A139+1</f>
        <v>135</v>
      </c>
      <c r="B140" s="642" t="s">
        <v>415</v>
      </c>
      <c r="C140" s="642" t="s">
        <v>1935</v>
      </c>
      <c r="D140" s="632" t="s">
        <v>2261</v>
      </c>
      <c r="E140" s="644" t="s">
        <v>2262</v>
      </c>
    </row>
    <row r="141" spans="1:5">
      <c r="A141" s="641">
        <f t="shared" si="2"/>
        <v>136</v>
      </c>
      <c r="B141" s="642" t="s">
        <v>421</v>
      </c>
      <c r="C141" s="642" t="s">
        <v>1942</v>
      </c>
      <c r="D141" s="632" t="s">
        <v>2263</v>
      </c>
      <c r="E141" s="644"/>
    </row>
    <row r="142" spans="1:5">
      <c r="A142" s="637">
        <f t="shared" si="2"/>
        <v>137</v>
      </c>
      <c r="D142" s="632" t="s">
        <v>2264</v>
      </c>
      <c r="E142" s="644" t="s">
        <v>2265</v>
      </c>
    </row>
    <row r="143" spans="1:5">
      <c r="A143" s="641">
        <f t="shared" si="2"/>
        <v>138</v>
      </c>
      <c r="B143" s="642" t="s">
        <v>423</v>
      </c>
      <c r="C143" s="642" t="s">
        <v>1945</v>
      </c>
      <c r="D143" s="632" t="s">
        <v>2266</v>
      </c>
      <c r="E143" s="644"/>
    </row>
    <row r="144" spans="1:5">
      <c r="A144" s="637">
        <f t="shared" si="2"/>
        <v>139</v>
      </c>
      <c r="B144" s="642" t="s">
        <v>425</v>
      </c>
      <c r="C144" s="642" t="s">
        <v>1947</v>
      </c>
      <c r="D144" s="632" t="s">
        <v>2267</v>
      </c>
      <c r="E144" s="644"/>
    </row>
    <row r="145" spans="1:5">
      <c r="A145" s="641">
        <f t="shared" si="2"/>
        <v>140</v>
      </c>
      <c r="D145" s="632" t="s">
        <v>2268</v>
      </c>
      <c r="E145" s="644" t="s">
        <v>2269</v>
      </c>
    </row>
    <row r="146" spans="1:5">
      <c r="A146" s="637">
        <f t="shared" si="2"/>
        <v>141</v>
      </c>
      <c r="B146" s="642" t="s">
        <v>433</v>
      </c>
      <c r="C146" s="642" t="s">
        <v>1967</v>
      </c>
      <c r="D146" s="632" t="s">
        <v>2122</v>
      </c>
      <c r="E146" s="644" t="s">
        <v>2123</v>
      </c>
    </row>
    <row r="147" spans="1:5">
      <c r="A147" s="641">
        <f t="shared" si="2"/>
        <v>142</v>
      </c>
      <c r="B147" s="642" t="s">
        <v>435</v>
      </c>
      <c r="C147" s="642" t="s">
        <v>1976</v>
      </c>
      <c r="D147" s="632" t="s">
        <v>2270</v>
      </c>
      <c r="E147" s="644" t="s">
        <v>2271</v>
      </c>
    </row>
    <row r="148" spans="1:5">
      <c r="A148" s="637">
        <f t="shared" si="2"/>
        <v>143</v>
      </c>
      <c r="B148" s="642" t="s">
        <v>1979</v>
      </c>
      <c r="C148" s="642" t="s">
        <v>1980</v>
      </c>
      <c r="D148" s="632" t="s">
        <v>2272</v>
      </c>
      <c r="E148" s="644"/>
    </row>
    <row r="149" spans="1:5">
      <c r="A149" s="641">
        <f t="shared" si="2"/>
        <v>144</v>
      </c>
      <c r="D149" s="632" t="s">
        <v>2273</v>
      </c>
      <c r="E149" s="644" t="s">
        <v>2274</v>
      </c>
    </row>
    <row r="150" spans="1:5">
      <c r="A150" s="637">
        <f t="shared" si="2"/>
        <v>145</v>
      </c>
      <c r="B150" s="642" t="s">
        <v>443</v>
      </c>
      <c r="C150" s="642" t="s">
        <v>1987</v>
      </c>
      <c r="D150" s="632" t="s">
        <v>2260</v>
      </c>
      <c r="E150" s="644" t="s">
        <v>2123</v>
      </c>
    </row>
    <row r="151" spans="1:5">
      <c r="A151" s="641">
        <f t="shared" si="2"/>
        <v>146</v>
      </c>
      <c r="D151" s="632" t="s">
        <v>2275</v>
      </c>
      <c r="E151" s="644" t="s">
        <v>2265</v>
      </c>
    </row>
    <row r="152" spans="1:5">
      <c r="A152" s="637">
        <f t="shared" si="2"/>
        <v>147</v>
      </c>
      <c r="B152" s="642" t="s">
        <v>447</v>
      </c>
      <c r="C152" s="642" t="s">
        <v>1989</v>
      </c>
      <c r="D152" s="632" t="s">
        <v>2276</v>
      </c>
      <c r="E152" s="644" t="s">
        <v>2277</v>
      </c>
    </row>
    <row r="153" spans="1:5">
      <c r="A153" s="641">
        <f t="shared" si="2"/>
        <v>148</v>
      </c>
      <c r="B153" s="642" t="s">
        <v>445</v>
      </c>
      <c r="C153" s="642" t="s">
        <v>1994</v>
      </c>
      <c r="D153" s="632" t="s">
        <v>2278</v>
      </c>
      <c r="E153" s="644"/>
    </row>
    <row r="154" spans="1:5">
      <c r="A154" s="637">
        <f t="shared" si="2"/>
        <v>149</v>
      </c>
      <c r="B154" s="642" t="s">
        <v>449</v>
      </c>
      <c r="C154" s="642" t="s">
        <v>1997</v>
      </c>
      <c r="D154" s="632" t="s">
        <v>2279</v>
      </c>
      <c r="E154" s="644" t="s">
        <v>2280</v>
      </c>
    </row>
    <row r="155" spans="1:5">
      <c r="A155" s="641">
        <f t="shared" si="2"/>
        <v>150</v>
      </c>
      <c r="B155" s="642" t="s">
        <v>2281</v>
      </c>
      <c r="C155" s="642" t="s">
        <v>2282</v>
      </c>
      <c r="D155" s="632" t="s">
        <v>2120</v>
      </c>
      <c r="E155" s="644"/>
    </row>
    <row r="156" spans="1:5">
      <c r="A156" s="637">
        <f t="shared" si="2"/>
        <v>151</v>
      </c>
      <c r="B156" s="642" t="s">
        <v>2281</v>
      </c>
      <c r="C156" s="642" t="s">
        <v>2283</v>
      </c>
      <c r="D156" s="632" t="s">
        <v>2120</v>
      </c>
      <c r="E156" s="644"/>
    </row>
    <row r="157" spans="1:5">
      <c r="A157" s="641">
        <f t="shared" si="2"/>
        <v>152</v>
      </c>
      <c r="B157" s="642" t="s">
        <v>451</v>
      </c>
      <c r="C157" s="642" t="s">
        <v>2001</v>
      </c>
      <c r="D157" s="632" t="s">
        <v>2284</v>
      </c>
      <c r="E157" s="644"/>
    </row>
    <row r="158" spans="1:5">
      <c r="A158" s="637">
        <f t="shared" si="2"/>
        <v>153</v>
      </c>
      <c r="D158" s="632" t="s">
        <v>2285</v>
      </c>
      <c r="E158" s="644" t="s">
        <v>2286</v>
      </c>
    </row>
    <row r="159" spans="1:5">
      <c r="A159" s="641">
        <f t="shared" si="2"/>
        <v>154</v>
      </c>
      <c r="D159" s="632" t="s">
        <v>2287</v>
      </c>
      <c r="E159" s="644" t="s">
        <v>2288</v>
      </c>
    </row>
    <row r="160" spans="1:5">
      <c r="A160" s="637">
        <f t="shared" si="2"/>
        <v>155</v>
      </c>
      <c r="B160" s="642" t="s">
        <v>453</v>
      </c>
      <c r="C160" s="642" t="s">
        <v>2004</v>
      </c>
      <c r="D160" s="632" t="s">
        <v>2289</v>
      </c>
      <c r="E160" s="644" t="s">
        <v>2290</v>
      </c>
    </row>
    <row r="161" spans="1:5">
      <c r="A161" s="641">
        <f t="shared" si="2"/>
        <v>156</v>
      </c>
      <c r="D161" s="632" t="s">
        <v>2291</v>
      </c>
      <c r="E161" s="644"/>
    </row>
    <row r="162" spans="1:5">
      <c r="A162" s="637">
        <f t="shared" si="2"/>
        <v>157</v>
      </c>
      <c r="D162" s="632" t="s">
        <v>2292</v>
      </c>
      <c r="E162" s="644"/>
    </row>
    <row r="163" spans="1:5">
      <c r="A163" s="641">
        <f t="shared" si="2"/>
        <v>158</v>
      </c>
      <c r="D163" s="632" t="s">
        <v>2293</v>
      </c>
      <c r="E163" s="644"/>
    </row>
    <row r="164" spans="1:5">
      <c r="A164" s="637">
        <f t="shared" si="2"/>
        <v>159</v>
      </c>
      <c r="C164" s="638" t="s">
        <v>2007</v>
      </c>
      <c r="E164" s="644"/>
    </row>
    <row r="165" spans="1:5">
      <c r="A165" s="641">
        <f t="shared" si="2"/>
        <v>160</v>
      </c>
      <c r="C165" s="642" t="s">
        <v>2294</v>
      </c>
      <c r="D165" s="632" t="s">
        <v>2016</v>
      </c>
      <c r="E165" s="644"/>
    </row>
    <row r="166" spans="1:5" ht="14.5">
      <c r="A166" s="641">
        <f t="shared" si="2"/>
        <v>161</v>
      </c>
      <c r="C166" s="583" t="s">
        <v>2074</v>
      </c>
      <c r="E166" s="644"/>
    </row>
    <row r="167" spans="1:5" ht="14.5">
      <c r="A167" s="641">
        <f t="shared" si="2"/>
        <v>162</v>
      </c>
      <c r="C167" s="592" t="s">
        <v>2075</v>
      </c>
      <c r="D167" s="632" t="s">
        <v>2413</v>
      </c>
      <c r="E167" s="644"/>
    </row>
    <row r="168" spans="1:5" ht="14.5">
      <c r="A168" s="641">
        <f t="shared" si="2"/>
        <v>163</v>
      </c>
      <c r="C168" s="592" t="s">
        <v>2076</v>
      </c>
      <c r="D168" s="632" t="s">
        <v>2414</v>
      </c>
      <c r="E168" s="644"/>
    </row>
    <row r="169" spans="1:5" ht="14.5">
      <c r="A169" s="641">
        <f t="shared" si="2"/>
        <v>164</v>
      </c>
      <c r="C169" s="592"/>
      <c r="D169" s="632" t="s">
        <v>2415</v>
      </c>
      <c r="E169" s="644"/>
    </row>
    <row r="170" spans="1:5" ht="14.5">
      <c r="A170" s="641">
        <f t="shared" si="2"/>
        <v>165</v>
      </c>
      <c r="C170" s="592" t="s">
        <v>2053</v>
      </c>
      <c r="D170" s="632" t="s">
        <v>2465</v>
      </c>
      <c r="E170" s="644"/>
    </row>
    <row r="171" spans="1:5" ht="14.5">
      <c r="A171" s="641">
        <f t="shared" si="2"/>
        <v>166</v>
      </c>
      <c r="C171" s="592"/>
      <c r="D171" s="632" t="s">
        <v>2466</v>
      </c>
      <c r="E171" s="644"/>
    </row>
    <row r="172" spans="1:5" ht="14.5">
      <c r="A172" s="641">
        <f t="shared" si="2"/>
        <v>167</v>
      </c>
      <c r="C172" s="592" t="s">
        <v>2080</v>
      </c>
      <c r="D172" s="632" t="s">
        <v>2416</v>
      </c>
      <c r="E172" s="644"/>
    </row>
    <row r="173" spans="1:5" ht="14.5">
      <c r="A173" s="641">
        <f t="shared" si="2"/>
        <v>168</v>
      </c>
      <c r="C173" s="592"/>
      <c r="D173" s="632" t="s">
        <v>2467</v>
      </c>
      <c r="E173" s="644"/>
    </row>
    <row r="174" spans="1:5" ht="14.5">
      <c r="A174" s="641">
        <f t="shared" si="2"/>
        <v>169</v>
      </c>
      <c r="C174" s="592"/>
      <c r="D174" s="632" t="s">
        <v>2468</v>
      </c>
      <c r="E174" s="644"/>
    </row>
    <row r="175" spans="1:5" ht="14.5">
      <c r="A175" s="641">
        <f t="shared" si="2"/>
        <v>170</v>
      </c>
      <c r="C175" s="592" t="s">
        <v>2081</v>
      </c>
      <c r="D175" s="632" t="s">
        <v>2179</v>
      </c>
      <c r="E175" s="644"/>
    </row>
    <row r="176" spans="1:5" ht="14.5">
      <c r="A176" s="641">
        <f t="shared" si="2"/>
        <v>171</v>
      </c>
      <c r="C176" s="592" t="s">
        <v>2083</v>
      </c>
      <c r="D176" s="632" t="s">
        <v>2126</v>
      </c>
      <c r="E176" s="644"/>
    </row>
    <row r="177" spans="1:5">
      <c r="A177" s="641">
        <f t="shared" si="2"/>
        <v>172</v>
      </c>
      <c r="D177" s="632" t="s">
        <v>2417</v>
      </c>
      <c r="E177" s="644"/>
    </row>
    <row r="178" spans="1:5">
      <c r="A178" s="641"/>
      <c r="E178" s="655"/>
    </row>
    <row r="179" spans="1:5" ht="14.5">
      <c r="A179" s="656" t="s">
        <v>2418</v>
      </c>
      <c r="B179" s="657"/>
      <c r="C179" s="657"/>
      <c r="D179" s="643"/>
      <c r="E179" s="658"/>
    </row>
    <row r="180" spans="1:5" ht="13.5" thickBot="1">
      <c r="A180" s="659" t="s">
        <v>2308</v>
      </c>
      <c r="E180" s="655"/>
    </row>
  </sheetData>
  <pageMargins left="0.7" right="0.7" top="0.75" bottom="0.75" header="0.3" footer="0.3"/>
  <pageSetup scale="50" fitToHeight="0"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view="pageBreakPreview" zoomScale="150" zoomScaleNormal="100" zoomScaleSheetLayoutView="150" workbookViewId="0">
      <selection activeCell="A4" sqref="A4"/>
    </sheetView>
  </sheetViews>
  <sheetFormatPr defaultRowHeight="14.5"/>
  <cols>
    <col min="1" max="1" width="18.26953125" customWidth="1"/>
    <col min="2" max="2" width="91.26953125" customWidth="1"/>
  </cols>
  <sheetData>
    <row r="1" spans="1:5" s="353" customFormat="1" ht="13">
      <c r="A1" s="651" t="str">
        <f>'Cover Sheets'!A10:D10</f>
        <v>WAPA-UGP 2018 Rate True-up Calculation</v>
      </c>
      <c r="B1" s="652"/>
      <c r="C1" s="650"/>
      <c r="D1" s="650"/>
      <c r="E1" s="348"/>
    </row>
    <row r="2" spans="1:5" s="353" customFormat="1" ht="13">
      <c r="A2" s="827" t="s">
        <v>2564</v>
      </c>
      <c r="B2" s="826"/>
      <c r="C2" s="650"/>
      <c r="D2" s="650"/>
      <c r="E2" s="348"/>
    </row>
    <row r="3" spans="1:5" s="353" customFormat="1" ht="13">
      <c r="A3" s="653" t="str">
        <f>'WS1-RateBase'!A4</f>
        <v>12 Months Ending 09/30/2018 ACTUAL</v>
      </c>
      <c r="B3" s="654"/>
      <c r="C3" s="650"/>
      <c r="D3" s="650"/>
      <c r="E3" s="348"/>
    </row>
    <row r="4" spans="1:5" s="353" customFormat="1" ht="31.9" customHeight="1">
      <c r="A4" s="682" t="s">
        <v>2339</v>
      </c>
      <c r="B4" s="683" t="s">
        <v>2470</v>
      </c>
      <c r="C4" s="650"/>
      <c r="D4" s="650"/>
      <c r="E4" s="348"/>
    </row>
    <row r="5" spans="1:5" ht="29">
      <c r="A5" s="682" t="s">
        <v>1692</v>
      </c>
      <c r="B5" s="683" t="s">
        <v>2471</v>
      </c>
    </row>
    <row r="6" spans="1:5" ht="29">
      <c r="A6" s="682" t="s">
        <v>2342</v>
      </c>
      <c r="B6" s="683" t="s">
        <v>2472</v>
      </c>
    </row>
    <row r="7" spans="1:5" ht="29">
      <c r="A7" s="682" t="s">
        <v>1755</v>
      </c>
      <c r="B7" s="683" t="s">
        <v>2473</v>
      </c>
    </row>
    <row r="8" spans="1:5" ht="45.5">
      <c r="A8" s="682" t="s">
        <v>2348</v>
      </c>
      <c r="B8" s="683" t="s">
        <v>2474</v>
      </c>
    </row>
    <row r="9" spans="1:5" ht="29">
      <c r="A9" s="682" t="s">
        <v>2350</v>
      </c>
      <c r="B9" s="683" t="s">
        <v>2475</v>
      </c>
    </row>
    <row r="10" spans="1:5">
      <c r="A10" s="682" t="s">
        <v>2476</v>
      </c>
      <c r="B10" s="683" t="s">
        <v>2477</v>
      </c>
    </row>
    <row r="11" spans="1:5" ht="29">
      <c r="A11" s="682" t="s">
        <v>2353</v>
      </c>
      <c r="B11" s="683" t="s">
        <v>2478</v>
      </c>
    </row>
    <row r="12" spans="1:5" ht="43.5">
      <c r="A12" s="682" t="s">
        <v>1915</v>
      </c>
      <c r="B12" s="683" t="s">
        <v>2479</v>
      </c>
    </row>
    <row r="13" spans="1:5" ht="29">
      <c r="A13" s="682" t="s">
        <v>2363</v>
      </c>
      <c r="B13" s="683" t="s">
        <v>2480</v>
      </c>
    </row>
    <row r="14" spans="1:5" ht="29">
      <c r="A14" s="682" t="s">
        <v>2364</v>
      </c>
      <c r="B14" s="683" t="s">
        <v>2481</v>
      </c>
    </row>
    <row r="15" spans="1:5" ht="29">
      <c r="A15" s="682" t="s">
        <v>2365</v>
      </c>
      <c r="B15" s="683" t="s">
        <v>2482</v>
      </c>
    </row>
    <row r="16" spans="1:5">
      <c r="A16" s="682" t="s">
        <v>1945</v>
      </c>
      <c r="B16" s="683" t="s">
        <v>2483</v>
      </c>
    </row>
    <row r="17" spans="1:2" ht="29">
      <c r="A17" s="682" t="s">
        <v>1967</v>
      </c>
      <c r="B17" s="683" t="s">
        <v>2484</v>
      </c>
    </row>
    <row r="18" spans="1:2">
      <c r="A18" s="682" t="s">
        <v>1994</v>
      </c>
      <c r="B18" s="683" t="s">
        <v>2485</v>
      </c>
    </row>
  </sheetData>
  <pageMargins left="0.7" right="0.7" top="0.75" bottom="0.75" header="0.3" footer="0.3"/>
  <pageSetup scale="82" orientation="portrait" verticalDpi="1200"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110" zoomScaleNormal="100" zoomScaleSheetLayoutView="110" workbookViewId="0">
      <selection activeCell="A4" sqref="A4"/>
    </sheetView>
  </sheetViews>
  <sheetFormatPr defaultColWidth="13.1796875" defaultRowHeight="14.5"/>
  <cols>
    <col min="1" max="1" width="13.1796875" style="351"/>
    <col min="2" max="2" width="89.453125" style="351" bestFit="1" customWidth="1"/>
    <col min="3" max="3" width="14.81640625" style="351" customWidth="1"/>
    <col min="4" max="4" width="32.26953125" style="351" bestFit="1" customWidth="1"/>
    <col min="5" max="16384" width="13.1796875" style="351"/>
  </cols>
  <sheetData>
    <row r="1" spans="1:4">
      <c r="A1" s="354" t="str">
        <f>'Cover Sheets'!A10:D10</f>
        <v>WAPA-UGP 2018 Rate True-up Calculation</v>
      </c>
      <c r="B1" s="517"/>
      <c r="C1" s="396"/>
      <c r="D1" s="397"/>
    </row>
    <row r="2" spans="1:4">
      <c r="A2" s="821" t="s">
        <v>2565</v>
      </c>
      <c r="B2" s="714"/>
      <c r="C2" s="398"/>
      <c r="D2" s="399"/>
    </row>
    <row r="3" spans="1:4">
      <c r="A3" s="167" t="str">
        <f>'WS1-RateBase'!A4</f>
        <v>12 Months Ending 09/30/2018 ACTUAL</v>
      </c>
      <c r="B3" s="398"/>
      <c r="C3" s="398"/>
      <c r="D3" s="399"/>
    </row>
    <row r="4" spans="1:4">
      <c r="A4" s="167"/>
      <c r="B4" s="358" t="s">
        <v>2</v>
      </c>
      <c r="C4" s="359" t="s">
        <v>1461</v>
      </c>
      <c r="D4" s="360" t="s">
        <v>1211</v>
      </c>
    </row>
    <row r="5" spans="1:4" ht="15" thickBot="1">
      <c r="A5" s="361" t="s">
        <v>1385</v>
      </c>
      <c r="B5" s="362">
        <v>-1</v>
      </c>
      <c r="C5" s="362">
        <v>-2</v>
      </c>
      <c r="D5" s="363">
        <v>-3</v>
      </c>
    </row>
    <row r="6" spans="1:4">
      <c r="A6" s="400">
        <v>1</v>
      </c>
      <c r="B6" s="401" t="s">
        <v>1384</v>
      </c>
      <c r="C6" s="408">
        <f>'WS4-CostData'!K121</f>
        <v>10878077.960000001</v>
      </c>
      <c r="D6" s="405" t="s">
        <v>1240</v>
      </c>
    </row>
    <row r="7" spans="1:4">
      <c r="A7" s="400">
        <f t="shared" ref="A7:A18" si="0">A6+1</f>
        <v>2</v>
      </c>
      <c r="B7" s="401" t="s">
        <v>1377</v>
      </c>
      <c r="C7" s="408">
        <f>'WS4-CostData'!K98</f>
        <v>187223.74573673302</v>
      </c>
      <c r="D7" s="405" t="s">
        <v>1259</v>
      </c>
    </row>
    <row r="8" spans="1:4">
      <c r="A8" s="400">
        <f t="shared" si="0"/>
        <v>3</v>
      </c>
      <c r="B8" s="401" t="s">
        <v>1372</v>
      </c>
      <c r="C8" s="408">
        <f>'WS4-CostData'!K41</f>
        <v>302196.77705159964</v>
      </c>
      <c r="D8" s="405" t="s">
        <v>1371</v>
      </c>
    </row>
    <row r="9" spans="1:4">
      <c r="A9" s="400">
        <f t="shared" si="0"/>
        <v>4</v>
      </c>
      <c r="B9" s="401" t="s">
        <v>1368</v>
      </c>
      <c r="C9" s="408">
        <v>0</v>
      </c>
      <c r="D9" s="405" t="s">
        <v>1460</v>
      </c>
    </row>
    <row r="10" spans="1:4" ht="39.5">
      <c r="A10" s="400">
        <f t="shared" si="0"/>
        <v>5</v>
      </c>
      <c r="B10" s="401" t="s">
        <v>1366</v>
      </c>
      <c r="C10" s="408">
        <v>0</v>
      </c>
      <c r="D10" s="421" t="s">
        <v>1459</v>
      </c>
    </row>
    <row r="11" spans="1:4">
      <c r="A11" s="400">
        <f t="shared" si="0"/>
        <v>6</v>
      </c>
      <c r="B11" s="401" t="s">
        <v>1364</v>
      </c>
      <c r="C11" s="403"/>
      <c r="D11" s="405"/>
    </row>
    <row r="12" spans="1:4">
      <c r="A12" s="400">
        <f t="shared" si="0"/>
        <v>7</v>
      </c>
      <c r="B12" s="406" t="s">
        <v>1363</v>
      </c>
      <c r="C12" s="412">
        <f>'WS4-CostData'!K62</f>
        <v>4.942300168199476E-2</v>
      </c>
      <c r="D12" s="405" t="s">
        <v>1294</v>
      </c>
    </row>
    <row r="13" spans="1:4">
      <c r="A13" s="400">
        <f t="shared" si="0"/>
        <v>8</v>
      </c>
      <c r="B13" s="406" t="s">
        <v>1347</v>
      </c>
      <c r="C13" s="408">
        <f>'WS4-CostData'!C20</f>
        <v>6941672.2199390354</v>
      </c>
      <c r="D13" s="405"/>
    </row>
    <row r="14" spans="1:4">
      <c r="A14" s="400">
        <f t="shared" si="0"/>
        <v>9</v>
      </c>
      <c r="B14" s="406" t="s">
        <v>1353</v>
      </c>
      <c r="C14" s="408">
        <f>C12*C13</f>
        <v>343078.27780190326</v>
      </c>
      <c r="D14" s="405" t="s">
        <v>1458</v>
      </c>
    </row>
    <row r="15" spans="1:4">
      <c r="A15" s="400">
        <f t="shared" si="0"/>
        <v>10</v>
      </c>
      <c r="B15" s="401" t="s">
        <v>1350</v>
      </c>
      <c r="C15" s="412"/>
      <c r="D15" s="413"/>
    </row>
    <row r="16" spans="1:4" ht="15" thickBot="1">
      <c r="A16" s="400">
        <f t="shared" si="0"/>
        <v>11</v>
      </c>
      <c r="B16" s="417" t="s">
        <v>1345</v>
      </c>
      <c r="C16" s="419">
        <f>C6+C7+C8+C14</f>
        <v>11710576.760590237</v>
      </c>
      <c r="D16" s="420" t="s">
        <v>1457</v>
      </c>
    </row>
    <row r="17" spans="1:4">
      <c r="A17" s="400">
        <f t="shared" si="0"/>
        <v>12</v>
      </c>
      <c r="B17" s="425" t="s">
        <v>1486</v>
      </c>
      <c r="C17" s="426">
        <f>C16*C20</f>
        <v>867166.07105518447</v>
      </c>
      <c r="D17" s="511"/>
    </row>
    <row r="18" spans="1:4" ht="15" thickBot="1">
      <c r="A18" s="361">
        <f t="shared" si="0"/>
        <v>13</v>
      </c>
      <c r="B18" s="512" t="s">
        <v>1489</v>
      </c>
      <c r="C18" s="513">
        <f>C16-C17</f>
        <v>10843410.689535052</v>
      </c>
      <c r="D18" s="514" t="s">
        <v>1488</v>
      </c>
    </row>
    <row r="20" spans="1:4">
      <c r="B20" s="351" t="s">
        <v>1487</v>
      </c>
      <c r="C20" s="351">
        <f>'WS8-TranFac'!F506/'WS8-TranFac'!I506</f>
        <v>7.4049817424319375E-2</v>
      </c>
    </row>
  </sheetData>
  <pageMargins left="0.7" right="0.7" top="0.75" bottom="0.75" header="0.3" footer="0.3"/>
  <pageSetup scale="81" fitToHeight="0" orientation="landscape"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1"/>
  <sheetViews>
    <sheetView view="pageBreakPreview" zoomScale="110" zoomScaleNormal="100" zoomScaleSheetLayoutView="110" workbookViewId="0">
      <selection activeCell="A4" sqref="A4"/>
    </sheetView>
  </sheetViews>
  <sheetFormatPr defaultColWidth="9.1796875" defaultRowHeight="13"/>
  <cols>
    <col min="1" max="1" width="22.1796875" style="353" customWidth="1"/>
    <col min="2" max="2" width="16.7265625" style="353" customWidth="1"/>
    <col min="3" max="3" width="76.1796875" style="353" bestFit="1" customWidth="1"/>
    <col min="4" max="4" width="27.81640625" style="353" customWidth="1"/>
    <col min="5" max="5" width="22.54296875" style="678" bestFit="1" customWidth="1"/>
    <col min="6" max="6" width="16.54296875" style="353" customWidth="1"/>
    <col min="7" max="7" width="15" style="546" customWidth="1"/>
    <col min="8" max="8" width="22.54296875" style="353" customWidth="1"/>
    <col min="9" max="9" width="17.54296875" style="547" customWidth="1"/>
    <col min="10" max="10" width="12.7265625" style="353" bestFit="1" customWidth="1"/>
    <col min="11" max="11" width="11.54296875" style="353" bestFit="1" customWidth="1"/>
    <col min="12" max="16384" width="9.1796875" style="353"/>
  </cols>
  <sheetData>
    <row r="1" spans="1:14">
      <c r="A1" s="354" t="str">
        <f>'Cover Sheets'!A10:D10</f>
        <v>WAPA-UGP 2018 Rate True-up Calculation</v>
      </c>
      <c r="B1" s="557"/>
      <c r="C1" s="355"/>
      <c r="D1" s="355"/>
      <c r="E1" s="668"/>
      <c r="F1" s="355"/>
      <c r="G1" s="553"/>
      <c r="H1" s="355"/>
      <c r="I1" s="554"/>
    </row>
    <row r="2" spans="1:14">
      <c r="A2" s="822" t="s">
        <v>2566</v>
      </c>
      <c r="B2" s="558"/>
      <c r="C2" s="356"/>
      <c r="D2" s="356"/>
      <c r="E2" s="669"/>
      <c r="F2" s="356"/>
      <c r="G2" s="537"/>
      <c r="H2" s="356"/>
      <c r="I2" s="538"/>
    </row>
    <row r="3" spans="1:14">
      <c r="A3" s="357" t="str">
        <f>'WS1-RateBase'!A4</f>
        <v>12 Months Ending 09/30/2018 ACTUAL</v>
      </c>
      <c r="B3" s="558"/>
      <c r="C3" s="356"/>
      <c r="D3" s="356"/>
      <c r="E3" s="669"/>
      <c r="F3" s="356"/>
      <c r="G3" s="537"/>
      <c r="H3" s="356"/>
      <c r="I3" s="538"/>
    </row>
    <row r="4" spans="1:14" s="3" customFormat="1" ht="42.75" customHeight="1">
      <c r="A4" s="555" t="s">
        <v>2440</v>
      </c>
      <c r="B4" s="559" t="s">
        <v>1</v>
      </c>
      <c r="C4" s="427" t="s">
        <v>2</v>
      </c>
      <c r="D4" s="427" t="s">
        <v>1388</v>
      </c>
      <c r="E4" s="670" t="s">
        <v>4</v>
      </c>
      <c r="F4" s="549"/>
      <c r="G4" s="550" t="s">
        <v>2392</v>
      </c>
      <c r="H4" s="550" t="s">
        <v>2393</v>
      </c>
      <c r="I4" s="551" t="s">
        <v>2436</v>
      </c>
      <c r="J4" s="8"/>
      <c r="N4" s="8"/>
    </row>
    <row r="5" spans="1:14" ht="15" customHeight="1">
      <c r="A5" s="523"/>
      <c r="B5" s="560" t="s">
        <v>553</v>
      </c>
      <c r="C5" s="556" t="s">
        <v>554</v>
      </c>
      <c r="D5" s="428" t="s">
        <v>2547</v>
      </c>
      <c r="E5" s="671">
        <f>E41</f>
        <v>6006058.1099999985</v>
      </c>
      <c r="F5" s="429"/>
      <c r="G5" s="430">
        <v>0</v>
      </c>
      <c r="H5" s="430">
        <f>I5-E5</f>
        <v>-1501514.5274999989</v>
      </c>
      <c r="I5" s="431">
        <f>I41</f>
        <v>4504543.5824999996</v>
      </c>
      <c r="J5" s="531"/>
      <c r="L5" s="11"/>
      <c r="M5" s="11"/>
      <c r="N5" s="11"/>
    </row>
    <row r="6" spans="1:14">
      <c r="A6" s="523"/>
      <c r="B6" s="560" t="s">
        <v>555</v>
      </c>
      <c r="C6" s="428" t="s">
        <v>2389</v>
      </c>
      <c r="D6" s="428" t="s">
        <v>2547</v>
      </c>
      <c r="E6" s="671">
        <f>E48+E53</f>
        <v>2542599.7899999996</v>
      </c>
      <c r="F6" s="432"/>
      <c r="G6" s="430">
        <v>0</v>
      </c>
      <c r="H6" s="430">
        <f>I6-E6</f>
        <v>-720132.67026999965</v>
      </c>
      <c r="I6" s="431">
        <f>I48+I53</f>
        <v>1822467.1197299999</v>
      </c>
      <c r="J6" s="532"/>
      <c r="L6" s="11"/>
      <c r="M6" s="11"/>
      <c r="N6" s="15"/>
    </row>
    <row r="7" spans="1:14" ht="13.5" thickBot="1">
      <c r="A7" s="524"/>
      <c r="B7" s="561" t="s">
        <v>1421</v>
      </c>
      <c r="C7" s="433" t="s">
        <v>2390</v>
      </c>
      <c r="D7" s="433" t="s">
        <v>2547</v>
      </c>
      <c r="E7" s="672">
        <f>E97+E130</f>
        <v>12430495.109999999</v>
      </c>
      <c r="F7" s="434"/>
      <c r="G7" s="435">
        <v>0</v>
      </c>
      <c r="H7" s="435">
        <f>I7-E7</f>
        <v>-3854499.916824</v>
      </c>
      <c r="I7" s="436">
        <f>I97+I130</f>
        <v>8575995.1931759994</v>
      </c>
      <c r="J7" s="532"/>
      <c r="L7" s="11"/>
      <c r="M7" s="11"/>
      <c r="N7" s="15"/>
    </row>
    <row r="8" spans="1:14">
      <c r="A8" s="437"/>
      <c r="B8" s="560"/>
      <c r="C8" s="439"/>
      <c r="D8" s="439"/>
      <c r="E8" s="673">
        <f>SUM(E5:E7)</f>
        <v>20979153.009999998</v>
      </c>
      <c r="F8" s="440">
        <f t="shared" ref="F8:I8" si="0">SUM(F5:F7)</f>
        <v>0</v>
      </c>
      <c r="G8" s="442">
        <f t="shared" si="0"/>
        <v>0</v>
      </c>
      <c r="H8" s="441">
        <f t="shared" si="0"/>
        <v>-6076147.1145939985</v>
      </c>
      <c r="I8" s="503">
        <f t="shared" si="0"/>
        <v>14903005.895405998</v>
      </c>
      <c r="J8" s="14"/>
      <c r="K8" s="532"/>
      <c r="L8" s="11"/>
      <c r="M8" s="11"/>
      <c r="N8" s="15"/>
    </row>
    <row r="9" spans="1:14" ht="24" customHeight="1">
      <c r="A9" s="533" t="s">
        <v>2441</v>
      </c>
      <c r="B9" s="559" t="s">
        <v>1</v>
      </c>
      <c r="C9" s="427" t="s">
        <v>2</v>
      </c>
      <c r="D9" s="427" t="s">
        <v>2391</v>
      </c>
      <c r="E9" s="674" t="s">
        <v>2396</v>
      </c>
      <c r="F9" s="534" t="s">
        <v>2387</v>
      </c>
      <c r="G9" s="535" t="s">
        <v>2395</v>
      </c>
      <c r="H9" s="445" t="s">
        <v>2386</v>
      </c>
      <c r="I9" s="548" t="s">
        <v>2394</v>
      </c>
    </row>
    <row r="10" spans="1:14">
      <c r="A10" s="515"/>
      <c r="B10" s="666" t="s">
        <v>1389</v>
      </c>
      <c r="C10" s="552" t="s">
        <v>1390</v>
      </c>
      <c r="D10" s="428" t="s">
        <v>1390</v>
      </c>
      <c r="E10" s="671">
        <f>298.8</f>
        <v>298.8</v>
      </c>
      <c r="F10" s="536">
        <v>0.75</v>
      </c>
      <c r="G10" s="537">
        <f t="shared" ref="G10:G40" si="1">F10*E10</f>
        <v>224.10000000000002</v>
      </c>
      <c r="H10" s="536">
        <v>0.75</v>
      </c>
      <c r="I10" s="538">
        <f>E10*H10</f>
        <v>224.10000000000002</v>
      </c>
    </row>
    <row r="11" spans="1:14">
      <c r="A11" s="515"/>
      <c r="B11" s="666" t="s">
        <v>1389</v>
      </c>
      <c r="C11" s="552" t="s">
        <v>1391</v>
      </c>
      <c r="D11" s="428" t="s">
        <v>1392</v>
      </c>
      <c r="E11" s="671">
        <f>9789.59</f>
        <v>9789.59</v>
      </c>
      <c r="F11" s="536">
        <v>0.75</v>
      </c>
      <c r="G11" s="537">
        <f t="shared" si="1"/>
        <v>7342.1925000000001</v>
      </c>
      <c r="H11" s="536">
        <v>0.75</v>
      </c>
      <c r="I11" s="538">
        <f t="shared" ref="I11:I40" si="2">E11*H11</f>
        <v>7342.1925000000001</v>
      </c>
    </row>
    <row r="12" spans="1:14">
      <c r="A12" s="515"/>
      <c r="B12" s="666" t="s">
        <v>1389</v>
      </c>
      <c r="C12" s="552" t="s">
        <v>1393</v>
      </c>
      <c r="D12" s="428" t="s">
        <v>1392</v>
      </c>
      <c r="E12" s="671">
        <f>1538.62</f>
        <v>1538.62</v>
      </c>
      <c r="F12" s="536">
        <v>0.75</v>
      </c>
      <c r="G12" s="537">
        <f t="shared" si="1"/>
        <v>1153.9649999999999</v>
      </c>
      <c r="H12" s="536">
        <v>0.75</v>
      </c>
      <c r="I12" s="538">
        <f t="shared" si="2"/>
        <v>1153.9649999999999</v>
      </c>
    </row>
    <row r="13" spans="1:14">
      <c r="A13" s="515"/>
      <c r="B13" s="666" t="s">
        <v>1389</v>
      </c>
      <c r="C13" s="552" t="s">
        <v>1394</v>
      </c>
      <c r="D13" s="428" t="s">
        <v>1395</v>
      </c>
      <c r="E13" s="671">
        <f>295485.92</f>
        <v>295485.92</v>
      </c>
      <c r="F13" s="536">
        <v>0.75</v>
      </c>
      <c r="G13" s="537">
        <f t="shared" si="1"/>
        <v>221614.44</v>
      </c>
      <c r="H13" s="536">
        <v>0.75</v>
      </c>
      <c r="I13" s="538">
        <f t="shared" si="2"/>
        <v>221614.44</v>
      </c>
    </row>
    <row r="14" spans="1:14">
      <c r="A14" s="515"/>
      <c r="B14" s="666" t="s">
        <v>1389</v>
      </c>
      <c r="C14" s="552" t="s">
        <v>1390</v>
      </c>
      <c r="D14" s="428" t="s">
        <v>1390</v>
      </c>
      <c r="E14" s="671">
        <f>57816.18</f>
        <v>57816.18</v>
      </c>
      <c r="F14" s="536">
        <v>0.75</v>
      </c>
      <c r="G14" s="537">
        <f t="shared" si="1"/>
        <v>43362.135000000002</v>
      </c>
      <c r="H14" s="536">
        <v>0.75</v>
      </c>
      <c r="I14" s="538">
        <f t="shared" si="2"/>
        <v>43362.135000000002</v>
      </c>
    </row>
    <row r="15" spans="1:14">
      <c r="A15" s="515"/>
      <c r="B15" s="666" t="s">
        <v>1389</v>
      </c>
      <c r="C15" s="552" t="s">
        <v>1390</v>
      </c>
      <c r="D15" s="428" t="s">
        <v>2305</v>
      </c>
      <c r="E15" s="671">
        <f>5246.19</f>
        <v>5246.19</v>
      </c>
      <c r="F15" s="536">
        <v>0.75</v>
      </c>
      <c r="G15" s="537">
        <f t="shared" si="1"/>
        <v>3934.6424999999999</v>
      </c>
      <c r="H15" s="536">
        <v>0.75</v>
      </c>
      <c r="I15" s="538">
        <f t="shared" si="2"/>
        <v>3934.6424999999999</v>
      </c>
    </row>
    <row r="16" spans="1:14">
      <c r="A16" s="515"/>
      <c r="B16" s="666" t="s">
        <v>1389</v>
      </c>
      <c r="C16" s="552" t="s">
        <v>2334</v>
      </c>
      <c r="D16" s="428" t="s">
        <v>2305</v>
      </c>
      <c r="E16" s="671">
        <f>17479.6</f>
        <v>17479.599999999999</v>
      </c>
      <c r="F16" s="536">
        <v>0.75</v>
      </c>
      <c r="G16" s="537">
        <f t="shared" si="1"/>
        <v>13109.699999999999</v>
      </c>
      <c r="H16" s="536">
        <v>0.75</v>
      </c>
      <c r="I16" s="538">
        <f t="shared" si="2"/>
        <v>13109.699999999999</v>
      </c>
    </row>
    <row r="17" spans="1:9">
      <c r="A17" s="515"/>
      <c r="B17" s="666" t="s">
        <v>1389</v>
      </c>
      <c r="C17" s="552" t="s">
        <v>1410</v>
      </c>
      <c r="D17" s="428" t="s">
        <v>1410</v>
      </c>
      <c r="E17" s="671">
        <f>122582.16</f>
        <v>122582.16</v>
      </c>
      <c r="F17" s="536">
        <v>0.75</v>
      </c>
      <c r="G17" s="537">
        <f t="shared" si="1"/>
        <v>91936.62</v>
      </c>
      <c r="H17" s="536">
        <v>0.75</v>
      </c>
      <c r="I17" s="538">
        <f t="shared" si="2"/>
        <v>91936.62</v>
      </c>
    </row>
    <row r="18" spans="1:9">
      <c r="A18" s="515"/>
      <c r="B18" s="666" t="s">
        <v>1389</v>
      </c>
      <c r="C18" s="552" t="s">
        <v>1410</v>
      </c>
      <c r="D18" s="428" t="s">
        <v>1410</v>
      </c>
      <c r="E18" s="671">
        <f>12407.04</f>
        <v>12407.04</v>
      </c>
      <c r="F18" s="536">
        <v>0.75</v>
      </c>
      <c r="G18" s="537">
        <f t="shared" si="1"/>
        <v>9305.2800000000007</v>
      </c>
      <c r="H18" s="536">
        <v>0.75</v>
      </c>
      <c r="I18" s="538">
        <f t="shared" si="2"/>
        <v>9305.2800000000007</v>
      </c>
    </row>
    <row r="19" spans="1:9">
      <c r="A19" s="515"/>
      <c r="B19" s="666" t="s">
        <v>1389</v>
      </c>
      <c r="C19" s="552" t="s">
        <v>1396</v>
      </c>
      <c r="D19" s="428" t="s">
        <v>1397</v>
      </c>
      <c r="E19" s="671">
        <f>20216.81</f>
        <v>20216.810000000001</v>
      </c>
      <c r="F19" s="536">
        <v>0.75</v>
      </c>
      <c r="G19" s="537">
        <f t="shared" si="1"/>
        <v>15162.607500000002</v>
      </c>
      <c r="H19" s="536">
        <v>0.75</v>
      </c>
      <c r="I19" s="538">
        <f t="shared" si="2"/>
        <v>15162.607500000002</v>
      </c>
    </row>
    <row r="20" spans="1:9">
      <c r="A20" s="515"/>
      <c r="B20" s="666" t="s">
        <v>1389</v>
      </c>
      <c r="C20" s="552" t="s">
        <v>1391</v>
      </c>
      <c r="D20" s="428" t="s">
        <v>1392</v>
      </c>
      <c r="E20" s="671">
        <f>54137.52</f>
        <v>54137.52</v>
      </c>
      <c r="F20" s="536">
        <v>0.75</v>
      </c>
      <c r="G20" s="537">
        <f t="shared" si="1"/>
        <v>40603.14</v>
      </c>
      <c r="H20" s="536">
        <v>0.75</v>
      </c>
      <c r="I20" s="538">
        <f t="shared" si="2"/>
        <v>40603.14</v>
      </c>
    </row>
    <row r="21" spans="1:9">
      <c r="A21" s="515"/>
      <c r="B21" s="666" t="s">
        <v>1389</v>
      </c>
      <c r="C21" s="552" t="s">
        <v>1398</v>
      </c>
      <c r="D21" s="428" t="s">
        <v>1399</v>
      </c>
      <c r="E21" s="671">
        <f>531049.1</f>
        <v>531049.1</v>
      </c>
      <c r="F21" s="536">
        <v>0.75</v>
      </c>
      <c r="G21" s="537">
        <f t="shared" si="1"/>
        <v>398286.82499999995</v>
      </c>
      <c r="H21" s="536">
        <v>0.75</v>
      </c>
      <c r="I21" s="538">
        <f t="shared" si="2"/>
        <v>398286.82499999995</v>
      </c>
    </row>
    <row r="22" spans="1:9">
      <c r="A22" s="515"/>
      <c r="B22" s="666" t="s">
        <v>1389</v>
      </c>
      <c r="C22" s="552" t="s">
        <v>1398</v>
      </c>
      <c r="D22" s="428" t="s">
        <v>1400</v>
      </c>
      <c r="E22" s="671">
        <f>90309.47</f>
        <v>90309.47</v>
      </c>
      <c r="F22" s="536">
        <v>0.75</v>
      </c>
      <c r="G22" s="537">
        <f t="shared" si="1"/>
        <v>67732.102500000008</v>
      </c>
      <c r="H22" s="536">
        <v>0.75</v>
      </c>
      <c r="I22" s="538">
        <f t="shared" si="2"/>
        <v>67732.102500000008</v>
      </c>
    </row>
    <row r="23" spans="1:9">
      <c r="A23" s="515"/>
      <c r="B23" s="666" t="s">
        <v>1389</v>
      </c>
      <c r="C23" s="552" t="s">
        <v>1401</v>
      </c>
      <c r="D23" s="428" t="s">
        <v>1402</v>
      </c>
      <c r="E23" s="671">
        <f>54257.11</f>
        <v>54257.11</v>
      </c>
      <c r="F23" s="536">
        <v>0.75</v>
      </c>
      <c r="G23" s="537">
        <f t="shared" si="1"/>
        <v>40692.832500000004</v>
      </c>
      <c r="H23" s="536">
        <v>0.75</v>
      </c>
      <c r="I23" s="538">
        <f t="shared" si="2"/>
        <v>40692.832500000004</v>
      </c>
    </row>
    <row r="24" spans="1:9">
      <c r="A24" s="515"/>
      <c r="B24" s="666" t="s">
        <v>1389</v>
      </c>
      <c r="C24" s="552" t="s">
        <v>1401</v>
      </c>
      <c r="D24" s="428" t="s">
        <v>1403</v>
      </c>
      <c r="E24" s="671">
        <f>475745.99</f>
        <v>475745.99</v>
      </c>
      <c r="F24" s="536">
        <v>0.75</v>
      </c>
      <c r="G24" s="537">
        <f t="shared" si="1"/>
        <v>356809.49249999999</v>
      </c>
      <c r="H24" s="536">
        <v>0.75</v>
      </c>
      <c r="I24" s="538">
        <f t="shared" si="2"/>
        <v>356809.49249999999</v>
      </c>
    </row>
    <row r="25" spans="1:9">
      <c r="A25" s="515"/>
      <c r="B25" s="666" t="s">
        <v>1389</v>
      </c>
      <c r="C25" s="552" t="s">
        <v>1404</v>
      </c>
      <c r="D25" s="428" t="s">
        <v>1405</v>
      </c>
      <c r="E25" s="671">
        <f>95962.39</f>
        <v>95962.39</v>
      </c>
      <c r="F25" s="536">
        <v>0.75</v>
      </c>
      <c r="G25" s="537">
        <f t="shared" si="1"/>
        <v>71971.792499999996</v>
      </c>
      <c r="H25" s="536">
        <v>0.75</v>
      </c>
      <c r="I25" s="538">
        <f t="shared" si="2"/>
        <v>71971.792499999996</v>
      </c>
    </row>
    <row r="26" spans="1:9">
      <c r="A26" s="515"/>
      <c r="B26" s="666" t="s">
        <v>1389</v>
      </c>
      <c r="C26" s="552" t="s">
        <v>1396</v>
      </c>
      <c r="D26" s="428" t="s">
        <v>1406</v>
      </c>
      <c r="E26" s="671">
        <f>12679.49</f>
        <v>12679.49</v>
      </c>
      <c r="F26" s="536">
        <v>0.75</v>
      </c>
      <c r="G26" s="537">
        <f t="shared" si="1"/>
        <v>9509.6175000000003</v>
      </c>
      <c r="H26" s="536">
        <v>0.75</v>
      </c>
      <c r="I26" s="538">
        <f t="shared" si="2"/>
        <v>9509.6175000000003</v>
      </c>
    </row>
    <row r="27" spans="1:9">
      <c r="A27" s="515"/>
      <c r="B27" s="666" t="s">
        <v>1389</v>
      </c>
      <c r="C27" s="552" t="s">
        <v>1396</v>
      </c>
      <c r="D27" s="428" t="s">
        <v>1407</v>
      </c>
      <c r="E27" s="671">
        <f>1022154.12</f>
        <v>1022154.12</v>
      </c>
      <c r="F27" s="536">
        <v>0.75</v>
      </c>
      <c r="G27" s="537">
        <f t="shared" si="1"/>
        <v>766615.59</v>
      </c>
      <c r="H27" s="536">
        <v>0.75</v>
      </c>
      <c r="I27" s="538">
        <f t="shared" si="2"/>
        <v>766615.59</v>
      </c>
    </row>
    <row r="28" spans="1:9">
      <c r="A28" s="515"/>
      <c r="B28" s="666" t="s">
        <v>1389</v>
      </c>
      <c r="C28" s="552" t="s">
        <v>1396</v>
      </c>
      <c r="D28" s="428" t="s">
        <v>1408</v>
      </c>
      <c r="E28" s="671">
        <f>122476.25</f>
        <v>122476.25</v>
      </c>
      <c r="F28" s="536">
        <v>0.75</v>
      </c>
      <c r="G28" s="537">
        <f t="shared" si="1"/>
        <v>91857.1875</v>
      </c>
      <c r="H28" s="536">
        <v>0.75</v>
      </c>
      <c r="I28" s="538">
        <f t="shared" si="2"/>
        <v>91857.1875</v>
      </c>
    </row>
    <row r="29" spans="1:9">
      <c r="A29" s="515"/>
      <c r="B29" s="666" t="s">
        <v>1389</v>
      </c>
      <c r="C29" s="552" t="s">
        <v>1409</v>
      </c>
      <c r="D29" s="428" t="s">
        <v>1410</v>
      </c>
      <c r="E29" s="671">
        <f>733679.47</f>
        <v>733679.47</v>
      </c>
      <c r="F29" s="536">
        <v>0.75</v>
      </c>
      <c r="G29" s="537">
        <f t="shared" si="1"/>
        <v>550259.60250000004</v>
      </c>
      <c r="H29" s="536">
        <v>0.75</v>
      </c>
      <c r="I29" s="538">
        <f t="shared" si="2"/>
        <v>550259.60250000004</v>
      </c>
    </row>
    <row r="30" spans="1:9">
      <c r="A30" s="515"/>
      <c r="B30" s="666" t="s">
        <v>1389</v>
      </c>
      <c r="C30" s="552" t="s">
        <v>1409</v>
      </c>
      <c r="D30" s="428" t="s">
        <v>1411</v>
      </c>
      <c r="E30" s="671">
        <f>35291.83</f>
        <v>35291.83</v>
      </c>
      <c r="F30" s="536">
        <v>0.75</v>
      </c>
      <c r="G30" s="537">
        <f t="shared" si="1"/>
        <v>26468.872500000001</v>
      </c>
      <c r="H30" s="536">
        <v>0.75</v>
      </c>
      <c r="I30" s="538">
        <f t="shared" si="2"/>
        <v>26468.872500000001</v>
      </c>
    </row>
    <row r="31" spans="1:9">
      <c r="A31" s="515"/>
      <c r="B31" s="666" t="s">
        <v>1389</v>
      </c>
      <c r="C31" s="552" t="s">
        <v>1409</v>
      </c>
      <c r="D31" s="428" t="s">
        <v>1412</v>
      </c>
      <c r="E31" s="671">
        <f>13959.4</f>
        <v>13959.4</v>
      </c>
      <c r="F31" s="536">
        <v>0.75</v>
      </c>
      <c r="G31" s="537">
        <f t="shared" si="1"/>
        <v>10469.549999999999</v>
      </c>
      <c r="H31" s="536">
        <v>0.75</v>
      </c>
      <c r="I31" s="538">
        <f t="shared" si="2"/>
        <v>10469.549999999999</v>
      </c>
    </row>
    <row r="32" spans="1:9">
      <c r="A32" s="515"/>
      <c r="B32" s="666" t="s">
        <v>1389</v>
      </c>
      <c r="C32" s="552" t="s">
        <v>1413</v>
      </c>
      <c r="D32" s="428" t="s">
        <v>1414</v>
      </c>
      <c r="E32" s="671">
        <f>53112.38</f>
        <v>53112.38</v>
      </c>
      <c r="F32" s="536">
        <v>0.75</v>
      </c>
      <c r="G32" s="537">
        <f t="shared" si="1"/>
        <v>39834.284999999996</v>
      </c>
      <c r="H32" s="536">
        <v>0.75</v>
      </c>
      <c r="I32" s="538">
        <f t="shared" si="2"/>
        <v>39834.284999999996</v>
      </c>
    </row>
    <row r="33" spans="1:9">
      <c r="A33" s="515"/>
      <c r="B33" s="666" t="s">
        <v>1389</v>
      </c>
      <c r="C33" s="552" t="s">
        <v>1415</v>
      </c>
      <c r="D33" s="428" t="s">
        <v>1416</v>
      </c>
      <c r="E33" s="671">
        <f>184306.99</f>
        <v>184306.99</v>
      </c>
      <c r="F33" s="536">
        <v>0.75</v>
      </c>
      <c r="G33" s="537">
        <f t="shared" si="1"/>
        <v>138230.24249999999</v>
      </c>
      <c r="H33" s="536">
        <v>0.75</v>
      </c>
      <c r="I33" s="538">
        <f t="shared" si="2"/>
        <v>138230.24249999999</v>
      </c>
    </row>
    <row r="34" spans="1:9">
      <c r="A34" s="515"/>
      <c r="B34" s="666" t="s">
        <v>1389</v>
      </c>
      <c r="C34" s="552" t="s">
        <v>1415</v>
      </c>
      <c r="D34" s="428" t="s">
        <v>1417</v>
      </c>
      <c r="E34" s="671">
        <f>97180.43</f>
        <v>97180.43</v>
      </c>
      <c r="F34" s="536">
        <v>0.75</v>
      </c>
      <c r="G34" s="537">
        <f t="shared" si="1"/>
        <v>72885.322499999995</v>
      </c>
      <c r="H34" s="536">
        <v>0.75</v>
      </c>
      <c r="I34" s="538">
        <f t="shared" si="2"/>
        <v>72885.322499999995</v>
      </c>
    </row>
    <row r="35" spans="1:9">
      <c r="A35" s="515"/>
      <c r="B35" s="666" t="s">
        <v>1389</v>
      </c>
      <c r="C35" s="552" t="s">
        <v>1415</v>
      </c>
      <c r="D35" s="428" t="s">
        <v>1418</v>
      </c>
      <c r="E35" s="671">
        <f>28884.55</f>
        <v>28884.55</v>
      </c>
      <c r="F35" s="536">
        <v>0.75</v>
      </c>
      <c r="G35" s="537">
        <f t="shared" si="1"/>
        <v>21663.412499999999</v>
      </c>
      <c r="H35" s="536">
        <v>0.75</v>
      </c>
      <c r="I35" s="538">
        <f t="shared" si="2"/>
        <v>21663.412499999999</v>
      </c>
    </row>
    <row r="36" spans="1:9">
      <c r="A36" s="515"/>
      <c r="B36" s="666" t="s">
        <v>1389</v>
      </c>
      <c r="C36" s="552" t="s">
        <v>1415</v>
      </c>
      <c r="D36" s="428" t="s">
        <v>1419</v>
      </c>
      <c r="E36" s="671">
        <f>41065.94</f>
        <v>41065.94</v>
      </c>
      <c r="F36" s="536">
        <v>0.75</v>
      </c>
      <c r="G36" s="537">
        <f t="shared" si="1"/>
        <v>30799.455000000002</v>
      </c>
      <c r="H36" s="536">
        <v>0.75</v>
      </c>
      <c r="I36" s="538">
        <f t="shared" si="2"/>
        <v>30799.455000000002</v>
      </c>
    </row>
    <row r="37" spans="1:9">
      <c r="A37" s="515"/>
      <c r="B37" s="666" t="s">
        <v>1389</v>
      </c>
      <c r="C37" s="552" t="s">
        <v>1398</v>
      </c>
      <c r="D37" s="428" t="s">
        <v>1399</v>
      </c>
      <c r="E37" s="671">
        <f>1320912.96</f>
        <v>1320912.96</v>
      </c>
      <c r="F37" s="536">
        <v>0.75</v>
      </c>
      <c r="G37" s="537">
        <f t="shared" si="1"/>
        <v>990684.72</v>
      </c>
      <c r="H37" s="536">
        <v>0.75</v>
      </c>
      <c r="I37" s="538">
        <f t="shared" si="2"/>
        <v>990684.72</v>
      </c>
    </row>
    <row r="38" spans="1:9">
      <c r="A38" s="515"/>
      <c r="B38" s="666" t="s">
        <v>1389</v>
      </c>
      <c r="C38" s="552" t="s">
        <v>1390</v>
      </c>
      <c r="D38" s="428" t="s">
        <v>1390</v>
      </c>
      <c r="E38" s="671">
        <f>454812.77</f>
        <v>454812.77</v>
      </c>
      <c r="F38" s="536">
        <v>0.75</v>
      </c>
      <c r="G38" s="537">
        <f t="shared" si="1"/>
        <v>341109.57750000001</v>
      </c>
      <c r="H38" s="536">
        <v>0.75</v>
      </c>
      <c r="I38" s="538">
        <f t="shared" si="2"/>
        <v>341109.57750000001</v>
      </c>
    </row>
    <row r="39" spans="1:9">
      <c r="A39" s="515"/>
      <c r="B39" s="666" t="s">
        <v>553</v>
      </c>
      <c r="C39" s="552" t="s">
        <v>1414</v>
      </c>
      <c r="D39" s="428" t="s">
        <v>1414</v>
      </c>
      <c r="E39" s="671">
        <f>40641.57</f>
        <v>40641.57</v>
      </c>
      <c r="F39" s="536">
        <v>0.75</v>
      </c>
      <c r="G39" s="537">
        <f t="shared" si="1"/>
        <v>30481.177499999998</v>
      </c>
      <c r="H39" s="536">
        <v>0.75</v>
      </c>
      <c r="I39" s="538">
        <f t="shared" si="2"/>
        <v>30481.177499999998</v>
      </c>
    </row>
    <row r="40" spans="1:9">
      <c r="A40" s="515"/>
      <c r="B40" s="666" t="s">
        <v>553</v>
      </c>
      <c r="C40" s="552" t="s">
        <v>1390</v>
      </c>
      <c r="D40" s="428" t="s">
        <v>1390</v>
      </c>
      <c r="E40" s="671">
        <f>577.47</f>
        <v>577.47</v>
      </c>
      <c r="F40" s="536">
        <v>0.75</v>
      </c>
      <c r="G40" s="537">
        <f t="shared" si="1"/>
        <v>433.10250000000002</v>
      </c>
      <c r="H40" s="536">
        <v>0.75</v>
      </c>
      <c r="I40" s="538">
        <f t="shared" si="2"/>
        <v>433.10250000000002</v>
      </c>
    </row>
    <row r="41" spans="1:9" ht="13.5" thickBot="1">
      <c r="A41" s="515"/>
      <c r="B41" s="666"/>
      <c r="C41" s="663" t="s">
        <v>961</v>
      </c>
      <c r="D41" s="539"/>
      <c r="E41" s="675">
        <f>SUM(E10:E40)</f>
        <v>6006058.1099999985</v>
      </c>
      <c r="F41" s="540"/>
      <c r="G41" s="502">
        <f>SUM(G10:G40)</f>
        <v>4504543.5824999996</v>
      </c>
      <c r="H41" s="540"/>
      <c r="I41" s="438">
        <f>SUM(I10:I40)</f>
        <v>4504543.5824999996</v>
      </c>
    </row>
    <row r="42" spans="1:9" ht="13.5" thickTop="1">
      <c r="A42" s="515"/>
      <c r="B42" s="666" t="s">
        <v>555</v>
      </c>
      <c r="C42" s="552" t="s">
        <v>1413</v>
      </c>
      <c r="D42" s="428" t="s">
        <v>1420</v>
      </c>
      <c r="E42" s="671">
        <f>559892.23</f>
        <v>559892.23</v>
      </c>
      <c r="F42" s="536">
        <v>0.52300000000000002</v>
      </c>
      <c r="G42" s="537">
        <f>F42*E42</f>
        <v>292823.63628999999</v>
      </c>
      <c r="H42" s="536">
        <v>0.66779999999999995</v>
      </c>
      <c r="I42" s="538">
        <f>E42*H42</f>
        <v>373896.03119399998</v>
      </c>
    </row>
    <row r="43" spans="1:9">
      <c r="A43" s="515"/>
      <c r="B43" s="666" t="s">
        <v>555</v>
      </c>
      <c r="C43" s="552" t="s">
        <v>1390</v>
      </c>
      <c r="D43" s="428" t="s">
        <v>1390</v>
      </c>
      <c r="E43" s="671">
        <f>33279.98</f>
        <v>33279.980000000003</v>
      </c>
      <c r="F43" s="536">
        <v>0.52300000000000002</v>
      </c>
      <c r="G43" s="537">
        <f>F43*E43</f>
        <v>17405.429540000001</v>
      </c>
      <c r="H43" s="536">
        <v>0.66779999999999995</v>
      </c>
      <c r="I43" s="538">
        <f>E43*H43</f>
        <v>22224.370643999999</v>
      </c>
    </row>
    <row r="44" spans="1:9">
      <c r="A44" s="515"/>
      <c r="B44" s="666" t="s">
        <v>555</v>
      </c>
      <c r="C44" s="552" t="s">
        <v>1449</v>
      </c>
      <c r="D44" s="428" t="s">
        <v>2469</v>
      </c>
      <c r="E44" s="671">
        <f>276283.57</f>
        <v>276283.57</v>
      </c>
      <c r="F44" s="536">
        <v>0.52300000000000002</v>
      </c>
      <c r="G44" s="537">
        <f>F44*E44</f>
        <v>144496.30711000002</v>
      </c>
      <c r="H44" s="536">
        <v>0.66779999999999995</v>
      </c>
      <c r="I44" s="538">
        <f>E44*H44</f>
        <v>184502.16804599998</v>
      </c>
    </row>
    <row r="45" spans="1:9">
      <c r="A45" s="515"/>
      <c r="B45" s="666" t="s">
        <v>555</v>
      </c>
      <c r="C45" s="552" t="s">
        <v>2335</v>
      </c>
      <c r="D45" s="428" t="s">
        <v>1392</v>
      </c>
      <c r="E45" s="671">
        <f>153427.83</f>
        <v>153427.82999999999</v>
      </c>
      <c r="F45" s="536">
        <v>0.52300000000000002</v>
      </c>
      <c r="G45" s="537">
        <f t="shared" ref="G45:G46" si="3">F45*E45</f>
        <v>80242.755089999991</v>
      </c>
      <c r="H45" s="536">
        <v>0.66779999999999995</v>
      </c>
      <c r="I45" s="538">
        <f t="shared" ref="I45:I46" si="4">E45*H45</f>
        <v>102459.10487399998</v>
      </c>
    </row>
    <row r="46" spans="1:9">
      <c r="A46" s="515"/>
      <c r="B46" s="666" t="s">
        <v>555</v>
      </c>
      <c r="C46" s="552" t="s">
        <v>1390</v>
      </c>
      <c r="D46" s="428" t="s">
        <v>1390</v>
      </c>
      <c r="E46" s="671">
        <f>2051.63</f>
        <v>2051.63</v>
      </c>
      <c r="F46" s="536">
        <v>0.52300000000000002</v>
      </c>
      <c r="G46" s="537">
        <f t="shared" si="3"/>
        <v>1073.0024900000001</v>
      </c>
      <c r="H46" s="536">
        <v>0.66779999999999995</v>
      </c>
      <c r="I46" s="538">
        <f t="shared" si="4"/>
        <v>1370.078514</v>
      </c>
    </row>
    <row r="47" spans="1:9">
      <c r="A47" s="515"/>
      <c r="B47" s="666" t="s">
        <v>555</v>
      </c>
      <c r="C47" s="552" t="s">
        <v>1390</v>
      </c>
      <c r="D47" s="428" t="s">
        <v>1390</v>
      </c>
      <c r="E47" s="671">
        <f>2835.11</f>
        <v>2835.11</v>
      </c>
      <c r="F47" s="536">
        <v>0.52300000000000002</v>
      </c>
      <c r="G47" s="537">
        <f>F47*E47</f>
        <v>1482.7625300000002</v>
      </c>
      <c r="H47" s="536">
        <v>0.66779999999999995</v>
      </c>
      <c r="I47" s="538">
        <f>E47*H47</f>
        <v>1893.286458</v>
      </c>
    </row>
    <row r="48" spans="1:9" ht="13.5" thickBot="1">
      <c r="A48" s="515"/>
      <c r="B48" s="666"/>
      <c r="C48" s="663" t="s">
        <v>961</v>
      </c>
      <c r="D48" s="539"/>
      <c r="E48" s="675">
        <f>SUM(E42:E47)</f>
        <v>1027770.35</v>
      </c>
      <c r="F48" s="540"/>
      <c r="G48" s="502">
        <f>SUM(G42:G47)</f>
        <v>537523.89304999996</v>
      </c>
      <c r="H48" s="540"/>
      <c r="I48" s="438">
        <f>SUM(I42:I47)</f>
        <v>686345.03972999996</v>
      </c>
    </row>
    <row r="49" spans="1:9" ht="13.5" thickTop="1">
      <c r="A49" s="515"/>
      <c r="B49" s="666" t="s">
        <v>555</v>
      </c>
      <c r="C49" s="552" t="s">
        <v>1416</v>
      </c>
      <c r="D49" s="428" t="s">
        <v>1417</v>
      </c>
      <c r="E49" s="671">
        <f>267248.89</f>
        <v>267248.89</v>
      </c>
      <c r="F49" s="536">
        <v>0.75</v>
      </c>
      <c r="G49" s="537">
        <f>F49*E49</f>
        <v>200436.66750000001</v>
      </c>
      <c r="H49" s="536">
        <v>0.75</v>
      </c>
      <c r="I49" s="538">
        <f>E49*H49</f>
        <v>200436.66750000001</v>
      </c>
    </row>
    <row r="50" spans="1:9">
      <c r="A50" s="515"/>
      <c r="B50" s="666" t="s">
        <v>555</v>
      </c>
      <c r="C50" s="552" t="s">
        <v>1390</v>
      </c>
      <c r="D50" s="428" t="s">
        <v>1390</v>
      </c>
      <c r="E50" s="671">
        <v>16354</v>
      </c>
      <c r="F50" s="536">
        <v>0.75</v>
      </c>
      <c r="G50" s="537">
        <f t="shared" ref="G50:G51" si="5">F50*E50</f>
        <v>12265.5</v>
      </c>
      <c r="H50" s="536">
        <v>0.75</v>
      </c>
      <c r="I50" s="538">
        <f>E50*H50</f>
        <v>12265.5</v>
      </c>
    </row>
    <row r="51" spans="1:9">
      <c r="A51" s="515"/>
      <c r="B51" s="666" t="s">
        <v>555</v>
      </c>
      <c r="C51" s="552" t="s">
        <v>1407</v>
      </c>
      <c r="D51" s="428" t="s">
        <v>1407</v>
      </c>
      <c r="E51" s="671">
        <v>1215753.6399999999</v>
      </c>
      <c r="F51" s="536">
        <v>0.75</v>
      </c>
      <c r="G51" s="537">
        <f t="shared" si="5"/>
        <v>911815.23</v>
      </c>
      <c r="H51" s="536">
        <v>0.75</v>
      </c>
      <c r="I51" s="538">
        <f>E51*H51</f>
        <v>911815.23</v>
      </c>
    </row>
    <row r="52" spans="1:9">
      <c r="A52" s="515"/>
      <c r="B52" s="666" t="s">
        <v>555</v>
      </c>
      <c r="C52" s="552" t="s">
        <v>1390</v>
      </c>
      <c r="D52" s="428" t="s">
        <v>1390</v>
      </c>
      <c r="E52" s="671">
        <v>15472.91</v>
      </c>
      <c r="F52" s="536">
        <v>0.75</v>
      </c>
      <c r="G52" s="537">
        <f>F52*E52</f>
        <v>11604.682499999999</v>
      </c>
      <c r="H52" s="536">
        <v>0.75</v>
      </c>
      <c r="I52" s="538">
        <f>E52*H52</f>
        <v>11604.682499999999</v>
      </c>
    </row>
    <row r="53" spans="1:9" ht="13.5" thickBot="1">
      <c r="A53" s="515"/>
      <c r="B53" s="666"/>
      <c r="C53" s="663" t="s">
        <v>961</v>
      </c>
      <c r="D53" s="539"/>
      <c r="E53" s="675">
        <f>SUM(E49:E52)</f>
        <v>1514829.4399999997</v>
      </c>
      <c r="F53" s="540"/>
      <c r="G53" s="502">
        <f>SUM(G49:G52)</f>
        <v>1136122.08</v>
      </c>
      <c r="H53" s="539"/>
      <c r="I53" s="438">
        <f>SUM(I49:I52)</f>
        <v>1136122.08</v>
      </c>
    </row>
    <row r="54" spans="1:9" ht="13.5" thickTop="1">
      <c r="A54" s="515"/>
      <c r="B54" s="666" t="s">
        <v>1421</v>
      </c>
      <c r="C54" s="660" t="s">
        <v>1422</v>
      </c>
      <c r="D54" s="428" t="s">
        <v>1423</v>
      </c>
      <c r="E54" s="671">
        <f>134174.04</f>
        <v>134174.04</v>
      </c>
      <c r="F54" s="536">
        <v>0.75</v>
      </c>
      <c r="G54" s="537">
        <f>E54*F54</f>
        <v>100630.53</v>
      </c>
      <c r="H54" s="536">
        <v>0.75</v>
      </c>
      <c r="I54" s="538">
        <f>E54*H54</f>
        <v>100630.53</v>
      </c>
    </row>
    <row r="55" spans="1:9">
      <c r="A55" s="357"/>
      <c r="B55" s="666" t="s">
        <v>1421</v>
      </c>
      <c r="C55" s="660" t="s">
        <v>2379</v>
      </c>
      <c r="D55" s="428" t="s">
        <v>1417</v>
      </c>
      <c r="E55" s="671">
        <f>59005.31</f>
        <v>59005.31</v>
      </c>
      <c r="F55" s="536">
        <v>0.75</v>
      </c>
      <c r="G55" s="537">
        <f t="shared" ref="G55:G96" si="6">E55*F55</f>
        <v>44253.982499999998</v>
      </c>
      <c r="H55" s="536">
        <v>0.75</v>
      </c>
      <c r="I55" s="538">
        <f t="shared" ref="I55:I96" si="7">E55*H55</f>
        <v>44253.982499999998</v>
      </c>
    </row>
    <row r="56" spans="1:9">
      <c r="A56" s="357"/>
      <c r="B56" s="666" t="s">
        <v>1421</v>
      </c>
      <c r="C56" s="660" t="s">
        <v>1424</v>
      </c>
      <c r="D56" s="428" t="s">
        <v>1407</v>
      </c>
      <c r="E56" s="671">
        <f>119667.35</f>
        <v>119667.35</v>
      </c>
      <c r="F56" s="536">
        <v>0.75</v>
      </c>
      <c r="G56" s="537">
        <f t="shared" si="6"/>
        <v>89750.512500000012</v>
      </c>
      <c r="H56" s="536">
        <v>0.75</v>
      </c>
      <c r="I56" s="538">
        <f t="shared" si="7"/>
        <v>89750.512500000012</v>
      </c>
    </row>
    <row r="57" spans="1:9">
      <c r="A57" s="357"/>
      <c r="B57" s="666" t="s">
        <v>1421</v>
      </c>
      <c r="C57" s="660" t="s">
        <v>1425</v>
      </c>
      <c r="D57" s="428" t="s">
        <v>1426</v>
      </c>
      <c r="E57" s="671">
        <f>19292.2</f>
        <v>19292.2</v>
      </c>
      <c r="F57" s="536">
        <v>0.75</v>
      </c>
      <c r="G57" s="537">
        <f t="shared" si="6"/>
        <v>14469.150000000001</v>
      </c>
      <c r="H57" s="536">
        <v>0.75</v>
      </c>
      <c r="I57" s="538">
        <f t="shared" si="7"/>
        <v>14469.150000000001</v>
      </c>
    </row>
    <row r="58" spans="1:9">
      <c r="A58" s="357"/>
      <c r="B58" s="666" t="s">
        <v>1421</v>
      </c>
      <c r="C58" s="660" t="s">
        <v>1415</v>
      </c>
      <c r="D58" s="428" t="s">
        <v>1416</v>
      </c>
      <c r="E58" s="671">
        <f>53164.52</f>
        <v>53164.52</v>
      </c>
      <c r="F58" s="536">
        <v>0.75</v>
      </c>
      <c r="G58" s="537">
        <f t="shared" si="6"/>
        <v>39873.39</v>
      </c>
      <c r="H58" s="536">
        <v>0.75</v>
      </c>
      <c r="I58" s="538">
        <f t="shared" si="7"/>
        <v>39873.39</v>
      </c>
    </row>
    <row r="59" spans="1:9">
      <c r="A59" s="357"/>
      <c r="B59" s="666" t="s">
        <v>1421</v>
      </c>
      <c r="C59" s="660" t="s">
        <v>1415</v>
      </c>
      <c r="D59" s="428" t="s">
        <v>1417</v>
      </c>
      <c r="E59" s="671">
        <f>307465.42</f>
        <v>307465.42</v>
      </c>
      <c r="F59" s="536">
        <v>0.75</v>
      </c>
      <c r="G59" s="537">
        <f t="shared" si="6"/>
        <v>230599.065</v>
      </c>
      <c r="H59" s="536">
        <v>0.75</v>
      </c>
      <c r="I59" s="538">
        <f t="shared" si="7"/>
        <v>230599.065</v>
      </c>
    </row>
    <row r="60" spans="1:9">
      <c r="A60" s="357"/>
      <c r="B60" s="666" t="s">
        <v>1421</v>
      </c>
      <c r="C60" s="660" t="s">
        <v>1415</v>
      </c>
      <c r="D60" s="428" t="s">
        <v>1423</v>
      </c>
      <c r="E60" s="671">
        <f>12819.56</f>
        <v>12819.56</v>
      </c>
      <c r="F60" s="536">
        <v>0.75</v>
      </c>
      <c r="G60" s="537">
        <f t="shared" si="6"/>
        <v>9614.67</v>
      </c>
      <c r="H60" s="536">
        <v>0.75</v>
      </c>
      <c r="I60" s="538">
        <f t="shared" si="7"/>
        <v>9614.67</v>
      </c>
    </row>
    <row r="61" spans="1:9">
      <c r="A61" s="357"/>
      <c r="B61" s="666" t="s">
        <v>1421</v>
      </c>
      <c r="C61" s="660" t="s">
        <v>1415</v>
      </c>
      <c r="D61" s="428" t="s">
        <v>1419</v>
      </c>
      <c r="E61" s="671">
        <f>415983</f>
        <v>415983</v>
      </c>
      <c r="F61" s="536">
        <v>0.75</v>
      </c>
      <c r="G61" s="537">
        <f t="shared" si="6"/>
        <v>311987.25</v>
      </c>
      <c r="H61" s="536">
        <v>0.75</v>
      </c>
      <c r="I61" s="538">
        <f t="shared" si="7"/>
        <v>311987.25</v>
      </c>
    </row>
    <row r="62" spans="1:9">
      <c r="A62" s="357"/>
      <c r="B62" s="666" t="s">
        <v>1421</v>
      </c>
      <c r="C62" s="660" t="s">
        <v>1390</v>
      </c>
      <c r="D62" s="428" t="s">
        <v>1390</v>
      </c>
      <c r="E62" s="671">
        <f>150136.1</f>
        <v>150136.1</v>
      </c>
      <c r="F62" s="536">
        <v>0.75</v>
      </c>
      <c r="G62" s="537">
        <f t="shared" si="6"/>
        <v>112602.07500000001</v>
      </c>
      <c r="H62" s="536">
        <v>0.75</v>
      </c>
      <c r="I62" s="538">
        <f t="shared" si="7"/>
        <v>112602.07500000001</v>
      </c>
    </row>
    <row r="63" spans="1:9">
      <c r="A63" s="357"/>
      <c r="B63" s="666" t="s">
        <v>1421</v>
      </c>
      <c r="C63" s="660" t="s">
        <v>1390</v>
      </c>
      <c r="D63" s="428" t="s">
        <v>1390</v>
      </c>
      <c r="E63" s="671">
        <f>2533.43</f>
        <v>2533.4299999999998</v>
      </c>
      <c r="F63" s="536">
        <v>0.75</v>
      </c>
      <c r="G63" s="537">
        <f t="shared" si="6"/>
        <v>1900.0724999999998</v>
      </c>
      <c r="H63" s="536">
        <v>0.75</v>
      </c>
      <c r="I63" s="538">
        <f t="shared" si="7"/>
        <v>1900.0724999999998</v>
      </c>
    </row>
    <row r="64" spans="1:9">
      <c r="A64" s="357"/>
      <c r="B64" s="666" t="s">
        <v>1421</v>
      </c>
      <c r="C64" s="660" t="s">
        <v>1413</v>
      </c>
      <c r="D64" s="428" t="s">
        <v>1420</v>
      </c>
      <c r="E64" s="671">
        <f>31657.69</f>
        <v>31657.69</v>
      </c>
      <c r="F64" s="536">
        <v>0.75</v>
      </c>
      <c r="G64" s="537">
        <f t="shared" si="6"/>
        <v>23743.267499999998</v>
      </c>
      <c r="H64" s="536">
        <v>0.75</v>
      </c>
      <c r="I64" s="538">
        <f t="shared" si="7"/>
        <v>23743.267499999998</v>
      </c>
    </row>
    <row r="65" spans="1:9">
      <c r="A65" s="357"/>
      <c r="B65" s="666" t="s">
        <v>1421</v>
      </c>
      <c r="C65" s="660" t="s">
        <v>1409</v>
      </c>
      <c r="D65" s="428" t="s">
        <v>1410</v>
      </c>
      <c r="E65" s="671">
        <f>85009.25</f>
        <v>85009.25</v>
      </c>
      <c r="F65" s="536">
        <v>0.75</v>
      </c>
      <c r="G65" s="537">
        <f t="shared" si="6"/>
        <v>63756.9375</v>
      </c>
      <c r="H65" s="536">
        <v>0.75</v>
      </c>
      <c r="I65" s="538">
        <f t="shared" si="7"/>
        <v>63756.9375</v>
      </c>
    </row>
    <row r="66" spans="1:9">
      <c r="A66" s="357"/>
      <c r="B66" s="666" t="s">
        <v>1421</v>
      </c>
      <c r="C66" s="660" t="s">
        <v>1416</v>
      </c>
      <c r="D66" s="428" t="s">
        <v>1417</v>
      </c>
      <c r="E66" s="671">
        <f>108684.58</f>
        <v>108684.58</v>
      </c>
      <c r="F66" s="536">
        <v>0.75</v>
      </c>
      <c r="G66" s="537">
        <f t="shared" si="6"/>
        <v>81513.434999999998</v>
      </c>
      <c r="H66" s="536">
        <v>0.75</v>
      </c>
      <c r="I66" s="538">
        <f t="shared" si="7"/>
        <v>81513.434999999998</v>
      </c>
    </row>
    <row r="67" spans="1:9">
      <c r="A67" s="357"/>
      <c r="B67" s="666" t="s">
        <v>1421</v>
      </c>
      <c r="C67" s="660" t="s">
        <v>1416</v>
      </c>
      <c r="D67" s="428" t="s">
        <v>1419</v>
      </c>
      <c r="E67" s="671">
        <f>1933.73</f>
        <v>1933.73</v>
      </c>
      <c r="F67" s="536">
        <v>0.75</v>
      </c>
      <c r="G67" s="537">
        <f t="shared" si="6"/>
        <v>1450.2975000000001</v>
      </c>
      <c r="H67" s="536">
        <v>0.75</v>
      </c>
      <c r="I67" s="538">
        <f t="shared" si="7"/>
        <v>1450.2975000000001</v>
      </c>
    </row>
    <row r="68" spans="1:9">
      <c r="A68" s="357"/>
      <c r="B68" s="666" t="s">
        <v>1421</v>
      </c>
      <c r="C68" s="660" t="s">
        <v>1416</v>
      </c>
      <c r="D68" s="428" t="s">
        <v>1416</v>
      </c>
      <c r="E68" s="671">
        <f>38122.92</f>
        <v>38122.92</v>
      </c>
      <c r="F68" s="536">
        <v>0.75</v>
      </c>
      <c r="G68" s="537">
        <f t="shared" si="6"/>
        <v>28592.19</v>
      </c>
      <c r="H68" s="536">
        <v>0.75</v>
      </c>
      <c r="I68" s="538">
        <f t="shared" si="7"/>
        <v>28592.19</v>
      </c>
    </row>
    <row r="69" spans="1:9">
      <c r="A69" s="357"/>
      <c r="B69" s="666" t="s">
        <v>1421</v>
      </c>
      <c r="C69" s="660" t="s">
        <v>1390</v>
      </c>
      <c r="D69" s="428" t="s">
        <v>1390</v>
      </c>
      <c r="E69" s="671">
        <f>23485.53</f>
        <v>23485.53</v>
      </c>
      <c r="F69" s="536">
        <v>0.75</v>
      </c>
      <c r="G69" s="537">
        <f t="shared" si="6"/>
        <v>17614.147499999999</v>
      </c>
      <c r="H69" s="536">
        <v>0.75</v>
      </c>
      <c r="I69" s="538">
        <f t="shared" si="7"/>
        <v>17614.147499999999</v>
      </c>
    </row>
    <row r="70" spans="1:9">
      <c r="A70" s="357"/>
      <c r="B70" s="666" t="s">
        <v>1421</v>
      </c>
      <c r="C70" s="660" t="s">
        <v>2381</v>
      </c>
      <c r="D70" s="428" t="s">
        <v>1417</v>
      </c>
      <c r="E70" s="671">
        <f>25031.95</f>
        <v>25031.95</v>
      </c>
      <c r="F70" s="536">
        <v>0.75</v>
      </c>
      <c r="G70" s="537">
        <f t="shared" si="6"/>
        <v>18773.962500000001</v>
      </c>
      <c r="H70" s="536">
        <v>0.75</v>
      </c>
      <c r="I70" s="538">
        <f t="shared" si="7"/>
        <v>18773.962500000001</v>
      </c>
    </row>
    <row r="71" spans="1:9">
      <c r="A71" s="357"/>
      <c r="B71" s="666" t="s">
        <v>1421</v>
      </c>
      <c r="C71" s="660" t="s">
        <v>2382</v>
      </c>
      <c r="D71" s="428" t="s">
        <v>1390</v>
      </c>
      <c r="E71" s="671">
        <f>513.75</f>
        <v>513.75</v>
      </c>
      <c r="F71" s="536">
        <v>0.75</v>
      </c>
      <c r="G71" s="537">
        <f t="shared" si="6"/>
        <v>385.3125</v>
      </c>
      <c r="H71" s="536">
        <v>0.75</v>
      </c>
      <c r="I71" s="538">
        <f t="shared" si="7"/>
        <v>385.3125</v>
      </c>
    </row>
    <row r="72" spans="1:9">
      <c r="A72" s="357"/>
      <c r="B72" s="666" t="s">
        <v>1421</v>
      </c>
      <c r="C72" s="660" t="s">
        <v>1390</v>
      </c>
      <c r="D72" s="428" t="s">
        <v>1390</v>
      </c>
      <c r="E72" s="671">
        <f>18649.85</f>
        <v>18649.849999999999</v>
      </c>
      <c r="F72" s="536">
        <v>0.75</v>
      </c>
      <c r="G72" s="537">
        <f t="shared" si="6"/>
        <v>13987.387499999999</v>
      </c>
      <c r="H72" s="536">
        <v>0.75</v>
      </c>
      <c r="I72" s="538">
        <f t="shared" si="7"/>
        <v>13987.387499999999</v>
      </c>
    </row>
    <row r="73" spans="1:9">
      <c r="A73" s="357"/>
      <c r="B73" s="666" t="s">
        <v>1421</v>
      </c>
      <c r="C73" s="660" t="s">
        <v>2380</v>
      </c>
      <c r="D73" s="428" t="s">
        <v>1423</v>
      </c>
      <c r="E73" s="671">
        <f>2849.9</f>
        <v>2849.9</v>
      </c>
      <c r="F73" s="536">
        <v>0.75</v>
      </c>
      <c r="G73" s="537">
        <f t="shared" si="6"/>
        <v>2137.4250000000002</v>
      </c>
      <c r="H73" s="536">
        <v>0.75</v>
      </c>
      <c r="I73" s="538">
        <f t="shared" si="7"/>
        <v>2137.4250000000002</v>
      </c>
    </row>
    <row r="74" spans="1:9">
      <c r="A74" s="357"/>
      <c r="B74" s="666" t="s">
        <v>1421</v>
      </c>
      <c r="C74" s="660" t="s">
        <v>2383</v>
      </c>
      <c r="D74" s="428" t="s">
        <v>1423</v>
      </c>
      <c r="E74" s="671">
        <f>6624.56</f>
        <v>6624.56</v>
      </c>
      <c r="F74" s="536">
        <v>0.75</v>
      </c>
      <c r="G74" s="537">
        <f t="shared" si="6"/>
        <v>4968.42</v>
      </c>
      <c r="H74" s="536">
        <v>0.75</v>
      </c>
      <c r="I74" s="538">
        <f t="shared" si="7"/>
        <v>4968.42</v>
      </c>
    </row>
    <row r="75" spans="1:9">
      <c r="A75" s="357"/>
      <c r="B75" s="666" t="s">
        <v>1421</v>
      </c>
      <c r="C75" s="660" t="s">
        <v>1427</v>
      </c>
      <c r="D75" s="428" t="s">
        <v>1428</v>
      </c>
      <c r="E75" s="671">
        <f>98002.74</f>
        <v>98002.74</v>
      </c>
      <c r="F75" s="536">
        <v>0.75</v>
      </c>
      <c r="G75" s="537">
        <f t="shared" si="6"/>
        <v>73502.055000000008</v>
      </c>
      <c r="H75" s="536">
        <v>0.75</v>
      </c>
      <c r="I75" s="538">
        <f t="shared" si="7"/>
        <v>73502.055000000008</v>
      </c>
    </row>
    <row r="76" spans="1:9">
      <c r="A76" s="357"/>
      <c r="B76" s="666" t="s">
        <v>1421</v>
      </c>
      <c r="C76" s="660" t="s">
        <v>1390</v>
      </c>
      <c r="D76" s="428" t="s">
        <v>1390</v>
      </c>
      <c r="E76" s="671">
        <f>3247.51</f>
        <v>3247.51</v>
      </c>
      <c r="F76" s="536">
        <v>0.75</v>
      </c>
      <c r="G76" s="537">
        <f t="shared" si="6"/>
        <v>2435.6325000000002</v>
      </c>
      <c r="H76" s="536">
        <v>0.75</v>
      </c>
      <c r="I76" s="538">
        <f t="shared" si="7"/>
        <v>2435.6325000000002</v>
      </c>
    </row>
    <row r="77" spans="1:9">
      <c r="A77" s="357"/>
      <c r="B77" s="666" t="s">
        <v>1421</v>
      </c>
      <c r="C77" s="660" t="s">
        <v>1409</v>
      </c>
      <c r="D77" s="428" t="s">
        <v>1410</v>
      </c>
      <c r="E77" s="671">
        <f>226333.26</f>
        <v>226333.26</v>
      </c>
      <c r="F77" s="536">
        <v>0.75</v>
      </c>
      <c r="G77" s="537">
        <f t="shared" si="6"/>
        <v>169749.94500000001</v>
      </c>
      <c r="H77" s="536">
        <v>0.75</v>
      </c>
      <c r="I77" s="538">
        <f t="shared" si="7"/>
        <v>169749.94500000001</v>
      </c>
    </row>
    <row r="78" spans="1:9">
      <c r="A78" s="357"/>
      <c r="B78" s="666" t="s">
        <v>1421</v>
      </c>
      <c r="C78" s="660" t="s">
        <v>1390</v>
      </c>
      <c r="D78" s="428" t="s">
        <v>1390</v>
      </c>
      <c r="E78" s="671">
        <f>13470.93</f>
        <v>13470.93</v>
      </c>
      <c r="F78" s="536">
        <v>0.75</v>
      </c>
      <c r="G78" s="537">
        <f t="shared" si="6"/>
        <v>10103.1975</v>
      </c>
      <c r="H78" s="536">
        <v>0.75</v>
      </c>
      <c r="I78" s="538">
        <f t="shared" si="7"/>
        <v>10103.1975</v>
      </c>
    </row>
    <row r="79" spans="1:9">
      <c r="A79" s="357"/>
      <c r="B79" s="666" t="s">
        <v>1421</v>
      </c>
      <c r="C79" s="660" t="s">
        <v>1429</v>
      </c>
      <c r="D79" s="428" t="s">
        <v>1420</v>
      </c>
      <c r="E79" s="671">
        <f>70114.66</f>
        <v>70114.66</v>
      </c>
      <c r="F79" s="536">
        <v>0.75</v>
      </c>
      <c r="G79" s="537">
        <f t="shared" si="6"/>
        <v>52585.995000000003</v>
      </c>
      <c r="H79" s="536">
        <v>0.75</v>
      </c>
      <c r="I79" s="538">
        <f t="shared" si="7"/>
        <v>52585.995000000003</v>
      </c>
    </row>
    <row r="80" spans="1:9">
      <c r="A80" s="357"/>
      <c r="B80" s="666" t="s">
        <v>1421</v>
      </c>
      <c r="C80" s="660" t="s">
        <v>1390</v>
      </c>
      <c r="D80" s="428" t="s">
        <v>1390</v>
      </c>
      <c r="E80" s="671">
        <f>1421.38</f>
        <v>1421.38</v>
      </c>
      <c r="F80" s="536">
        <v>0.75</v>
      </c>
      <c r="G80" s="537">
        <f t="shared" si="6"/>
        <v>1066.0350000000001</v>
      </c>
      <c r="H80" s="536">
        <v>0.75</v>
      </c>
      <c r="I80" s="538">
        <f t="shared" si="7"/>
        <v>1066.0350000000001</v>
      </c>
    </row>
    <row r="81" spans="1:9">
      <c r="A81" s="357"/>
      <c r="B81" s="666" t="s">
        <v>1421</v>
      </c>
      <c r="C81" s="660" t="s">
        <v>1430</v>
      </c>
      <c r="D81" s="428" t="s">
        <v>1420</v>
      </c>
      <c r="E81" s="671">
        <f>61004.73</f>
        <v>61004.73</v>
      </c>
      <c r="F81" s="536">
        <v>0.75</v>
      </c>
      <c r="G81" s="537">
        <f t="shared" si="6"/>
        <v>45753.547500000001</v>
      </c>
      <c r="H81" s="536">
        <v>0.75</v>
      </c>
      <c r="I81" s="538">
        <f t="shared" si="7"/>
        <v>45753.547500000001</v>
      </c>
    </row>
    <row r="82" spans="1:9">
      <c r="A82" s="357"/>
      <c r="B82" s="666" t="s">
        <v>1421</v>
      </c>
      <c r="C82" s="660" t="s">
        <v>2378</v>
      </c>
      <c r="D82" s="428" t="s">
        <v>1407</v>
      </c>
      <c r="E82" s="671">
        <f>202050</f>
        <v>202050</v>
      </c>
      <c r="F82" s="536">
        <v>0.75</v>
      </c>
      <c r="G82" s="537">
        <f t="shared" si="6"/>
        <v>151537.5</v>
      </c>
      <c r="H82" s="536">
        <v>0.75</v>
      </c>
      <c r="I82" s="538">
        <f t="shared" si="7"/>
        <v>151537.5</v>
      </c>
    </row>
    <row r="83" spans="1:9">
      <c r="A83" s="357"/>
      <c r="B83" s="666" t="s">
        <v>1421</v>
      </c>
      <c r="C83" s="660" t="s">
        <v>1390</v>
      </c>
      <c r="D83" s="428" t="s">
        <v>1390</v>
      </c>
      <c r="E83" s="671">
        <f>6760.85</f>
        <v>6760.85</v>
      </c>
      <c r="F83" s="536">
        <v>0.75</v>
      </c>
      <c r="G83" s="537">
        <f t="shared" si="6"/>
        <v>5070.6375000000007</v>
      </c>
      <c r="H83" s="536">
        <v>0.75</v>
      </c>
      <c r="I83" s="538">
        <f t="shared" si="7"/>
        <v>5070.6375000000007</v>
      </c>
    </row>
    <row r="84" spans="1:9">
      <c r="A84" s="357"/>
      <c r="B84" s="666" t="s">
        <v>1421</v>
      </c>
      <c r="C84" s="660" t="s">
        <v>1407</v>
      </c>
      <c r="D84" s="428" t="s">
        <v>1408</v>
      </c>
      <c r="E84" s="671">
        <f>121027.36</f>
        <v>121027.36</v>
      </c>
      <c r="F84" s="536">
        <v>0.75</v>
      </c>
      <c r="G84" s="537">
        <f t="shared" si="6"/>
        <v>90770.52</v>
      </c>
      <c r="H84" s="536">
        <v>0.75</v>
      </c>
      <c r="I84" s="538">
        <f t="shared" si="7"/>
        <v>90770.52</v>
      </c>
    </row>
    <row r="85" spans="1:9">
      <c r="A85" s="357"/>
      <c r="B85" s="666" t="s">
        <v>1421</v>
      </c>
      <c r="C85" s="660" t="s">
        <v>1390</v>
      </c>
      <c r="D85" s="428" t="s">
        <v>1390</v>
      </c>
      <c r="E85" s="671">
        <f>2483.93</f>
        <v>2483.9299999999998</v>
      </c>
      <c r="F85" s="536">
        <v>0.75</v>
      </c>
      <c r="G85" s="537">
        <f t="shared" si="6"/>
        <v>1862.9474999999998</v>
      </c>
      <c r="H85" s="536">
        <v>0.75</v>
      </c>
      <c r="I85" s="538">
        <f t="shared" si="7"/>
        <v>1862.9474999999998</v>
      </c>
    </row>
    <row r="86" spans="1:9">
      <c r="A86" s="357"/>
      <c r="B86" s="666" t="s">
        <v>1421</v>
      </c>
      <c r="C86" s="660" t="s">
        <v>1431</v>
      </c>
      <c r="D86" s="428" t="s">
        <v>1405</v>
      </c>
      <c r="E86" s="671">
        <f>454503.96</f>
        <v>454503.96</v>
      </c>
      <c r="F86" s="536">
        <v>0.75</v>
      </c>
      <c r="G86" s="537">
        <f t="shared" si="6"/>
        <v>340877.97000000003</v>
      </c>
      <c r="H86" s="536">
        <v>0.75</v>
      </c>
      <c r="I86" s="538">
        <f t="shared" si="7"/>
        <v>340877.97000000003</v>
      </c>
    </row>
    <row r="87" spans="1:9">
      <c r="A87" s="357"/>
      <c r="B87" s="666" t="s">
        <v>1421</v>
      </c>
      <c r="C87" s="660" t="s">
        <v>1390</v>
      </c>
      <c r="D87" s="428" t="s">
        <v>1390</v>
      </c>
      <c r="E87" s="671">
        <f>12877</f>
        <v>12877</v>
      </c>
      <c r="F87" s="536">
        <v>0.75</v>
      </c>
      <c r="G87" s="537">
        <f t="shared" si="6"/>
        <v>9657.75</v>
      </c>
      <c r="H87" s="536">
        <v>0.75</v>
      </c>
      <c r="I87" s="538">
        <f t="shared" si="7"/>
        <v>9657.75</v>
      </c>
    </row>
    <row r="88" spans="1:9">
      <c r="A88" s="357"/>
      <c r="B88" s="666" t="s">
        <v>1421</v>
      </c>
      <c r="C88" s="660" t="s">
        <v>1432</v>
      </c>
      <c r="D88" s="428" t="s">
        <v>1407</v>
      </c>
      <c r="E88" s="671">
        <f>20216.8</f>
        <v>20216.8</v>
      </c>
      <c r="F88" s="536">
        <v>0.75</v>
      </c>
      <c r="G88" s="537">
        <f t="shared" si="6"/>
        <v>15162.599999999999</v>
      </c>
      <c r="H88" s="536">
        <v>0.75</v>
      </c>
      <c r="I88" s="538">
        <f t="shared" si="7"/>
        <v>15162.599999999999</v>
      </c>
    </row>
    <row r="89" spans="1:9">
      <c r="A89" s="357"/>
      <c r="B89" s="666" t="s">
        <v>1421</v>
      </c>
      <c r="C89" s="660" t="s">
        <v>1390</v>
      </c>
      <c r="D89" s="428" t="s">
        <v>1390</v>
      </c>
      <c r="E89" s="671">
        <f>1978.87</f>
        <v>1978.87</v>
      </c>
      <c r="F89" s="536">
        <v>0.75</v>
      </c>
      <c r="G89" s="537">
        <f t="shared" si="6"/>
        <v>1484.1524999999999</v>
      </c>
      <c r="H89" s="536">
        <v>0.75</v>
      </c>
      <c r="I89" s="538">
        <f t="shared" si="7"/>
        <v>1484.1524999999999</v>
      </c>
    </row>
    <row r="90" spans="1:9">
      <c r="A90" s="357"/>
      <c r="B90" s="666" t="s">
        <v>1421</v>
      </c>
      <c r="C90" s="660" t="s">
        <v>1433</v>
      </c>
      <c r="D90" s="428" t="s">
        <v>1411</v>
      </c>
      <c r="E90" s="671">
        <f>36320.07</f>
        <v>36320.07</v>
      </c>
      <c r="F90" s="536">
        <v>0.75</v>
      </c>
      <c r="G90" s="537">
        <f t="shared" si="6"/>
        <v>27240.052499999998</v>
      </c>
      <c r="H90" s="536">
        <v>0.75</v>
      </c>
      <c r="I90" s="538">
        <f t="shared" si="7"/>
        <v>27240.052499999998</v>
      </c>
    </row>
    <row r="91" spans="1:9">
      <c r="A91" s="357"/>
      <c r="B91" s="666" t="s">
        <v>1421</v>
      </c>
      <c r="C91" s="660" t="s">
        <v>1390</v>
      </c>
      <c r="D91" s="428" t="s">
        <v>1390</v>
      </c>
      <c r="E91" s="671">
        <f>630.74</f>
        <v>630.74</v>
      </c>
      <c r="F91" s="536">
        <v>0.75</v>
      </c>
      <c r="G91" s="537">
        <f t="shared" si="6"/>
        <v>473.05500000000001</v>
      </c>
      <c r="H91" s="536">
        <v>0.75</v>
      </c>
      <c r="I91" s="538">
        <f t="shared" si="7"/>
        <v>473.05500000000001</v>
      </c>
    </row>
    <row r="92" spans="1:9">
      <c r="A92" s="357"/>
      <c r="B92" s="666" t="s">
        <v>1421</v>
      </c>
      <c r="C92" s="660" t="s">
        <v>1434</v>
      </c>
      <c r="D92" s="428" t="s">
        <v>1407</v>
      </c>
      <c r="E92" s="671">
        <f>23846.74</f>
        <v>23846.74</v>
      </c>
      <c r="F92" s="536">
        <v>0.75</v>
      </c>
      <c r="G92" s="537">
        <f t="shared" si="6"/>
        <v>17885.055</v>
      </c>
      <c r="H92" s="536">
        <v>0.75</v>
      </c>
      <c r="I92" s="538">
        <f t="shared" si="7"/>
        <v>17885.055</v>
      </c>
    </row>
    <row r="93" spans="1:9">
      <c r="A93" s="357"/>
      <c r="B93" s="666" t="s">
        <v>1421</v>
      </c>
      <c r="C93" s="660" t="s">
        <v>1435</v>
      </c>
      <c r="D93" s="428" t="s">
        <v>1436</v>
      </c>
      <c r="E93" s="671">
        <f>57731</f>
        <v>57731</v>
      </c>
      <c r="F93" s="536">
        <v>0.75</v>
      </c>
      <c r="G93" s="537">
        <f t="shared" si="6"/>
        <v>43298.25</v>
      </c>
      <c r="H93" s="536">
        <v>0.75</v>
      </c>
      <c r="I93" s="538">
        <f t="shared" si="7"/>
        <v>43298.25</v>
      </c>
    </row>
    <row r="94" spans="1:9">
      <c r="A94" s="357"/>
      <c r="B94" s="666" t="s">
        <v>1421</v>
      </c>
      <c r="C94" s="660" t="s">
        <v>1413</v>
      </c>
      <c r="D94" s="428" t="s">
        <v>1414</v>
      </c>
      <c r="E94" s="671">
        <f>144190.32</f>
        <v>144190.32</v>
      </c>
      <c r="F94" s="536">
        <v>0.75</v>
      </c>
      <c r="G94" s="537">
        <f t="shared" si="6"/>
        <v>108142.74</v>
      </c>
      <c r="H94" s="536">
        <v>0.75</v>
      </c>
      <c r="I94" s="538">
        <f t="shared" si="7"/>
        <v>108142.74</v>
      </c>
    </row>
    <row r="95" spans="1:9">
      <c r="A95" s="357"/>
      <c r="B95" s="666" t="s">
        <v>1421</v>
      </c>
      <c r="C95" s="660" t="s">
        <v>1414</v>
      </c>
      <c r="D95" s="428" t="s">
        <v>1414</v>
      </c>
      <c r="E95" s="671">
        <f>167020.06</f>
        <v>167020.06</v>
      </c>
      <c r="F95" s="536">
        <v>0.75</v>
      </c>
      <c r="G95" s="537">
        <f t="shared" si="6"/>
        <v>125265.045</v>
      </c>
      <c r="H95" s="536">
        <v>0.75</v>
      </c>
      <c r="I95" s="538">
        <f t="shared" si="7"/>
        <v>125265.045</v>
      </c>
    </row>
    <row r="96" spans="1:9">
      <c r="A96" s="357"/>
      <c r="B96" s="666" t="s">
        <v>1421</v>
      </c>
      <c r="C96" s="660" t="s">
        <v>1390</v>
      </c>
      <c r="D96" s="428" t="s">
        <v>1390</v>
      </c>
      <c r="E96" s="671">
        <f>2373.14</f>
        <v>2373.14</v>
      </c>
      <c r="F96" s="536">
        <v>0.75</v>
      </c>
      <c r="G96" s="537">
        <f t="shared" si="6"/>
        <v>1779.855</v>
      </c>
      <c r="H96" s="536">
        <v>0.75</v>
      </c>
      <c r="I96" s="538">
        <f t="shared" si="7"/>
        <v>1779.855</v>
      </c>
    </row>
    <row r="97" spans="1:9" s="541" customFormat="1" ht="13.5" thickBot="1">
      <c r="A97" s="357"/>
      <c r="B97" s="666"/>
      <c r="C97" s="664" t="s">
        <v>961</v>
      </c>
      <c r="D97" s="539"/>
      <c r="E97" s="675">
        <f>SUM(E54:E96)</f>
        <v>3344410.69</v>
      </c>
      <c r="F97" s="540"/>
      <c r="G97" s="502">
        <f>SUM(G54:G96)</f>
        <v>2508308.0175000005</v>
      </c>
      <c r="H97" s="539"/>
      <c r="I97" s="438">
        <f>SUM(I54:I96)</f>
        <v>2508308.0175000005</v>
      </c>
    </row>
    <row r="98" spans="1:9" ht="13.5" thickTop="1">
      <c r="A98" s="357"/>
      <c r="B98" s="666" t="s">
        <v>1421</v>
      </c>
      <c r="C98" s="660" t="s">
        <v>1437</v>
      </c>
      <c r="D98" s="428" t="s">
        <v>1438</v>
      </c>
      <c r="E98" s="671">
        <f>636801.91</f>
        <v>636801.91</v>
      </c>
      <c r="F98" s="536">
        <v>0.52300000000000002</v>
      </c>
      <c r="G98" s="537">
        <f>E98*F98</f>
        <v>333047.39893000002</v>
      </c>
      <c r="H98" s="536">
        <v>0.66779999999999995</v>
      </c>
      <c r="I98" s="538">
        <f>E98*H98</f>
        <v>425256.31549800001</v>
      </c>
    </row>
    <row r="99" spans="1:9">
      <c r="A99" s="357"/>
      <c r="B99" s="666" t="s">
        <v>1421</v>
      </c>
      <c r="C99" s="660" t="s">
        <v>1390</v>
      </c>
      <c r="D99" s="428" t="s">
        <v>1390</v>
      </c>
      <c r="E99" s="671">
        <f>3422.21</f>
        <v>3422.21</v>
      </c>
      <c r="F99" s="536">
        <v>0.52300000000000002</v>
      </c>
      <c r="G99" s="537">
        <f t="shared" ref="G99:G129" si="8">E99*F99</f>
        <v>1789.81583</v>
      </c>
      <c r="H99" s="536">
        <v>0.66779999999999995</v>
      </c>
      <c r="I99" s="538">
        <f t="shared" ref="I99:I129" si="9">E99*H99</f>
        <v>2285.351838</v>
      </c>
    </row>
    <row r="100" spans="1:9">
      <c r="A100" s="357"/>
      <c r="B100" s="666" t="s">
        <v>1421</v>
      </c>
      <c r="C100" s="660" t="s">
        <v>1439</v>
      </c>
      <c r="D100" s="428" t="s">
        <v>1440</v>
      </c>
      <c r="E100" s="671">
        <f>152203.76</f>
        <v>152203.76</v>
      </c>
      <c r="F100" s="536">
        <v>0.52300000000000002</v>
      </c>
      <c r="G100" s="537">
        <f t="shared" si="8"/>
        <v>79602.566480000009</v>
      </c>
      <c r="H100" s="536">
        <v>0.66779999999999995</v>
      </c>
      <c r="I100" s="538">
        <f t="shared" si="9"/>
        <v>101641.67092799999</v>
      </c>
    </row>
    <row r="101" spans="1:9">
      <c r="A101" s="357"/>
      <c r="B101" s="666" t="s">
        <v>1421</v>
      </c>
      <c r="C101" s="660" t="s">
        <v>1441</v>
      </c>
      <c r="D101" s="428" t="s">
        <v>1442</v>
      </c>
      <c r="E101" s="671">
        <f>41538.31</f>
        <v>41538.31</v>
      </c>
      <c r="F101" s="536">
        <v>0.52300000000000002</v>
      </c>
      <c r="G101" s="537">
        <f t="shared" si="8"/>
        <v>21724.53613</v>
      </c>
      <c r="H101" s="536">
        <v>0.66779999999999995</v>
      </c>
      <c r="I101" s="538">
        <f t="shared" si="9"/>
        <v>27739.283417999995</v>
      </c>
    </row>
    <row r="102" spans="1:9">
      <c r="A102" s="357"/>
      <c r="B102" s="666" t="s">
        <v>1421</v>
      </c>
      <c r="C102" s="660" t="s">
        <v>1390</v>
      </c>
      <c r="D102" s="428" t="s">
        <v>1390</v>
      </c>
      <c r="E102" s="671">
        <f>6304.24</f>
        <v>6304.24</v>
      </c>
      <c r="F102" s="536">
        <v>0.52300000000000002</v>
      </c>
      <c r="G102" s="537">
        <f t="shared" si="8"/>
        <v>3297.1175200000002</v>
      </c>
      <c r="H102" s="536">
        <v>0.66779999999999995</v>
      </c>
      <c r="I102" s="538">
        <f t="shared" si="9"/>
        <v>4209.9714719999993</v>
      </c>
    </row>
    <row r="103" spans="1:9">
      <c r="A103" s="357"/>
      <c r="B103" s="666" t="s">
        <v>1421</v>
      </c>
      <c r="C103" s="660" t="s">
        <v>1409</v>
      </c>
      <c r="D103" s="428" t="s">
        <v>1443</v>
      </c>
      <c r="E103" s="671">
        <f>20893.47</f>
        <v>20893.47</v>
      </c>
      <c r="F103" s="536">
        <v>0.52300000000000002</v>
      </c>
      <c r="G103" s="537">
        <f t="shared" si="8"/>
        <v>10927.284810000001</v>
      </c>
      <c r="H103" s="536">
        <v>0.66779999999999995</v>
      </c>
      <c r="I103" s="538">
        <f t="shared" si="9"/>
        <v>13952.659266000001</v>
      </c>
    </row>
    <row r="104" spans="1:9">
      <c r="A104" s="357"/>
      <c r="B104" s="666" t="s">
        <v>1421</v>
      </c>
      <c r="C104" s="660" t="s">
        <v>1409</v>
      </c>
      <c r="D104" s="428" t="s">
        <v>1444</v>
      </c>
      <c r="E104" s="671">
        <f>20481.87</f>
        <v>20481.87</v>
      </c>
      <c r="F104" s="536">
        <v>0.52300000000000002</v>
      </c>
      <c r="G104" s="537">
        <f t="shared" si="8"/>
        <v>10712.01801</v>
      </c>
      <c r="H104" s="536">
        <v>0.66779999999999995</v>
      </c>
      <c r="I104" s="538">
        <f t="shared" si="9"/>
        <v>13677.792785999998</v>
      </c>
    </row>
    <row r="105" spans="1:9">
      <c r="A105" s="357"/>
      <c r="B105" s="666" t="s">
        <v>1421</v>
      </c>
      <c r="C105" s="660" t="s">
        <v>1390</v>
      </c>
      <c r="D105" s="428" t="s">
        <v>1390</v>
      </c>
      <c r="E105" s="671">
        <f>405078.07</f>
        <v>405078.07</v>
      </c>
      <c r="F105" s="536">
        <v>0.52300000000000002</v>
      </c>
      <c r="G105" s="537">
        <f t="shared" si="8"/>
        <v>211855.83061</v>
      </c>
      <c r="H105" s="536">
        <v>0.66779999999999995</v>
      </c>
      <c r="I105" s="538">
        <f t="shared" si="9"/>
        <v>270511.13514599996</v>
      </c>
    </row>
    <row r="106" spans="1:9">
      <c r="A106" s="357"/>
      <c r="B106" s="666" t="s">
        <v>1421</v>
      </c>
      <c r="C106" s="660" t="s">
        <v>1445</v>
      </c>
      <c r="D106" s="428" t="s">
        <v>1446</v>
      </c>
      <c r="E106" s="671">
        <f>651815.82</f>
        <v>651815.81999999995</v>
      </c>
      <c r="F106" s="536">
        <v>0.52300000000000002</v>
      </c>
      <c r="G106" s="537">
        <f t="shared" si="8"/>
        <v>340899.67385999998</v>
      </c>
      <c r="H106" s="536">
        <v>0.66779999999999995</v>
      </c>
      <c r="I106" s="538">
        <f>E106*H106</f>
        <v>435282.60459599993</v>
      </c>
    </row>
    <row r="107" spans="1:9">
      <c r="A107" s="357"/>
      <c r="B107" s="666" t="s">
        <v>1421</v>
      </c>
      <c r="C107" s="660" t="s">
        <v>1390</v>
      </c>
      <c r="D107" s="428" t="s">
        <v>1390</v>
      </c>
      <c r="E107" s="671">
        <f>39508.27</f>
        <v>39508.269999999997</v>
      </c>
      <c r="F107" s="536">
        <v>0.52300000000000002</v>
      </c>
      <c r="G107" s="537">
        <f t="shared" si="8"/>
        <v>20662.825209999999</v>
      </c>
      <c r="H107" s="536">
        <v>0.66779999999999995</v>
      </c>
      <c r="I107" s="538">
        <f>E107*H107</f>
        <v>26383.622705999995</v>
      </c>
    </row>
    <row r="108" spans="1:9">
      <c r="A108" s="357"/>
      <c r="B108" s="666" t="s">
        <v>1421</v>
      </c>
      <c r="C108" s="660" t="s">
        <v>1390</v>
      </c>
      <c r="D108" s="428" t="s">
        <v>1390</v>
      </c>
      <c r="E108" s="671">
        <f>1653.98</f>
        <v>1653.98</v>
      </c>
      <c r="F108" s="536">
        <v>0.52300000000000002</v>
      </c>
      <c r="G108" s="537">
        <f t="shared" si="8"/>
        <v>865.03154000000006</v>
      </c>
      <c r="H108" s="536">
        <v>0.66779999999999995</v>
      </c>
      <c r="I108" s="538">
        <f>E108*H108</f>
        <v>1104.527844</v>
      </c>
    </row>
    <row r="109" spans="1:9">
      <c r="A109" s="357"/>
      <c r="B109" s="666" t="s">
        <v>1421</v>
      </c>
      <c r="C109" s="660" t="s">
        <v>1401</v>
      </c>
      <c r="D109" s="428"/>
      <c r="E109" s="671">
        <v>695369.41</v>
      </c>
      <c r="F109" s="536">
        <v>0.52300000000000002</v>
      </c>
      <c r="G109" s="537">
        <f t="shared" si="8"/>
        <v>363678.20143000002</v>
      </c>
      <c r="H109" s="536">
        <v>0.66779999999999995</v>
      </c>
      <c r="I109" s="538">
        <f>E109*H109</f>
        <v>464367.69199799997</v>
      </c>
    </row>
    <row r="110" spans="1:9">
      <c r="A110" s="357"/>
      <c r="B110" s="666" t="s">
        <v>1421</v>
      </c>
      <c r="C110" s="660" t="s">
        <v>1390</v>
      </c>
      <c r="D110" s="428" t="s">
        <v>1390</v>
      </c>
      <c r="E110" s="671">
        <v>20639.32</v>
      </c>
      <c r="F110" s="536">
        <v>0.52300000000000002</v>
      </c>
      <c r="G110" s="537">
        <f t="shared" si="8"/>
        <v>10794.36436</v>
      </c>
      <c r="H110" s="536">
        <v>0.66779999999999995</v>
      </c>
      <c r="I110" s="538">
        <f>E110*H110</f>
        <v>13782.937895999999</v>
      </c>
    </row>
    <row r="111" spans="1:9">
      <c r="A111" s="357"/>
      <c r="B111" s="666" t="s">
        <v>1421</v>
      </c>
      <c r="C111" s="660" t="s">
        <v>1398</v>
      </c>
      <c r="D111" s="428"/>
      <c r="E111" s="671">
        <v>822160.39</v>
      </c>
      <c r="F111" s="536">
        <v>0.52300000000000002</v>
      </c>
      <c r="G111" s="537">
        <f t="shared" si="8"/>
        <v>429989.88397000002</v>
      </c>
      <c r="H111" s="536">
        <v>0.66779999999999995</v>
      </c>
      <c r="I111" s="538">
        <f t="shared" ref="I111:I113" si="10">E111*H111</f>
        <v>549038.70844199997</v>
      </c>
    </row>
    <row r="112" spans="1:9">
      <c r="A112" s="357"/>
      <c r="B112" s="666" t="s">
        <v>1421</v>
      </c>
      <c r="C112" s="660" t="s">
        <v>1390</v>
      </c>
      <c r="D112" s="428" t="s">
        <v>1390</v>
      </c>
      <c r="E112" s="671">
        <v>10941.32</v>
      </c>
      <c r="F112" s="536">
        <v>0.52300000000000002</v>
      </c>
      <c r="G112" s="537">
        <f t="shared" si="8"/>
        <v>5722.3103600000004</v>
      </c>
      <c r="H112" s="536">
        <v>0.66779999999999995</v>
      </c>
      <c r="I112" s="538">
        <f t="shared" si="10"/>
        <v>7306.613495999999</v>
      </c>
    </row>
    <row r="113" spans="1:9">
      <c r="A113" s="357"/>
      <c r="B113" s="666" t="s">
        <v>1421</v>
      </c>
      <c r="C113" s="660" t="s">
        <v>1401</v>
      </c>
      <c r="D113" s="428" t="s">
        <v>1447</v>
      </c>
      <c r="E113" s="671">
        <f>15702.99</f>
        <v>15702.99</v>
      </c>
      <c r="F113" s="536">
        <v>0.52300000000000002</v>
      </c>
      <c r="G113" s="537">
        <f t="shared" si="8"/>
        <v>8212.663770000001</v>
      </c>
      <c r="H113" s="536">
        <v>0.66779999999999995</v>
      </c>
      <c r="I113" s="538">
        <f t="shared" si="10"/>
        <v>10486.456721999999</v>
      </c>
    </row>
    <row r="114" spans="1:9">
      <c r="A114" s="357"/>
      <c r="B114" s="666" t="s">
        <v>1421</v>
      </c>
      <c r="C114" s="660" t="s">
        <v>1390</v>
      </c>
      <c r="D114" s="428" t="s">
        <v>1390</v>
      </c>
      <c r="E114" s="671">
        <f>8042.02</f>
        <v>8042.02</v>
      </c>
      <c r="F114" s="536">
        <v>0.52300000000000002</v>
      </c>
      <c r="G114" s="537">
        <f t="shared" si="8"/>
        <v>4205.9764600000008</v>
      </c>
      <c r="H114" s="536">
        <v>0.66779999999999995</v>
      </c>
      <c r="I114" s="538">
        <f t="shared" si="9"/>
        <v>5370.4609559999999</v>
      </c>
    </row>
    <row r="115" spans="1:9">
      <c r="A115" s="357"/>
      <c r="B115" s="666" t="s">
        <v>1421</v>
      </c>
      <c r="C115" s="660" t="s">
        <v>1390</v>
      </c>
      <c r="D115" s="428" t="s">
        <v>1390</v>
      </c>
      <c r="E115" s="671">
        <f>8042</f>
        <v>8042</v>
      </c>
      <c r="F115" s="536">
        <v>0.52300000000000002</v>
      </c>
      <c r="G115" s="537">
        <f t="shared" si="8"/>
        <v>4205.9660000000003</v>
      </c>
      <c r="H115" s="536">
        <v>0.66779999999999995</v>
      </c>
      <c r="I115" s="538">
        <f t="shared" si="9"/>
        <v>5370.4475999999995</v>
      </c>
    </row>
    <row r="116" spans="1:9">
      <c r="A116" s="357"/>
      <c r="B116" s="666" t="s">
        <v>1421</v>
      </c>
      <c r="C116" s="660" t="s">
        <v>1398</v>
      </c>
      <c r="D116" s="428" t="s">
        <v>1448</v>
      </c>
      <c r="E116" s="671">
        <f>81569.43</f>
        <v>81569.429999999993</v>
      </c>
      <c r="F116" s="536">
        <v>0.52300000000000002</v>
      </c>
      <c r="G116" s="537">
        <f t="shared" si="8"/>
        <v>42660.811889999997</v>
      </c>
      <c r="H116" s="536">
        <v>0.66779999999999995</v>
      </c>
      <c r="I116" s="538">
        <f t="shared" si="9"/>
        <v>54472.065353999991</v>
      </c>
    </row>
    <row r="117" spans="1:9">
      <c r="A117" s="357"/>
      <c r="B117" s="666" t="s">
        <v>1421</v>
      </c>
      <c r="C117" s="660" t="s">
        <v>1398</v>
      </c>
      <c r="D117" s="428" t="s">
        <v>1449</v>
      </c>
      <c r="E117" s="671">
        <f>81569.42</f>
        <v>81569.42</v>
      </c>
      <c r="F117" s="536">
        <v>0.52300000000000002</v>
      </c>
      <c r="G117" s="537">
        <f t="shared" si="8"/>
        <v>42660.806660000002</v>
      </c>
      <c r="H117" s="536">
        <v>0.66779999999999995</v>
      </c>
      <c r="I117" s="538">
        <f t="shared" si="9"/>
        <v>54472.058675999993</v>
      </c>
    </row>
    <row r="118" spans="1:9">
      <c r="A118" s="357"/>
      <c r="B118" s="666" t="s">
        <v>1421</v>
      </c>
      <c r="C118" s="660" t="s">
        <v>1398</v>
      </c>
      <c r="D118" s="428" t="s">
        <v>1448</v>
      </c>
      <c r="E118" s="671">
        <f>818051.19</f>
        <v>818051.19</v>
      </c>
      <c r="F118" s="536">
        <v>0.52300000000000002</v>
      </c>
      <c r="G118" s="537">
        <f t="shared" si="8"/>
        <v>427840.77236999996</v>
      </c>
      <c r="H118" s="536">
        <v>0.66779999999999995</v>
      </c>
      <c r="I118" s="538">
        <f t="shared" si="9"/>
        <v>546294.58468199987</v>
      </c>
    </row>
    <row r="119" spans="1:9">
      <c r="A119" s="357"/>
      <c r="B119" s="666" t="s">
        <v>1421</v>
      </c>
      <c r="C119" s="660" t="s">
        <v>1390</v>
      </c>
      <c r="D119" s="428" t="s">
        <v>1390</v>
      </c>
      <c r="E119" s="671">
        <f>66516.55</f>
        <v>66516.55</v>
      </c>
      <c r="F119" s="536">
        <v>0.52300000000000002</v>
      </c>
      <c r="G119" s="537">
        <f t="shared" si="8"/>
        <v>34788.155650000001</v>
      </c>
      <c r="H119" s="536">
        <v>0.66779999999999995</v>
      </c>
      <c r="I119" s="538">
        <f t="shared" si="9"/>
        <v>44419.752090000002</v>
      </c>
    </row>
    <row r="120" spans="1:9">
      <c r="A120" s="357"/>
      <c r="B120" s="666" t="s">
        <v>1421</v>
      </c>
      <c r="C120" s="660" t="s">
        <v>1413</v>
      </c>
      <c r="D120" s="428" t="s">
        <v>1420</v>
      </c>
      <c r="E120" s="671">
        <f>146114.62</f>
        <v>146114.62</v>
      </c>
      <c r="F120" s="536">
        <v>0.52300000000000002</v>
      </c>
      <c r="G120" s="537">
        <f t="shared" si="8"/>
        <v>76417.946259999997</v>
      </c>
      <c r="H120" s="536">
        <v>0.66779999999999995</v>
      </c>
      <c r="I120" s="538">
        <f t="shared" si="9"/>
        <v>97575.343235999986</v>
      </c>
    </row>
    <row r="121" spans="1:9">
      <c r="A121" s="357"/>
      <c r="B121" s="666" t="s">
        <v>1421</v>
      </c>
      <c r="C121" s="660" t="s">
        <v>2384</v>
      </c>
      <c r="D121" s="428" t="s">
        <v>1390</v>
      </c>
      <c r="E121" s="671">
        <f>1844.89</f>
        <v>1844.89</v>
      </c>
      <c r="F121" s="536">
        <v>0.52300000000000002</v>
      </c>
      <c r="G121" s="537">
        <f t="shared" si="8"/>
        <v>964.87747000000013</v>
      </c>
      <c r="H121" s="536">
        <v>0.66779999999999995</v>
      </c>
      <c r="I121" s="538">
        <f t="shared" si="9"/>
        <v>1232.017542</v>
      </c>
    </row>
    <row r="122" spans="1:9">
      <c r="A122" s="357"/>
      <c r="B122" s="666" t="s">
        <v>1421</v>
      </c>
      <c r="C122" s="660" t="s">
        <v>2385</v>
      </c>
      <c r="D122" s="428" t="s">
        <v>1390</v>
      </c>
      <c r="E122" s="671">
        <f>3844.64</f>
        <v>3844.64</v>
      </c>
      <c r="F122" s="536">
        <v>0.52300000000000002</v>
      </c>
      <c r="G122" s="537">
        <f t="shared" si="8"/>
        <v>2010.7467200000001</v>
      </c>
      <c r="H122" s="536">
        <v>0.66779999999999995</v>
      </c>
      <c r="I122" s="538">
        <f t="shared" si="9"/>
        <v>2567.4505919999997</v>
      </c>
    </row>
    <row r="123" spans="1:9">
      <c r="A123" s="357"/>
      <c r="B123" s="666" t="s">
        <v>1421</v>
      </c>
      <c r="C123" s="660" t="s">
        <v>1398</v>
      </c>
      <c r="D123" s="428" t="s">
        <v>1450</v>
      </c>
      <c r="E123" s="671">
        <f>220907.89</f>
        <v>220907.89</v>
      </c>
      <c r="F123" s="536">
        <v>0.52300000000000002</v>
      </c>
      <c r="G123" s="537">
        <f t="shared" si="8"/>
        <v>115534.82647000001</v>
      </c>
      <c r="H123" s="536">
        <v>0.66779999999999995</v>
      </c>
      <c r="I123" s="538">
        <f t="shared" si="9"/>
        <v>147522.28894199998</v>
      </c>
    </row>
    <row r="124" spans="1:9">
      <c r="A124" s="357"/>
      <c r="B124" s="666" t="s">
        <v>1421</v>
      </c>
      <c r="C124" s="660" t="s">
        <v>1390</v>
      </c>
      <c r="D124" s="428" t="s">
        <v>1390</v>
      </c>
      <c r="E124" s="671">
        <f>5014.67</f>
        <v>5014.67</v>
      </c>
      <c r="F124" s="536">
        <v>0.52300000000000002</v>
      </c>
      <c r="G124" s="537">
        <f t="shared" si="8"/>
        <v>2622.6724100000001</v>
      </c>
      <c r="H124" s="536">
        <v>0.66779999999999995</v>
      </c>
      <c r="I124" s="538">
        <f t="shared" si="9"/>
        <v>3348.7966259999998</v>
      </c>
    </row>
    <row r="125" spans="1:9">
      <c r="A125" s="357"/>
      <c r="B125" s="666" t="s">
        <v>1421</v>
      </c>
      <c r="C125" s="660" t="s">
        <v>1451</v>
      </c>
      <c r="D125" s="428" t="s">
        <v>1452</v>
      </c>
      <c r="E125" s="671">
        <f>219050.16</f>
        <v>219050.16</v>
      </c>
      <c r="F125" s="536">
        <v>0.52300000000000002</v>
      </c>
      <c r="G125" s="537">
        <f t="shared" si="8"/>
        <v>114563.23368</v>
      </c>
      <c r="H125" s="536">
        <v>0.66779999999999995</v>
      </c>
      <c r="I125" s="538">
        <f t="shared" si="9"/>
        <v>146281.69684799999</v>
      </c>
    </row>
    <row r="126" spans="1:9">
      <c r="A126" s="357"/>
      <c r="B126" s="666" t="s">
        <v>1421</v>
      </c>
      <c r="C126" s="660" t="s">
        <v>1390</v>
      </c>
      <c r="D126" s="428" t="s">
        <v>1390</v>
      </c>
      <c r="E126" s="671">
        <f>285734.43</f>
        <v>285734.43</v>
      </c>
      <c r="F126" s="536">
        <v>0.52300000000000002</v>
      </c>
      <c r="G126" s="537">
        <f t="shared" si="8"/>
        <v>149439.10689</v>
      </c>
      <c r="H126" s="536">
        <v>0.66779999999999995</v>
      </c>
      <c r="I126" s="538">
        <f t="shared" si="9"/>
        <v>190813.45235399998</v>
      </c>
    </row>
    <row r="127" spans="1:9">
      <c r="A127" s="357"/>
      <c r="B127" s="666" t="s">
        <v>1421</v>
      </c>
      <c r="C127" s="660" t="s">
        <v>1453</v>
      </c>
      <c r="D127" s="428" t="s">
        <v>1454</v>
      </c>
      <c r="E127" s="671">
        <f>1929776.32</f>
        <v>1929776.32</v>
      </c>
      <c r="F127" s="536">
        <v>0.52300000000000002</v>
      </c>
      <c r="G127" s="537">
        <f t="shared" si="8"/>
        <v>1009273.0153600001</v>
      </c>
      <c r="H127" s="536">
        <v>0.66779999999999995</v>
      </c>
      <c r="I127" s="538">
        <f t="shared" si="9"/>
        <v>1288704.626496</v>
      </c>
    </row>
    <row r="128" spans="1:9">
      <c r="A128" s="357"/>
      <c r="B128" s="666" t="s">
        <v>1421</v>
      </c>
      <c r="C128" s="660" t="s">
        <v>1455</v>
      </c>
      <c r="D128" s="428" t="s">
        <v>1454</v>
      </c>
      <c r="E128" s="671">
        <f>303096.04</f>
        <v>303096.03999999998</v>
      </c>
      <c r="F128" s="536">
        <v>0.52300000000000002</v>
      </c>
      <c r="G128" s="537">
        <f t="shared" si="8"/>
        <v>158519.22891999999</v>
      </c>
      <c r="H128" s="536">
        <v>0.66779999999999995</v>
      </c>
      <c r="I128" s="538">
        <f t="shared" si="9"/>
        <v>202407.53551199997</v>
      </c>
    </row>
    <row r="129" spans="1:9">
      <c r="A129" s="357"/>
      <c r="B129" s="666" t="s">
        <v>1421</v>
      </c>
      <c r="C129" s="665" t="s">
        <v>1456</v>
      </c>
      <c r="D129" s="661" t="s">
        <v>1454</v>
      </c>
      <c r="E129" s="676">
        <f>1362394.81</f>
        <v>1362394.81</v>
      </c>
      <c r="F129" s="536">
        <v>0.52300000000000002</v>
      </c>
      <c r="G129" s="537">
        <f t="shared" si="8"/>
        <v>712532.48563000001</v>
      </c>
      <c r="H129" s="536">
        <v>0.66779999999999995</v>
      </c>
      <c r="I129" s="538">
        <f t="shared" si="9"/>
        <v>909807.25411799992</v>
      </c>
    </row>
    <row r="130" spans="1:9" ht="13.5" thickBot="1">
      <c r="A130" s="542"/>
      <c r="B130" s="667"/>
      <c r="C130" s="662" t="s">
        <v>961</v>
      </c>
      <c r="D130" s="379"/>
      <c r="E130" s="677">
        <f>SUM(E98:E129)</f>
        <v>9086084.4199999999</v>
      </c>
      <c r="F130" s="543"/>
      <c r="G130" s="544">
        <f>SUM(G98:G129)</f>
        <v>4752022.1516600009</v>
      </c>
      <c r="H130" s="543"/>
      <c r="I130" s="545">
        <f>SUM(I98:I129)</f>
        <v>6067687.1756759994</v>
      </c>
    </row>
    <row r="131" spans="1:9">
      <c r="B131" s="541"/>
    </row>
  </sheetData>
  <pageMargins left="0.7" right="0.7" top="0.75" bottom="0.75" header="0.3" footer="0.3"/>
  <pageSetup scale="51" fitToHeight="0"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110" zoomScaleNormal="100" zoomScaleSheetLayoutView="110" workbookViewId="0"/>
  </sheetViews>
  <sheetFormatPr defaultColWidth="9.1796875" defaultRowHeight="13"/>
  <cols>
    <col min="1" max="1" width="9.1796875" style="353"/>
    <col min="2" max="2" width="45.81640625" style="353" bestFit="1" customWidth="1"/>
    <col min="3" max="3" width="38.54296875" style="353" customWidth="1"/>
    <col min="4" max="4" width="27.1796875" style="353" customWidth="1"/>
    <col min="5" max="16384" width="9.1796875" style="353"/>
  </cols>
  <sheetData>
    <row r="1" spans="1:4">
      <c r="A1" s="354" t="str">
        <f>'Cover Sheets'!A10:D10</f>
        <v>WAPA-UGP 2018 Rate True-up Calculation</v>
      </c>
      <c r="B1" s="355"/>
      <c r="C1" s="355"/>
      <c r="D1" s="380"/>
    </row>
    <row r="2" spans="1:4">
      <c r="A2" s="821" t="s">
        <v>2567</v>
      </c>
      <c r="B2" s="356"/>
      <c r="C2" s="356"/>
      <c r="D2" s="381"/>
    </row>
    <row r="3" spans="1:4">
      <c r="A3" s="357" t="str">
        <f>'WS1-RateBase'!A4</f>
        <v>12 Months Ending 09/30/2018 ACTUAL</v>
      </c>
      <c r="B3" s="356"/>
      <c r="C3" s="356"/>
      <c r="D3" s="381"/>
    </row>
    <row r="4" spans="1:4">
      <c r="A4" s="167"/>
      <c r="B4" s="358" t="s">
        <v>2</v>
      </c>
      <c r="C4" s="359" t="s">
        <v>1478</v>
      </c>
      <c r="D4" s="360" t="s">
        <v>1211</v>
      </c>
    </row>
    <row r="5" spans="1:4" ht="13.5" thickBot="1">
      <c r="A5" s="361" t="s">
        <v>1385</v>
      </c>
      <c r="B5" s="362">
        <v>-1</v>
      </c>
      <c r="C5" s="362">
        <v>-2</v>
      </c>
      <c r="D5" s="363">
        <v>-3</v>
      </c>
    </row>
    <row r="6" spans="1:4">
      <c r="A6" s="389">
        <v>1</v>
      </c>
      <c r="B6" s="367" t="s">
        <v>1463</v>
      </c>
      <c r="C6" s="366">
        <f>'WS2-AllocFactor'!E34</f>
        <v>0.14490656007321057</v>
      </c>
      <c r="D6" s="374" t="s">
        <v>1206</v>
      </c>
    </row>
    <row r="7" spans="1:4" ht="13.5" thickBot="1">
      <c r="A7" s="389">
        <v>2</v>
      </c>
      <c r="B7" s="390" t="s">
        <v>1464</v>
      </c>
      <c r="C7" s="368">
        <f>'WS2-AllocFactor'!E35</f>
        <v>530092117.79723716</v>
      </c>
      <c r="D7" s="374" t="s">
        <v>1205</v>
      </c>
    </row>
    <row r="8" spans="1:4" ht="13.5" thickTop="1">
      <c r="A8" s="389">
        <v>3</v>
      </c>
      <c r="B8" s="390" t="s">
        <v>1465</v>
      </c>
      <c r="C8" s="370">
        <f>C6*C7</f>
        <v>76813825.311920762</v>
      </c>
      <c r="D8" s="382" t="s">
        <v>1466</v>
      </c>
    </row>
    <row r="9" spans="1:4" ht="13.5" thickBot="1">
      <c r="A9" s="389">
        <v>4</v>
      </c>
      <c r="B9" s="390" t="s">
        <v>1467</v>
      </c>
      <c r="C9" s="681">
        <v>2286000</v>
      </c>
      <c r="D9" s="382"/>
    </row>
    <row r="10" spans="1:4" ht="13.5" thickTop="1">
      <c r="A10" s="389">
        <v>5</v>
      </c>
      <c r="B10" s="367" t="s">
        <v>1479</v>
      </c>
      <c r="C10" s="372">
        <f>C8/C9</f>
        <v>33.601848342922466</v>
      </c>
      <c r="D10" s="382" t="s">
        <v>1469</v>
      </c>
    </row>
    <row r="11" spans="1:4">
      <c r="A11" s="389">
        <v>6</v>
      </c>
      <c r="B11" s="367" t="s">
        <v>1480</v>
      </c>
      <c r="C11" s="391">
        <f>8861</f>
        <v>8861</v>
      </c>
      <c r="D11" s="382"/>
    </row>
    <row r="12" spans="1:4">
      <c r="A12" s="389">
        <v>7</v>
      </c>
      <c r="B12" s="367" t="s">
        <v>1481</v>
      </c>
      <c r="C12" s="392">
        <f>C11*C10</f>
        <v>297745.97816663596</v>
      </c>
      <c r="D12" s="382"/>
    </row>
    <row r="13" spans="1:4">
      <c r="A13" s="389">
        <v>8</v>
      </c>
      <c r="B13" s="367" t="s">
        <v>1482</v>
      </c>
      <c r="C13" s="393">
        <v>0</v>
      </c>
      <c r="D13" s="374" t="s">
        <v>1204</v>
      </c>
    </row>
    <row r="14" spans="1:4">
      <c r="A14" s="389">
        <v>9</v>
      </c>
      <c r="B14" s="367" t="s">
        <v>1483</v>
      </c>
      <c r="C14" s="392">
        <f>C12+C13</f>
        <v>297745.97816663596</v>
      </c>
      <c r="D14" s="382"/>
    </row>
    <row r="15" spans="1:4">
      <c r="A15" s="394" t="s">
        <v>1490</v>
      </c>
      <c r="B15" s="367" t="s">
        <v>1484</v>
      </c>
      <c r="C15" s="356"/>
      <c r="D15" s="382"/>
    </row>
    <row r="16" spans="1:4">
      <c r="A16" s="394"/>
      <c r="B16" s="367" t="s">
        <v>2437</v>
      </c>
      <c r="C16" s="356"/>
      <c r="D16" s="382"/>
    </row>
    <row r="17" spans="1:4">
      <c r="A17" s="394" t="s">
        <v>1205</v>
      </c>
      <c r="B17" s="395" t="s">
        <v>1485</v>
      </c>
      <c r="C17" s="356"/>
      <c r="D17" s="382"/>
    </row>
    <row r="18" spans="1:4">
      <c r="A18" s="394"/>
      <c r="B18" s="395" t="s">
        <v>2397</v>
      </c>
      <c r="C18" s="356"/>
      <c r="D18" s="382"/>
    </row>
    <row r="19" spans="1:4" ht="13.5" thickBot="1">
      <c r="A19" s="422" t="s">
        <v>1491</v>
      </c>
      <c r="B19" s="423" t="s">
        <v>2398</v>
      </c>
      <c r="C19" s="379"/>
      <c r="D19" s="424"/>
    </row>
  </sheetData>
  <pageMargins left="0.7" right="0.7" top="0.75" bottom="0.75" header="0.3" footer="0.3"/>
  <pageSetup fitToHeight="0" orientation="landscape"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BreakPreview" zoomScale="120" zoomScaleNormal="100" zoomScaleSheetLayoutView="120" workbookViewId="0">
      <selection activeCell="C16" sqref="C16"/>
    </sheetView>
  </sheetViews>
  <sheetFormatPr defaultColWidth="9.1796875" defaultRowHeight="13"/>
  <cols>
    <col min="1" max="1" width="9.1796875" style="353"/>
    <col min="2" max="2" width="44.26953125" style="353" customWidth="1"/>
    <col min="3" max="3" width="39.26953125" style="353" customWidth="1"/>
    <col min="4" max="4" width="18.7265625" style="353" customWidth="1"/>
    <col min="5" max="16384" width="9.1796875" style="353"/>
  </cols>
  <sheetData>
    <row r="1" spans="1:4">
      <c r="A1" s="354" t="str">
        <f>'Cover Sheets'!A10:D10</f>
        <v>WAPA-UGP 2018 Rate True-up Calculation</v>
      </c>
      <c r="B1" s="355"/>
      <c r="C1" s="355"/>
      <c r="D1" s="380"/>
    </row>
    <row r="2" spans="1:4">
      <c r="A2" s="821" t="s">
        <v>2568</v>
      </c>
      <c r="B2" s="356"/>
      <c r="C2" s="356"/>
      <c r="D2" s="381"/>
    </row>
    <row r="3" spans="1:4">
      <c r="A3" s="357" t="str">
        <f>'WS1-RateBase'!A4</f>
        <v>12 Months Ending 09/30/2018 ACTUAL</v>
      </c>
      <c r="B3" s="356"/>
      <c r="C3" s="356"/>
      <c r="D3" s="381"/>
    </row>
    <row r="4" spans="1:4">
      <c r="A4" s="167"/>
      <c r="B4" s="358" t="s">
        <v>2</v>
      </c>
      <c r="C4" s="359" t="s">
        <v>1462</v>
      </c>
      <c r="D4" s="360" t="s">
        <v>1211</v>
      </c>
    </row>
    <row r="5" spans="1:4" ht="13.5" thickBot="1">
      <c r="A5" s="361" t="s">
        <v>1385</v>
      </c>
      <c r="B5" s="362">
        <v>-1</v>
      </c>
      <c r="C5" s="362">
        <v>-2</v>
      </c>
      <c r="D5" s="363">
        <v>-3</v>
      </c>
    </row>
    <row r="6" spans="1:4">
      <c r="A6" s="364">
        <v>1</v>
      </c>
      <c r="B6" s="365" t="s">
        <v>1463</v>
      </c>
      <c r="C6" s="387">
        <f>'WS2-AllocFactor'!E34</f>
        <v>0.14490656007321057</v>
      </c>
      <c r="D6" s="386" t="s">
        <v>1206</v>
      </c>
    </row>
    <row r="7" spans="1:4" ht="13.5" thickBot="1">
      <c r="A7" s="364">
        <v>2</v>
      </c>
      <c r="B7" s="367" t="s">
        <v>1464</v>
      </c>
      <c r="C7" s="388">
        <f>'WS2-AllocFactor'!E35</f>
        <v>530092117.79723716</v>
      </c>
      <c r="D7" s="369" t="s">
        <v>1205</v>
      </c>
    </row>
    <row r="8" spans="1:4" ht="13.5" thickTop="1">
      <c r="A8" s="364">
        <v>3</v>
      </c>
      <c r="B8" s="367" t="s">
        <v>1465</v>
      </c>
      <c r="C8" s="370">
        <f>C6*C7</f>
        <v>76813825.311920762</v>
      </c>
      <c r="D8" s="382" t="s">
        <v>1466</v>
      </c>
    </row>
    <row r="9" spans="1:4" ht="13.5" thickBot="1">
      <c r="A9" s="364">
        <v>4</v>
      </c>
      <c r="B9" s="371" t="s">
        <v>1467</v>
      </c>
      <c r="C9" s="529">
        <v>2286000</v>
      </c>
      <c r="D9" s="382"/>
    </row>
    <row r="10" spans="1:4" ht="13.5" thickTop="1">
      <c r="A10" s="364">
        <v>5</v>
      </c>
      <c r="B10" s="371" t="s">
        <v>1468</v>
      </c>
      <c r="C10" s="372">
        <f>C8/C9</f>
        <v>33.601848342922466</v>
      </c>
      <c r="D10" s="382" t="s">
        <v>1469</v>
      </c>
    </row>
    <row r="11" spans="1:4">
      <c r="A11" s="364">
        <v>6</v>
      </c>
      <c r="B11" s="371" t="s">
        <v>1470</v>
      </c>
      <c r="C11" s="370">
        <f>268283</f>
        <v>268283</v>
      </c>
      <c r="D11" s="382"/>
    </row>
    <row r="12" spans="1:4">
      <c r="A12" s="364">
        <v>8</v>
      </c>
      <c r="B12" s="373" t="s">
        <v>1471</v>
      </c>
      <c r="C12" s="530">
        <f>168000</f>
        <v>168000</v>
      </c>
      <c r="D12" s="374" t="s">
        <v>1204</v>
      </c>
    </row>
    <row r="13" spans="1:4">
      <c r="A13" s="364">
        <v>9</v>
      </c>
      <c r="B13" s="373" t="s">
        <v>1472</v>
      </c>
      <c r="C13" s="530">
        <f>97500</f>
        <v>97500</v>
      </c>
      <c r="D13" s="374" t="s">
        <v>1203</v>
      </c>
    </row>
    <row r="14" spans="1:4">
      <c r="A14" s="364">
        <v>10</v>
      </c>
      <c r="B14" s="373" t="s">
        <v>1473</v>
      </c>
      <c r="C14" s="375">
        <f xml:space="preserve"> (0.03*C12) + (0.03 *C13)</f>
        <v>7965</v>
      </c>
      <c r="D14" s="382" t="s">
        <v>1474</v>
      </c>
    </row>
    <row r="15" spans="1:4">
      <c r="A15" s="364">
        <v>11</v>
      </c>
      <c r="B15" s="373" t="s">
        <v>2548</v>
      </c>
      <c r="C15" s="828">
        <v>0</v>
      </c>
      <c r="D15" s="374" t="s">
        <v>1202</v>
      </c>
    </row>
    <row r="16" spans="1:4">
      <c r="A16" s="364">
        <v>12</v>
      </c>
      <c r="B16" s="384" t="s">
        <v>1475</v>
      </c>
      <c r="C16" s="385">
        <f>C10*C14+C15</f>
        <v>267638.72205137747</v>
      </c>
      <c r="D16" s="382" t="s">
        <v>2549</v>
      </c>
    </row>
    <row r="17" spans="1:4">
      <c r="A17" s="376" t="s">
        <v>1206</v>
      </c>
      <c r="B17" s="377" t="s">
        <v>1476</v>
      </c>
      <c r="C17" s="356"/>
      <c r="D17" s="381"/>
    </row>
    <row r="18" spans="1:4">
      <c r="A18" s="376"/>
      <c r="B18" s="377" t="s">
        <v>2438</v>
      </c>
      <c r="C18" s="356"/>
      <c r="D18" s="381"/>
    </row>
    <row r="19" spans="1:4">
      <c r="A19" s="376" t="s">
        <v>1205</v>
      </c>
      <c r="B19" s="377" t="s">
        <v>1477</v>
      </c>
      <c r="C19" s="356"/>
      <c r="D19" s="381"/>
    </row>
    <row r="20" spans="1:4">
      <c r="A20" s="376"/>
      <c r="B20" s="377" t="s">
        <v>2399</v>
      </c>
      <c r="C20" s="356"/>
      <c r="D20" s="381"/>
    </row>
    <row r="21" spans="1:4">
      <c r="A21" s="376" t="s">
        <v>1204</v>
      </c>
      <c r="B21" s="377" t="s">
        <v>2439</v>
      </c>
      <c r="C21" s="356"/>
      <c r="D21" s="381"/>
    </row>
    <row r="22" spans="1:4">
      <c r="A22" s="376" t="s">
        <v>1203</v>
      </c>
      <c r="B22" s="377" t="s">
        <v>2400</v>
      </c>
      <c r="C22" s="356"/>
      <c r="D22" s="381"/>
    </row>
    <row r="23" spans="1:4" ht="13.5" thickBot="1">
      <c r="A23" s="378" t="s">
        <v>1202</v>
      </c>
      <c r="B23" s="379" t="s">
        <v>2550</v>
      </c>
      <c r="C23" s="379"/>
      <c r="D23" s="383"/>
    </row>
  </sheetData>
  <pageMargins left="0.7" right="0.7" top="0.75" bottom="0.75" header="0.3" footer="0.3"/>
  <pageSetup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110" zoomScaleNormal="100" zoomScaleSheetLayoutView="110" workbookViewId="0">
      <selection activeCell="A53" sqref="A53"/>
    </sheetView>
  </sheetViews>
  <sheetFormatPr defaultRowHeight="14.5"/>
  <cols>
    <col min="1" max="1" width="55.26953125" customWidth="1"/>
    <col min="2" max="2" width="11.81640625" customWidth="1"/>
    <col min="3" max="4" width="18.7265625" customWidth="1"/>
    <col min="5" max="5" width="18.7265625" style="809" customWidth="1"/>
    <col min="6" max="6" width="23.54296875" customWidth="1"/>
    <col min="7" max="7" width="36" customWidth="1"/>
    <col min="8" max="8" width="15.26953125" bestFit="1" customWidth="1"/>
    <col min="9" max="9" width="14.54296875" bestFit="1" customWidth="1"/>
    <col min="10" max="10" width="24.1796875" bestFit="1" customWidth="1"/>
    <col min="12" max="12" width="13.26953125" bestFit="1" customWidth="1"/>
  </cols>
  <sheetData>
    <row r="1" spans="1:13">
      <c r="A1" s="779" t="str">
        <f>'Cover Sheets'!A10:D10</f>
        <v>WAPA-UGP 2018 Rate True-up Calculation</v>
      </c>
      <c r="B1" s="779"/>
      <c r="C1" s="779"/>
      <c r="D1" s="779"/>
      <c r="E1" s="808"/>
      <c r="F1" s="779"/>
    </row>
    <row r="2" spans="1:13">
      <c r="A2" s="779" t="s">
        <v>2592</v>
      </c>
      <c r="B2" s="779"/>
      <c r="C2" s="779"/>
      <c r="D2" s="779"/>
      <c r="E2" s="808"/>
      <c r="F2" s="779"/>
    </row>
    <row r="3" spans="1:13">
      <c r="A3" s="779" t="s">
        <v>2555</v>
      </c>
      <c r="B3" s="779"/>
      <c r="C3" s="779"/>
      <c r="D3" s="779"/>
      <c r="E3" s="808"/>
      <c r="F3" s="779"/>
    </row>
    <row r="4" spans="1:13" ht="18" customHeight="1">
      <c r="A4" s="836" t="s">
        <v>1215</v>
      </c>
      <c r="B4" s="835"/>
      <c r="C4" s="835"/>
      <c r="D4" s="835"/>
      <c r="E4" s="835"/>
      <c r="F4" s="837"/>
    </row>
    <row r="5" spans="1:13" ht="13.15" customHeight="1" thickBot="1">
      <c r="A5" s="838" t="s">
        <v>1497</v>
      </c>
      <c r="B5" s="839"/>
      <c r="C5" s="839"/>
      <c r="D5" s="839"/>
      <c r="E5" s="839"/>
      <c r="F5" s="840"/>
    </row>
    <row r="6" spans="1:13" s="504" customFormat="1" ht="52.15" customHeight="1">
      <c r="A6" s="757"/>
      <c r="B6" s="355"/>
      <c r="C6" s="758" t="s">
        <v>3</v>
      </c>
      <c r="D6" s="758" t="s">
        <v>3</v>
      </c>
      <c r="E6" s="803"/>
      <c r="F6" s="759" t="s">
        <v>2426</v>
      </c>
      <c r="G6" s="508"/>
      <c r="H6" s="509"/>
      <c r="I6" s="509"/>
      <c r="J6" s="508"/>
      <c r="K6" s="508"/>
    </row>
    <row r="7" spans="1:13" s="504" customFormat="1" ht="26">
      <c r="A7" s="760" t="s">
        <v>1498</v>
      </c>
      <c r="B7" s="793" t="s">
        <v>2542</v>
      </c>
      <c r="C7" s="761" t="s">
        <v>2424</v>
      </c>
      <c r="D7" s="761" t="s">
        <v>2425</v>
      </c>
      <c r="E7" s="804" t="s">
        <v>1096</v>
      </c>
      <c r="F7" s="762" t="s">
        <v>1493</v>
      </c>
      <c r="G7" s="508"/>
      <c r="H7" s="505"/>
      <c r="I7" s="505"/>
      <c r="J7" s="508"/>
      <c r="K7" s="508"/>
    </row>
    <row r="8" spans="1:13">
      <c r="A8" s="763" t="s">
        <v>2543</v>
      </c>
      <c r="B8" s="794" t="s">
        <v>2544</v>
      </c>
      <c r="C8" s="764">
        <f>150606142</f>
        <v>150606142</v>
      </c>
      <c r="D8" s="764">
        <f>'WS1-RateBase'!H7</f>
        <v>154435547.01260826</v>
      </c>
      <c r="E8" s="805"/>
      <c r="F8" s="765">
        <f>D8-C8</f>
        <v>3829405.0126082599</v>
      </c>
      <c r="G8" s="501"/>
      <c r="H8" s="510"/>
      <c r="I8" s="510"/>
      <c r="J8" s="510"/>
      <c r="K8" s="510"/>
      <c r="L8" s="352"/>
      <c r="M8" s="352"/>
    </row>
    <row r="9" spans="1:13">
      <c r="A9" s="515" t="s">
        <v>2527</v>
      </c>
      <c r="B9" s="552" t="s">
        <v>2611</v>
      </c>
      <c r="C9" s="766">
        <v>-5064000</v>
      </c>
      <c r="D9" s="801">
        <v>-7306409</v>
      </c>
      <c r="E9" s="813">
        <v>1</v>
      </c>
      <c r="F9" s="767">
        <f>D9-C9</f>
        <v>-2242409</v>
      </c>
      <c r="G9" s="501"/>
      <c r="H9" s="510"/>
      <c r="I9" s="510"/>
      <c r="J9" s="510"/>
      <c r="K9" s="510"/>
      <c r="L9" s="352"/>
      <c r="M9" s="352"/>
    </row>
    <row r="10" spans="1:13">
      <c r="A10" s="515" t="s">
        <v>2528</v>
      </c>
      <c r="B10" s="552" t="s">
        <v>2612</v>
      </c>
      <c r="C10" s="766">
        <v>-747000</v>
      </c>
      <c r="D10" s="766">
        <v>-2717422</v>
      </c>
      <c r="E10" s="805">
        <v>1</v>
      </c>
      <c r="F10" s="767">
        <f t="shared" ref="F10:F14" si="0">D10-C10</f>
        <v>-1970422</v>
      </c>
      <c r="G10" s="501"/>
      <c r="H10" s="510"/>
      <c r="I10" s="510"/>
      <c r="J10" s="510"/>
      <c r="K10" s="510"/>
      <c r="L10" s="352"/>
      <c r="M10" s="352"/>
    </row>
    <row r="11" spans="1:13">
      <c r="A11" s="515" t="s">
        <v>2529</v>
      </c>
      <c r="B11" s="552"/>
      <c r="C11" s="766">
        <v>0</v>
      </c>
      <c r="D11" s="766">
        <v>-1147145</v>
      </c>
      <c r="E11" s="805">
        <v>1</v>
      </c>
      <c r="F11" s="767">
        <f t="shared" si="0"/>
        <v>-1147145</v>
      </c>
      <c r="G11" s="501"/>
      <c r="H11" s="510"/>
      <c r="I11" s="510"/>
      <c r="J11" s="510"/>
      <c r="K11" s="510"/>
      <c r="L11" s="352"/>
      <c r="M11" s="352"/>
    </row>
    <row r="12" spans="1:13">
      <c r="A12" s="515" t="s">
        <v>2530</v>
      </c>
      <c r="B12" s="552" t="s">
        <v>2545</v>
      </c>
      <c r="C12" s="766">
        <v>-11607518</v>
      </c>
      <c r="D12" s="796">
        <f>-('WS12-SSCD'!C16)</f>
        <v>-11710576.760590237</v>
      </c>
      <c r="E12" s="805">
        <v>1</v>
      </c>
      <c r="F12" s="767">
        <f t="shared" si="0"/>
        <v>-103058.76059023663</v>
      </c>
      <c r="G12" s="501"/>
      <c r="H12" s="510"/>
      <c r="I12" s="510"/>
      <c r="J12" s="510"/>
      <c r="K12" s="510"/>
      <c r="L12" s="352"/>
      <c r="M12" s="352"/>
    </row>
    <row r="13" spans="1:13">
      <c r="A13" s="515" t="s">
        <v>2531</v>
      </c>
      <c r="B13" s="552"/>
      <c r="C13" s="766">
        <v>-103100</v>
      </c>
      <c r="D13" s="766">
        <v>-79567</v>
      </c>
      <c r="E13" s="805">
        <v>1</v>
      </c>
      <c r="F13" s="767">
        <f t="shared" si="0"/>
        <v>23533</v>
      </c>
      <c r="G13" s="501"/>
      <c r="H13" s="510"/>
      <c r="I13" s="510"/>
      <c r="J13" s="510"/>
      <c r="K13" s="510"/>
      <c r="L13" s="352"/>
      <c r="M13" s="352"/>
    </row>
    <row r="14" spans="1:13">
      <c r="A14" s="515" t="s">
        <v>2532</v>
      </c>
      <c r="B14" s="552"/>
      <c r="C14" s="766">
        <v>0</v>
      </c>
      <c r="D14" s="766">
        <v>0</v>
      </c>
      <c r="E14" s="805">
        <v>1</v>
      </c>
      <c r="F14" s="767">
        <f t="shared" si="0"/>
        <v>0</v>
      </c>
      <c r="G14" s="501"/>
      <c r="H14" s="510"/>
      <c r="I14" s="510"/>
      <c r="J14" s="510"/>
      <c r="K14" s="510"/>
      <c r="L14" s="352"/>
      <c r="M14" s="352"/>
    </row>
    <row r="15" spans="1:13" ht="15" thickBot="1">
      <c r="A15" s="768" t="s">
        <v>2298</v>
      </c>
      <c r="B15" s="539"/>
      <c r="C15" s="769">
        <f>SUM(C9:C14)</f>
        <v>-17521618</v>
      </c>
      <c r="D15" s="769">
        <f>SUM(D9:D14)</f>
        <v>-22961119.760590237</v>
      </c>
      <c r="E15" s="810"/>
      <c r="F15" s="770">
        <f>SUM(F9:F14)</f>
        <v>-5439501.7605902366</v>
      </c>
      <c r="G15" s="501"/>
      <c r="H15" s="510"/>
      <c r="I15" s="510"/>
      <c r="J15" s="510"/>
      <c r="K15" s="510"/>
      <c r="L15" s="352"/>
      <c r="M15" s="352"/>
    </row>
    <row r="16" spans="1:13" ht="15" thickTop="1">
      <c r="A16" s="357" t="s">
        <v>2299</v>
      </c>
      <c r="B16" s="356"/>
      <c r="C16" s="766">
        <f>195354</f>
        <v>195354</v>
      </c>
      <c r="D16" s="766">
        <f>C16</f>
        <v>195354</v>
      </c>
      <c r="E16" s="811"/>
      <c r="F16" s="767">
        <f>C16-D16</f>
        <v>0</v>
      </c>
      <c r="G16" s="501"/>
      <c r="H16" s="510"/>
      <c r="I16" s="510"/>
      <c r="J16" s="510"/>
      <c r="K16" s="510"/>
      <c r="L16" s="352"/>
      <c r="M16" s="352"/>
    </row>
    <row r="17" spans="1:13" ht="15" thickBot="1">
      <c r="A17" s="749" t="s">
        <v>2427</v>
      </c>
      <c r="B17" s="663" t="s">
        <v>2544</v>
      </c>
      <c r="C17" s="771">
        <f>C8+C15+C16</f>
        <v>133279878</v>
      </c>
      <c r="D17" s="771">
        <f>D8+D15+D16</f>
        <v>131669781.25201802</v>
      </c>
      <c r="E17" s="812"/>
      <c r="F17" s="772">
        <f>D17-C17</f>
        <v>-1610096.7479819804</v>
      </c>
      <c r="G17" s="501"/>
      <c r="H17" s="510"/>
      <c r="I17" s="510"/>
      <c r="J17" s="510"/>
      <c r="K17" s="510"/>
      <c r="L17" s="352"/>
      <c r="M17" s="352"/>
    </row>
    <row r="18" spans="1:13" ht="15" thickTop="1">
      <c r="A18" s="773" t="s">
        <v>2428</v>
      </c>
      <c r="B18" s="788"/>
      <c r="C18" s="766">
        <f>-133279878</f>
        <v>-133279878</v>
      </c>
      <c r="D18" s="766">
        <f>-133422940</f>
        <v>-133422940</v>
      </c>
      <c r="E18" s="811"/>
      <c r="F18" s="767">
        <f>D18-C18</f>
        <v>-143062</v>
      </c>
      <c r="G18" s="521"/>
      <c r="H18" s="510"/>
      <c r="I18" s="510"/>
      <c r="J18" s="510"/>
      <c r="K18" s="510"/>
      <c r="L18" s="352"/>
      <c r="M18" s="352"/>
    </row>
    <row r="19" spans="1:13" ht="15" thickBot="1">
      <c r="A19" s="768" t="s">
        <v>2613</v>
      </c>
      <c r="B19" s="539"/>
      <c r="C19" s="769">
        <f>C8+C15+C16+C18</f>
        <v>0</v>
      </c>
      <c r="D19" s="769">
        <f>D8+D15+D16+D18</f>
        <v>-1753158.7479819804</v>
      </c>
      <c r="E19" s="810"/>
      <c r="F19" s="772">
        <f>F17+F18</f>
        <v>-1753158.7479819804</v>
      </c>
      <c r="G19" s="501"/>
      <c r="H19" s="510"/>
      <c r="I19" s="510"/>
      <c r="J19" s="510"/>
      <c r="K19" s="510"/>
      <c r="L19" s="352"/>
      <c r="M19" s="352"/>
    </row>
    <row r="20" spans="1:13" ht="15" thickTop="1">
      <c r="A20" s="774"/>
      <c r="B20" s="795"/>
      <c r="C20" s="505"/>
      <c r="D20" s="505"/>
      <c r="E20" s="806"/>
      <c r="F20" s="775"/>
    </row>
    <row r="21" spans="1:13">
      <c r="A21" s="357" t="s">
        <v>2534</v>
      </c>
      <c r="B21" s="356" t="s">
        <v>2546</v>
      </c>
      <c r="C21" s="505"/>
      <c r="D21" s="505"/>
      <c r="E21" s="806"/>
      <c r="F21" s="775"/>
    </row>
    <row r="22" spans="1:13">
      <c r="A22" s="357" t="s">
        <v>2535</v>
      </c>
      <c r="B22" s="356" t="s">
        <v>2546</v>
      </c>
      <c r="C22" s="505"/>
      <c r="D22" s="505"/>
      <c r="E22" s="806"/>
      <c r="F22" s="775"/>
    </row>
    <row r="23" spans="1:13">
      <c r="A23" s="357" t="s">
        <v>2536</v>
      </c>
      <c r="B23" s="356" t="s">
        <v>2546</v>
      </c>
      <c r="C23" s="505"/>
      <c r="D23" s="505"/>
      <c r="E23" s="806"/>
      <c r="F23" s="775"/>
    </row>
    <row r="24" spans="1:13">
      <c r="A24" s="357" t="s">
        <v>2537</v>
      </c>
      <c r="B24" s="356"/>
      <c r="C24" s="505"/>
      <c r="D24" s="505"/>
      <c r="E24" s="806"/>
      <c r="F24" s="775"/>
    </row>
    <row r="25" spans="1:13">
      <c r="A25" s="357" t="s">
        <v>2538</v>
      </c>
      <c r="B25" s="356" t="s">
        <v>2546</v>
      </c>
      <c r="C25" s="505"/>
      <c r="D25" s="505"/>
      <c r="E25" s="806"/>
      <c r="F25" s="775"/>
    </row>
    <row r="26" spans="1:13">
      <c r="A26" s="774"/>
      <c r="B26" s="795"/>
      <c r="C26" s="505"/>
      <c r="D26" s="505"/>
      <c r="E26" s="806"/>
      <c r="F26" s="775"/>
    </row>
    <row r="27" spans="1:13">
      <c r="A27" s="357" t="s">
        <v>2539</v>
      </c>
      <c r="B27" s="356" t="s">
        <v>2546</v>
      </c>
      <c r="C27" s="505"/>
      <c r="D27" s="505"/>
      <c r="E27" s="806"/>
      <c r="F27" s="775"/>
    </row>
    <row r="28" spans="1:13">
      <c r="A28" s="357" t="s">
        <v>2535</v>
      </c>
      <c r="B28" s="356" t="s">
        <v>2546</v>
      </c>
      <c r="C28" s="505"/>
      <c r="D28" s="505"/>
      <c r="E28" s="806"/>
      <c r="F28" s="775"/>
    </row>
    <row r="29" spans="1:13">
      <c r="A29" s="357" t="s">
        <v>2540</v>
      </c>
      <c r="B29" s="356"/>
      <c r="C29" s="505"/>
      <c r="D29" s="505"/>
      <c r="E29" s="806"/>
      <c r="F29" s="775"/>
    </row>
    <row r="30" spans="1:13">
      <c r="A30" s="357" t="s">
        <v>2537</v>
      </c>
      <c r="B30" s="356"/>
      <c r="C30" s="505"/>
      <c r="D30" s="505"/>
      <c r="E30" s="806"/>
      <c r="F30" s="775"/>
    </row>
    <row r="31" spans="1:13">
      <c r="A31" s="357" t="s">
        <v>2541</v>
      </c>
      <c r="B31" s="356" t="s">
        <v>2546</v>
      </c>
      <c r="C31" s="505"/>
      <c r="D31" s="505"/>
      <c r="E31" s="806"/>
      <c r="F31" s="775"/>
    </row>
    <row r="32" spans="1:13">
      <c r="A32" s="774"/>
      <c r="B32" s="795"/>
      <c r="C32" s="505"/>
      <c r="D32" s="505"/>
      <c r="E32" s="806"/>
      <c r="F32" s="775"/>
    </row>
    <row r="33" spans="1:6">
      <c r="A33" s="357" t="s">
        <v>2533</v>
      </c>
      <c r="B33" s="356"/>
      <c r="C33" s="505"/>
      <c r="D33" s="505"/>
      <c r="E33" s="806"/>
      <c r="F33" s="775"/>
    </row>
    <row r="34" spans="1:6">
      <c r="A34" s="774"/>
      <c r="B34" s="795"/>
      <c r="C34" s="505"/>
      <c r="D34" s="505"/>
      <c r="E34" s="806"/>
      <c r="F34" s="775"/>
    </row>
    <row r="35" spans="1:6">
      <c r="A35" s="774"/>
      <c r="B35" s="795"/>
      <c r="C35" s="505"/>
      <c r="D35" s="505"/>
      <c r="E35" s="806"/>
      <c r="F35" s="775"/>
    </row>
    <row r="36" spans="1:6">
      <c r="A36" s="774"/>
      <c r="B36" s="795"/>
      <c r="C36" s="505"/>
      <c r="D36" s="505"/>
      <c r="E36" s="806"/>
      <c r="F36" s="775"/>
    </row>
    <row r="37" spans="1:6">
      <c r="A37" s="774"/>
      <c r="B37" s="795"/>
      <c r="C37" s="505"/>
      <c r="D37" s="505"/>
      <c r="E37" s="806"/>
      <c r="F37" s="775"/>
    </row>
    <row r="38" spans="1:6">
      <c r="A38" s="774"/>
      <c r="B38" s="795"/>
      <c r="C38" s="505"/>
      <c r="D38" s="505"/>
      <c r="E38" s="806"/>
      <c r="F38" s="775"/>
    </row>
    <row r="39" spans="1:6">
      <c r="A39" s="774"/>
      <c r="B39" s="795"/>
      <c r="C39" s="505"/>
      <c r="D39" s="505"/>
      <c r="E39" s="806"/>
      <c r="F39" s="775"/>
    </row>
    <row r="40" spans="1:6">
      <c r="A40" s="774"/>
      <c r="B40" s="795"/>
      <c r="C40" s="505"/>
      <c r="D40" s="505"/>
      <c r="E40" s="806"/>
      <c r="F40" s="775"/>
    </row>
    <row r="41" spans="1:6">
      <c r="A41" s="774"/>
      <c r="B41" s="795"/>
      <c r="C41" s="505"/>
      <c r="D41" s="505"/>
      <c r="E41" s="806"/>
      <c r="F41" s="775"/>
    </row>
    <row r="42" spans="1:6">
      <c r="A42" s="774"/>
      <c r="B42" s="795"/>
      <c r="C42" s="505"/>
      <c r="D42" s="505"/>
      <c r="E42" s="806"/>
      <c r="F42" s="775"/>
    </row>
    <row r="43" spans="1:6">
      <c r="A43" s="774"/>
      <c r="B43" s="795"/>
      <c r="C43" s="505"/>
      <c r="D43" s="505"/>
      <c r="E43" s="806"/>
      <c r="F43" s="775"/>
    </row>
    <row r="44" spans="1:6" ht="31.5" customHeight="1">
      <c r="A44" s="841" t="s">
        <v>2429</v>
      </c>
      <c r="B44" s="842"/>
      <c r="C44" s="842"/>
      <c r="D44" s="797">
        <f>'WS12-SSCD'!C18</f>
        <v>10843410.689535052</v>
      </c>
      <c r="E44" s="814"/>
      <c r="F44" s="776"/>
    </row>
    <row r="45" spans="1:6">
      <c r="A45" s="841" t="s">
        <v>2430</v>
      </c>
      <c r="B45" s="842"/>
      <c r="C45" s="842"/>
      <c r="D45" s="798">
        <f>-9248597</f>
        <v>-9248597</v>
      </c>
      <c r="E45" s="814"/>
      <c r="F45" s="777"/>
    </row>
    <row r="46" spans="1:6" ht="27" customHeight="1" thickBot="1">
      <c r="A46" s="847" t="s">
        <v>2614</v>
      </c>
      <c r="B46" s="848"/>
      <c r="C46" s="848"/>
      <c r="D46" s="799">
        <f>D44+D45</f>
        <v>1594813.6895350516</v>
      </c>
      <c r="E46" s="815"/>
      <c r="F46" s="778"/>
    </row>
    <row r="47" spans="1:6" ht="42" customHeight="1" thickTop="1">
      <c r="A47" s="841" t="s">
        <v>2431</v>
      </c>
      <c r="B47" s="842"/>
      <c r="C47" s="842"/>
      <c r="D47" s="797">
        <f>'WS14-Reg'!C14</f>
        <v>297745.97816663596</v>
      </c>
      <c r="E47" s="811"/>
      <c r="F47" s="776"/>
    </row>
    <row r="48" spans="1:6">
      <c r="A48" s="849" t="s">
        <v>2432</v>
      </c>
      <c r="B48" s="850"/>
      <c r="C48" s="850"/>
      <c r="D48" s="798">
        <f>-188791</f>
        <v>-188791</v>
      </c>
      <c r="E48" s="814"/>
      <c r="F48" s="777"/>
    </row>
    <row r="49" spans="1:6" ht="25.5" customHeight="1" thickBot="1">
      <c r="A49" s="847" t="s">
        <v>2615</v>
      </c>
      <c r="B49" s="848"/>
      <c r="C49" s="848"/>
      <c r="D49" s="799">
        <f>D47+D48</f>
        <v>108954.97816663596</v>
      </c>
      <c r="E49" s="815"/>
      <c r="F49" s="778"/>
    </row>
    <row r="50" spans="1:6" ht="29.25" customHeight="1" thickTop="1">
      <c r="A50" s="841" t="s">
        <v>2433</v>
      </c>
      <c r="B50" s="842"/>
      <c r="C50" s="842"/>
      <c r="D50" s="797">
        <f>'WS15-Res'!C16</f>
        <v>267638.72205137747</v>
      </c>
      <c r="E50" s="811"/>
      <c r="F50" s="776"/>
    </row>
    <row r="51" spans="1:6" ht="26.25" customHeight="1">
      <c r="A51" s="843" t="s">
        <v>2432</v>
      </c>
      <c r="B51" s="844"/>
      <c r="C51" s="844"/>
      <c r="D51" s="802">
        <f>-174628</f>
        <v>-174628</v>
      </c>
      <c r="E51" s="805"/>
      <c r="F51" s="777"/>
    </row>
    <row r="52" spans="1:6" ht="27" customHeight="1">
      <c r="A52" s="845" t="s">
        <v>2616</v>
      </c>
      <c r="B52" s="846"/>
      <c r="C52" s="846"/>
      <c r="D52" s="800">
        <f>D50+D51</f>
        <v>93010.722051377466</v>
      </c>
      <c r="E52" s="807"/>
      <c r="F52" s="775"/>
    </row>
    <row r="53" spans="1:6">
      <c r="A53" s="357" t="s">
        <v>2434</v>
      </c>
      <c r="B53" s="356"/>
      <c r="C53" s="779"/>
      <c r="D53" s="552"/>
      <c r="E53" s="805"/>
      <c r="F53" s="780"/>
    </row>
    <row r="54" spans="1:6" ht="15" thickBot="1">
      <c r="A54" s="713"/>
      <c r="B54" s="781"/>
      <c r="C54" s="781"/>
      <c r="D54" s="781"/>
      <c r="E54" s="808"/>
      <c r="F54" s="782"/>
    </row>
  </sheetData>
  <mergeCells count="11">
    <mergeCell ref="A4:F4"/>
    <mergeCell ref="A5:F5"/>
    <mergeCell ref="A50:C50"/>
    <mergeCell ref="A51:C51"/>
    <mergeCell ref="A52:C52"/>
    <mergeCell ref="A46:C46"/>
    <mergeCell ref="A47:C47"/>
    <mergeCell ref="A49:C49"/>
    <mergeCell ref="A48:C48"/>
    <mergeCell ref="A45:C45"/>
    <mergeCell ref="A44:C44"/>
  </mergeCells>
  <printOptions horizontalCentered="1" verticalCentered="1"/>
  <pageMargins left="0.7" right="0.7" top="0.75" bottom="0.75" header="0.3" footer="0.3"/>
  <pageSetup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1"/>
  <sheetViews>
    <sheetView view="pageBreakPreview" zoomScale="115" zoomScaleNormal="75" zoomScaleSheetLayoutView="115" workbookViewId="0">
      <selection activeCell="A3" sqref="A3"/>
    </sheetView>
  </sheetViews>
  <sheetFormatPr defaultColWidth="9.1796875" defaultRowHeight="13"/>
  <cols>
    <col min="1" max="1" width="7.7265625" style="36" customWidth="1"/>
    <col min="2" max="2" width="53.453125" style="36" customWidth="1"/>
    <col min="3" max="3" width="25.453125" style="36" customWidth="1"/>
    <col min="4" max="4" width="20" style="36" customWidth="1"/>
    <col min="5" max="5" width="13.1796875" style="39" customWidth="1"/>
    <col min="6" max="6" width="14.1796875" style="38" customWidth="1"/>
    <col min="7" max="7" width="7.81640625" style="36" customWidth="1"/>
    <col min="8" max="8" width="18.26953125" style="36" customWidth="1"/>
    <col min="9" max="9" width="15.54296875" style="36" customWidth="1"/>
    <col min="10" max="10" width="34" style="37" customWidth="1"/>
    <col min="11" max="11" width="21.26953125" style="37" customWidth="1"/>
    <col min="12" max="12" width="20.81640625" style="37" customWidth="1"/>
    <col min="13" max="13" width="19.7265625" style="37" customWidth="1"/>
    <col min="14" max="14" width="22.453125" style="37" customWidth="1"/>
    <col min="15" max="15" width="15.54296875" style="37" customWidth="1"/>
    <col min="16" max="16384" width="9.1796875" style="36"/>
  </cols>
  <sheetData>
    <row r="1" spans="1:12">
      <c r="A1" s="347" t="str">
        <f>'Cover Sheets'!A10:D10</f>
        <v>WAPA-UGP 2018 Rate True-up Calculation</v>
      </c>
      <c r="B1" s="187"/>
      <c r="C1" s="346"/>
      <c r="D1" s="346"/>
      <c r="E1" s="340"/>
      <c r="F1" s="345"/>
      <c r="G1" s="345"/>
      <c r="H1" s="345"/>
      <c r="I1" s="345"/>
      <c r="J1" s="53"/>
    </row>
    <row r="2" spans="1:12">
      <c r="A2" s="281" t="s">
        <v>2556</v>
      </c>
      <c r="B2" s="203"/>
      <c r="C2" s="344"/>
      <c r="D2" s="343"/>
      <c r="E2" s="339"/>
      <c r="F2" s="342"/>
      <c r="G2" s="336"/>
      <c r="H2" s="342"/>
      <c r="I2" s="342"/>
      <c r="J2" s="53"/>
      <c r="L2" s="53"/>
    </row>
    <row r="3" spans="1:12">
      <c r="A3" s="161" t="s">
        <v>1214</v>
      </c>
      <c r="B3" s="203"/>
      <c r="C3" s="344"/>
      <c r="D3" s="343"/>
      <c r="E3" s="339"/>
      <c r="F3" s="342"/>
      <c r="G3" s="336"/>
      <c r="H3" s="342"/>
      <c r="I3" s="342"/>
      <c r="J3" s="53"/>
      <c r="L3" s="53"/>
    </row>
    <row r="4" spans="1:12">
      <c r="A4" s="518" t="s">
        <v>2435</v>
      </c>
      <c r="B4" s="344"/>
      <c r="C4" s="344"/>
      <c r="D4" s="343"/>
      <c r="E4" s="339"/>
      <c r="F4" s="342"/>
      <c r="G4" s="336"/>
      <c r="H4" s="341" t="s">
        <v>1213</v>
      </c>
      <c r="I4" s="342"/>
      <c r="J4" s="53"/>
      <c r="L4" s="53"/>
    </row>
    <row r="5" spans="1:12">
      <c r="A5" s="340" t="s">
        <v>1212</v>
      </c>
      <c r="B5" s="336"/>
      <c r="C5" s="341" t="s">
        <v>1211</v>
      </c>
      <c r="D5" s="341" t="s">
        <v>1210</v>
      </c>
      <c r="F5" s="341" t="s">
        <v>1209</v>
      </c>
      <c r="G5" s="336"/>
      <c r="H5" s="341" t="s">
        <v>1208</v>
      </c>
      <c r="I5" s="336"/>
      <c r="J5" s="53"/>
      <c r="L5" s="53"/>
    </row>
    <row r="6" spans="1:12" ht="13.5" thickBot="1">
      <c r="A6" s="196" t="s">
        <v>1207</v>
      </c>
      <c r="B6" s="340" t="s">
        <v>1206</v>
      </c>
      <c r="C6" s="340" t="s">
        <v>1205</v>
      </c>
      <c r="D6" s="340" t="s">
        <v>1204</v>
      </c>
      <c r="E6" s="339"/>
      <c r="F6" s="338" t="s">
        <v>1203</v>
      </c>
      <c r="G6" s="336"/>
      <c r="H6" s="337" t="s">
        <v>1202</v>
      </c>
      <c r="I6" s="336"/>
      <c r="J6" s="53"/>
      <c r="L6" s="53"/>
    </row>
    <row r="7" spans="1:12" ht="13.5" thickBot="1">
      <c r="A7" s="246">
        <v>1</v>
      </c>
      <c r="B7" s="335" t="s">
        <v>1201</v>
      </c>
      <c r="C7" s="334" t="str">
        <f>"(line "&amp;A91&amp;")"</f>
        <v>(line 70)</v>
      </c>
      <c r="D7" s="333"/>
      <c r="E7" s="332"/>
      <c r="F7" s="241"/>
      <c r="G7" s="242"/>
      <c r="H7" s="331">
        <f>+H91</f>
        <v>154435547.01260826</v>
      </c>
      <c r="I7" s="330"/>
      <c r="J7" s="53"/>
      <c r="L7" s="53"/>
    </row>
    <row r="8" spans="1:12" ht="13.5" thickTop="1">
      <c r="A8" s="172">
        <f>A7+1</f>
        <v>2</v>
      </c>
      <c r="B8" s="166" t="s">
        <v>1049</v>
      </c>
      <c r="C8" s="329" t="s">
        <v>1200</v>
      </c>
      <c r="D8" s="328"/>
      <c r="E8" s="299"/>
      <c r="F8" s="183"/>
      <c r="G8" s="162"/>
      <c r="H8" s="790">
        <f>(-'Summary-TrueUp'!D15)</f>
        <v>22961119.760590237</v>
      </c>
      <c r="I8" s="160"/>
      <c r="J8" s="53"/>
      <c r="L8" s="53"/>
    </row>
    <row r="9" spans="1:12">
      <c r="A9" s="172">
        <f>A8+1</f>
        <v>3</v>
      </c>
      <c r="B9" s="166" t="s">
        <v>1199</v>
      </c>
      <c r="C9" s="325"/>
      <c r="D9" s="162"/>
      <c r="E9" s="296"/>
      <c r="F9" s="183"/>
      <c r="G9" s="162"/>
      <c r="H9" s="326">
        <v>195354</v>
      </c>
      <c r="I9" s="160"/>
      <c r="J9" s="53"/>
      <c r="L9" s="53"/>
    </row>
    <row r="10" spans="1:12">
      <c r="A10" s="172">
        <f t="shared" ref="A10:A11" si="0">A9+1</f>
        <v>4</v>
      </c>
      <c r="B10" s="525" t="s">
        <v>2533</v>
      </c>
      <c r="C10" s="325"/>
      <c r="D10" s="162"/>
      <c r="E10" s="296"/>
      <c r="F10" s="183"/>
      <c r="G10" s="162"/>
      <c r="H10" s="326">
        <v>0</v>
      </c>
      <c r="I10" s="160"/>
      <c r="J10" s="53"/>
      <c r="L10" s="53"/>
    </row>
    <row r="11" spans="1:12" ht="13.5" thickBot="1">
      <c r="A11" s="172">
        <f t="shared" si="0"/>
        <v>5</v>
      </c>
      <c r="B11" s="184" t="s">
        <v>1198</v>
      </c>
      <c r="C11" s="291" t="str">
        <f>"(line "&amp;A7&amp;" - line "&amp;A8&amp;" - line "&amp;A9&amp;" - line "&amp;A10&amp;")"</f>
        <v>(line 1 - line 2 - line 3 - line 4)</v>
      </c>
      <c r="D11" s="324" t="s">
        <v>240</v>
      </c>
      <c r="E11" s="290"/>
      <c r="F11" s="177"/>
      <c r="G11" s="154"/>
      <c r="H11" s="323">
        <f>+H7-H8+H9</f>
        <v>131669781.25201802</v>
      </c>
      <c r="I11" s="287"/>
      <c r="J11" s="53"/>
      <c r="L11" s="53"/>
    </row>
    <row r="12" spans="1:12">
      <c r="A12" s="246"/>
      <c r="B12" s="245" t="s">
        <v>1197</v>
      </c>
      <c r="C12" s="322"/>
      <c r="D12" s="322"/>
      <c r="E12" s="321"/>
      <c r="F12" s="320"/>
      <c r="G12" s="319"/>
      <c r="H12" s="318" t="s">
        <v>1196</v>
      </c>
      <c r="I12" s="317"/>
      <c r="J12" s="53"/>
      <c r="L12" s="53"/>
    </row>
    <row r="13" spans="1:12">
      <c r="A13" s="172"/>
      <c r="B13" s="187" t="s">
        <v>1195</v>
      </c>
      <c r="C13" s="273" t="s">
        <v>1194</v>
      </c>
      <c r="D13" s="273"/>
      <c r="E13" s="299"/>
      <c r="F13" s="262"/>
      <c r="G13" s="298"/>
      <c r="H13" s="161"/>
      <c r="I13" s="173"/>
      <c r="J13" s="53"/>
      <c r="L13" s="53"/>
    </row>
    <row r="14" spans="1:12">
      <c r="A14" s="172">
        <f>A11+1</f>
        <v>6</v>
      </c>
      <c r="B14" s="187" t="s">
        <v>1095</v>
      </c>
      <c r="C14" s="301" t="s">
        <v>1193</v>
      </c>
      <c r="D14" s="316">
        <f>F197</f>
        <v>1122773597.0711999</v>
      </c>
      <c r="E14" s="299" t="s">
        <v>487</v>
      </c>
      <c r="F14" s="278" t="s">
        <v>240</v>
      </c>
      <c r="G14" s="298"/>
      <c r="H14" s="161" t="s">
        <v>240</v>
      </c>
      <c r="I14" s="173"/>
    </row>
    <row r="15" spans="1:12">
      <c r="A15" s="172">
        <f>A14+1</f>
        <v>7</v>
      </c>
      <c r="B15" s="187" t="s">
        <v>1094</v>
      </c>
      <c r="C15" s="301" t="s">
        <v>1193</v>
      </c>
      <c r="D15" s="316">
        <f>F198</f>
        <v>1428641954.3317072</v>
      </c>
      <c r="E15" s="299" t="s">
        <v>1097</v>
      </c>
      <c r="F15" s="278">
        <f>H104</f>
        <v>1</v>
      </c>
      <c r="G15" s="298"/>
      <c r="H15" s="163">
        <f>+F15*D15</f>
        <v>1428641954.3317072</v>
      </c>
      <c r="I15" s="173"/>
    </row>
    <row r="16" spans="1:12">
      <c r="A16" s="172">
        <f>A15+1</f>
        <v>8</v>
      </c>
      <c r="B16" s="187" t="s">
        <v>1093</v>
      </c>
      <c r="C16" s="301" t="s">
        <v>1193</v>
      </c>
      <c r="D16" s="316">
        <f>F199</f>
        <v>53561034.054592967</v>
      </c>
      <c r="E16" s="299" t="s">
        <v>487</v>
      </c>
      <c r="F16" s="278" t="s">
        <v>240</v>
      </c>
      <c r="G16" s="298"/>
      <c r="H16" s="163" t="s">
        <v>240</v>
      </c>
      <c r="I16" s="315"/>
    </row>
    <row r="17" spans="1:12" ht="26">
      <c r="A17" s="172">
        <f>A16+1</f>
        <v>9</v>
      </c>
      <c r="B17" s="217" t="s">
        <v>1192</v>
      </c>
      <c r="C17" s="308" t="s">
        <v>1191</v>
      </c>
      <c r="D17" s="506">
        <v>0</v>
      </c>
      <c r="E17" s="306" t="s">
        <v>1137</v>
      </c>
      <c r="F17" s="305">
        <f>H112</f>
        <v>1</v>
      </c>
      <c r="G17" s="304"/>
      <c r="H17" s="303">
        <f>+F17*D17</f>
        <v>0</v>
      </c>
      <c r="I17" s="173"/>
    </row>
    <row r="18" spans="1:12">
      <c r="A18" s="172">
        <f>A17+1</f>
        <v>10</v>
      </c>
      <c r="B18" s="187" t="s">
        <v>1151</v>
      </c>
      <c r="C18" s="273"/>
      <c r="D18" s="507">
        <v>0</v>
      </c>
      <c r="E18" s="299" t="s">
        <v>1072</v>
      </c>
      <c r="F18" s="278">
        <f>I125</f>
        <v>0</v>
      </c>
      <c r="G18" s="298"/>
      <c r="H18" s="163">
        <f>+F18*D18</f>
        <v>0</v>
      </c>
      <c r="I18" s="173"/>
    </row>
    <row r="19" spans="1:12">
      <c r="A19" s="172">
        <f>A18+1</f>
        <v>11</v>
      </c>
      <c r="B19" s="187" t="s">
        <v>1190</v>
      </c>
      <c r="C19" s="273" t="str">
        <f>"(sum lines "&amp;A14&amp;" to "&amp;A18&amp;")"</f>
        <v>(sum lines 6 to 10)</v>
      </c>
      <c r="D19" s="257">
        <f>SUM(D14:D18)</f>
        <v>2604976585.4575005</v>
      </c>
      <c r="E19" s="299" t="s">
        <v>1189</v>
      </c>
      <c r="F19" s="309">
        <f>IF(H19&gt;0,H19/D19,0)</f>
        <v>0.54842794453785892</v>
      </c>
      <c r="G19" s="298"/>
      <c r="H19" s="254">
        <f>SUM(H14:H18)</f>
        <v>1428641954.3317072</v>
      </c>
      <c r="I19" s="313"/>
    </row>
    <row r="20" spans="1:12">
      <c r="A20" s="172"/>
      <c r="B20" s="187" t="s">
        <v>1188</v>
      </c>
      <c r="C20" s="264"/>
      <c r="D20" s="273"/>
      <c r="E20" s="310"/>
      <c r="F20" s="262"/>
      <c r="G20" s="161"/>
      <c r="H20" s="262"/>
      <c r="I20" s="268"/>
    </row>
    <row r="21" spans="1:12">
      <c r="A21" s="172">
        <f>A19+1</f>
        <v>12</v>
      </c>
      <c r="B21" s="203" t="str">
        <f>+B14</f>
        <v xml:space="preserve">  Production</v>
      </c>
      <c r="C21" s="301" t="s">
        <v>1147</v>
      </c>
      <c r="D21" s="273">
        <f>F206</f>
        <v>585679193.1716882</v>
      </c>
      <c r="E21" s="299" t="str">
        <f>+E14</f>
        <v>NA</v>
      </c>
      <c r="F21" s="278" t="str">
        <f>+F14</f>
        <v xml:space="preserve"> </v>
      </c>
      <c r="G21" s="298"/>
      <c r="H21" s="163" t="s">
        <v>240</v>
      </c>
      <c r="I21" s="268"/>
    </row>
    <row r="22" spans="1:12">
      <c r="A22" s="172">
        <f>A21+1</f>
        <v>13</v>
      </c>
      <c r="B22" s="203" t="str">
        <f>+B15</f>
        <v xml:space="preserve">  Transmission</v>
      </c>
      <c r="C22" s="301" t="s">
        <v>1147</v>
      </c>
      <c r="D22" s="273">
        <f>F207</f>
        <v>693338313.67936575</v>
      </c>
      <c r="E22" s="299" t="str">
        <f>+E15</f>
        <v>TP</v>
      </c>
      <c r="F22" s="278">
        <f>H104</f>
        <v>1</v>
      </c>
      <c r="G22" s="298"/>
      <c r="H22" s="163">
        <f>+F22*D22</f>
        <v>693338313.67936575</v>
      </c>
      <c r="I22" s="268"/>
    </row>
    <row r="23" spans="1:12">
      <c r="A23" s="172">
        <f>A22+1</f>
        <v>14</v>
      </c>
      <c r="B23" s="203" t="str">
        <f>+B16</f>
        <v xml:space="preserve">  Distribution</v>
      </c>
      <c r="C23" s="301" t="s">
        <v>1147</v>
      </c>
      <c r="D23" s="273">
        <f>F208</f>
        <v>25894062.558891177</v>
      </c>
      <c r="E23" s="299" t="str">
        <f>+E16</f>
        <v>NA</v>
      </c>
      <c r="F23" s="278" t="str">
        <f>+F16</f>
        <v xml:space="preserve"> </v>
      </c>
      <c r="G23" s="298"/>
      <c r="H23" s="163" t="s">
        <v>240</v>
      </c>
      <c r="I23" s="268"/>
    </row>
    <row r="24" spans="1:12" ht="26">
      <c r="A24" s="172">
        <f>A23+1</f>
        <v>15</v>
      </c>
      <c r="B24" s="314" t="str">
        <f>+B17</f>
        <v xml:space="preserve">  General &amp; Intangible</v>
      </c>
      <c r="C24" s="308" t="s">
        <v>1187</v>
      </c>
      <c r="D24" s="307">
        <v>0</v>
      </c>
      <c r="E24" s="306" t="str">
        <f>+E17</f>
        <v>W/S</v>
      </c>
      <c r="F24" s="305">
        <f>+F17</f>
        <v>1</v>
      </c>
      <c r="G24" s="304"/>
      <c r="H24" s="303">
        <f>+F24*D24</f>
        <v>0</v>
      </c>
      <c r="I24" s="268"/>
    </row>
    <row r="25" spans="1:12">
      <c r="A25" s="172">
        <f>A24+1</f>
        <v>16</v>
      </c>
      <c r="B25" s="203" t="str">
        <f>+B18</f>
        <v xml:space="preserve">  Common</v>
      </c>
      <c r="C25" s="273"/>
      <c r="D25" s="311">
        <v>0</v>
      </c>
      <c r="E25" s="299" t="str">
        <f>+E18</f>
        <v>CE</v>
      </c>
      <c r="F25" s="278">
        <f>+F18</f>
        <v>0</v>
      </c>
      <c r="G25" s="298"/>
      <c r="H25" s="163">
        <f>+F25*D25</f>
        <v>0</v>
      </c>
      <c r="I25" s="173"/>
    </row>
    <row r="26" spans="1:12">
      <c r="A26" s="172">
        <f>A25+1</f>
        <v>17</v>
      </c>
      <c r="B26" s="187" t="s">
        <v>1186</v>
      </c>
      <c r="C26" s="264" t="str">
        <f>"(sum lines "&amp;A21&amp;" to "&amp;A25&amp;")"</f>
        <v>(sum lines 12 to 16)</v>
      </c>
      <c r="D26" s="257">
        <f>SUM(D21:D25)</f>
        <v>1304911569.409945</v>
      </c>
      <c r="E26" s="310"/>
      <c r="F26" s="262"/>
      <c r="G26" s="298"/>
      <c r="H26" s="254">
        <f>SUM(H21:H25)</f>
        <v>693338313.67936575</v>
      </c>
      <c r="I26" s="313"/>
    </row>
    <row r="27" spans="1:12">
      <c r="A27" s="172"/>
      <c r="B27" s="187" t="s">
        <v>1185</v>
      </c>
      <c r="C27" s="273"/>
      <c r="D27" s="273"/>
      <c r="E27" s="299"/>
      <c r="F27" s="262"/>
      <c r="G27" s="161"/>
      <c r="H27" s="262"/>
      <c r="I27" s="268"/>
    </row>
    <row r="28" spans="1:12">
      <c r="A28" s="172">
        <f>A26+1</f>
        <v>18</v>
      </c>
      <c r="B28" s="203" t="str">
        <f>+B21</f>
        <v xml:space="preserve">  Production</v>
      </c>
      <c r="C28" s="273" t="str">
        <f>"(line "&amp;A14&amp; " - line "&amp;A21&amp;")"</f>
        <v>(line 6 - line 12)</v>
      </c>
      <c r="D28" s="273">
        <f>D14-D21</f>
        <v>537094403.89951169</v>
      </c>
      <c r="E28" s="299"/>
      <c r="F28" s="309"/>
      <c r="G28" s="298"/>
      <c r="H28" s="163" t="s">
        <v>240</v>
      </c>
      <c r="I28" s="268"/>
    </row>
    <row r="29" spans="1:12">
      <c r="A29" s="172">
        <f>A28+1</f>
        <v>19</v>
      </c>
      <c r="B29" s="203" t="str">
        <f>+B22</f>
        <v xml:space="preserve">  Transmission</v>
      </c>
      <c r="C29" s="273" t="str">
        <f>"(line "&amp;A15&amp;" - line "&amp;A22&amp;")"</f>
        <v>(line 7 - line 13)</v>
      </c>
      <c r="D29" s="273">
        <f>D15-D22</f>
        <v>735303640.65234149</v>
      </c>
      <c r="E29" s="299"/>
      <c r="F29" s="278"/>
      <c r="G29" s="298"/>
      <c r="H29" s="163">
        <f>H15-H22</f>
        <v>735303640.65234149</v>
      </c>
      <c r="I29" s="268"/>
    </row>
    <row r="30" spans="1:12">
      <c r="A30" s="172">
        <f>A29+1</f>
        <v>20</v>
      </c>
      <c r="B30" s="203" t="str">
        <f>+B23</f>
        <v xml:space="preserve">  Distribution</v>
      </c>
      <c r="C30" s="273" t="str">
        <f>"(line "&amp;A16&amp;" - line "&amp;A23&amp;")"</f>
        <v>(line 8 - line 14)</v>
      </c>
      <c r="D30" s="273">
        <f>D16-D23</f>
        <v>27666971.49570179</v>
      </c>
      <c r="E30" s="299"/>
      <c r="F30" s="309"/>
      <c r="G30" s="298"/>
      <c r="H30" s="163" t="s">
        <v>240</v>
      </c>
      <c r="I30" s="268"/>
    </row>
    <row r="31" spans="1:12">
      <c r="A31" s="172">
        <f>A30+1</f>
        <v>21</v>
      </c>
      <c r="B31" s="203" t="str">
        <f>+B24</f>
        <v xml:space="preserve">  General &amp; Intangible</v>
      </c>
      <c r="C31" s="273" t="str">
        <f>"(line "&amp;A17&amp;" - line "&amp;A24&amp;")"</f>
        <v>(line 9 - line 15)</v>
      </c>
      <c r="D31" s="273">
        <f>D17-D24</f>
        <v>0</v>
      </c>
      <c r="E31" s="299"/>
      <c r="F31" s="309"/>
      <c r="G31" s="298"/>
      <c r="H31" s="163">
        <f>H17-H24</f>
        <v>0</v>
      </c>
      <c r="I31" s="173"/>
    </row>
    <row r="32" spans="1:12">
      <c r="A32" s="172">
        <f>A31+1</f>
        <v>22</v>
      </c>
      <c r="B32" s="203" t="str">
        <f>+B25</f>
        <v xml:space="preserve">  Common</v>
      </c>
      <c r="C32" s="273" t="str">
        <f>"(line "&amp;A18&amp;" - line "&amp;A25&amp;")"</f>
        <v>(line 10 - line 16)</v>
      </c>
      <c r="D32" s="273">
        <f>D18-D25</f>
        <v>0</v>
      </c>
      <c r="E32" s="299"/>
      <c r="F32" s="309"/>
      <c r="G32" s="298"/>
      <c r="H32" s="163">
        <f>H18-H25</f>
        <v>0</v>
      </c>
      <c r="I32" s="173"/>
      <c r="J32" s="53"/>
      <c r="L32" s="53"/>
    </row>
    <row r="33" spans="1:21">
      <c r="A33" s="172">
        <f>A32+1</f>
        <v>23</v>
      </c>
      <c r="B33" s="187" t="s">
        <v>1184</v>
      </c>
      <c r="C33" s="273" t="str">
        <f>"(sum lines "&amp;A28&amp;" to "&amp;A32&amp;")"</f>
        <v>(sum lines 18 to 22)</v>
      </c>
      <c r="D33" s="257">
        <f>SUM(D28:D32)</f>
        <v>1300065016.047555</v>
      </c>
      <c r="E33" s="299" t="s">
        <v>1183</v>
      </c>
      <c r="F33" s="309">
        <f>IF(H33&gt;0,H33/D33,0)</f>
        <v>0.56558989864045761</v>
      </c>
      <c r="G33" s="298"/>
      <c r="H33" s="254">
        <f>SUM(H28:H32)</f>
        <v>735303640.65234149</v>
      </c>
      <c r="I33" s="313"/>
      <c r="J33" s="53"/>
      <c r="L33" s="53"/>
    </row>
    <row r="34" spans="1:21">
      <c r="A34" s="172"/>
      <c r="B34" s="187" t="s">
        <v>1182</v>
      </c>
      <c r="C34" s="264" t="s">
        <v>1181</v>
      </c>
      <c r="D34" s="273"/>
      <c r="E34" s="310"/>
      <c r="F34" s="262"/>
      <c r="G34" s="161"/>
      <c r="H34" s="262"/>
      <c r="I34" s="173"/>
      <c r="J34" s="53"/>
      <c r="L34" s="53"/>
    </row>
    <row r="35" spans="1:21">
      <c r="A35" s="172">
        <f>A33+1</f>
        <v>24</v>
      </c>
      <c r="B35" s="187" t="s">
        <v>1180</v>
      </c>
      <c r="C35" s="273" t="s">
        <v>1124</v>
      </c>
      <c r="D35" s="311">
        <v>0</v>
      </c>
      <c r="E35" s="299"/>
      <c r="F35" s="278">
        <v>0</v>
      </c>
      <c r="G35" s="298"/>
      <c r="H35" s="163">
        <v>0</v>
      </c>
      <c r="I35" s="173"/>
      <c r="J35" s="53"/>
      <c r="L35" s="53"/>
    </row>
    <row r="36" spans="1:21">
      <c r="A36" s="172">
        <f t="shared" ref="A36:A41" si="1">A35+1</f>
        <v>25</v>
      </c>
      <c r="B36" s="187" t="s">
        <v>1179</v>
      </c>
      <c r="C36" s="273" t="s">
        <v>1124</v>
      </c>
      <c r="D36" s="311">
        <v>0</v>
      </c>
      <c r="E36" s="299" t="s">
        <v>1121</v>
      </c>
      <c r="F36" s="278">
        <f>+F33</f>
        <v>0.56558989864045761</v>
      </c>
      <c r="G36" s="298"/>
      <c r="H36" s="163">
        <f>D36*F36</f>
        <v>0</v>
      </c>
      <c r="I36" s="268"/>
      <c r="J36" s="53"/>
      <c r="L36" s="53"/>
    </row>
    <row r="37" spans="1:21">
      <c r="A37" s="172">
        <f t="shared" si="1"/>
        <v>26</v>
      </c>
      <c r="B37" s="187" t="s">
        <v>1178</v>
      </c>
      <c r="C37" s="273" t="s">
        <v>1124</v>
      </c>
      <c r="D37" s="311">
        <v>0</v>
      </c>
      <c r="E37" s="299" t="s">
        <v>1121</v>
      </c>
      <c r="F37" s="278">
        <f>+F36</f>
        <v>0.56558989864045761</v>
      </c>
      <c r="G37" s="298"/>
      <c r="H37" s="163">
        <f>D37*F37</f>
        <v>0</v>
      </c>
      <c r="I37" s="312"/>
      <c r="J37" s="53"/>
      <c r="L37" s="53"/>
    </row>
    <row r="38" spans="1:21">
      <c r="A38" s="172">
        <f t="shared" si="1"/>
        <v>27</v>
      </c>
      <c r="B38" s="187" t="s">
        <v>1177</v>
      </c>
      <c r="C38" s="273"/>
      <c r="D38" s="311">
        <v>0</v>
      </c>
      <c r="E38" s="299" t="str">
        <f>+E37</f>
        <v>NP</v>
      </c>
      <c r="F38" s="278">
        <f>+F37</f>
        <v>0.56558989864045761</v>
      </c>
      <c r="G38" s="298"/>
      <c r="H38" s="163">
        <f>D38*F38</f>
        <v>0</v>
      </c>
      <c r="I38" s="268"/>
      <c r="J38" s="53"/>
      <c r="L38" s="53"/>
    </row>
    <row r="39" spans="1:21">
      <c r="A39" s="172">
        <f t="shared" si="1"/>
        <v>28</v>
      </c>
      <c r="B39" s="187" t="s">
        <v>1176</v>
      </c>
      <c r="C39" s="273" t="s">
        <v>1124</v>
      </c>
      <c r="D39" s="311">
        <v>0</v>
      </c>
      <c r="E39" s="299" t="s">
        <v>1121</v>
      </c>
      <c r="F39" s="278">
        <f>+F37</f>
        <v>0.56558989864045761</v>
      </c>
      <c r="G39" s="298"/>
      <c r="H39" s="163">
        <f>D39*F39</f>
        <v>0</v>
      </c>
      <c r="I39" s="160"/>
      <c r="J39" s="53"/>
      <c r="L39" s="53"/>
    </row>
    <row r="40" spans="1:21">
      <c r="A40" s="172">
        <f t="shared" si="1"/>
        <v>29</v>
      </c>
      <c r="B40" s="187" t="s">
        <v>1175</v>
      </c>
      <c r="C40" s="273" t="str">
        <f>"(sum lines "&amp;A35&amp;" to "&amp;A39&amp;")"</f>
        <v>(sum lines 24 to 28)</v>
      </c>
      <c r="D40" s="257">
        <f>SUM(D35:D39)</f>
        <v>0</v>
      </c>
      <c r="E40" s="299"/>
      <c r="F40" s="262"/>
      <c r="G40" s="298"/>
      <c r="H40" s="254">
        <f>SUM(H35:H39)</f>
        <v>0</v>
      </c>
      <c r="I40" s="277"/>
      <c r="J40" s="53"/>
      <c r="L40" s="53"/>
    </row>
    <row r="41" spans="1:21">
      <c r="A41" s="172">
        <f t="shared" si="1"/>
        <v>30</v>
      </c>
      <c r="B41" s="187" t="s">
        <v>1174</v>
      </c>
      <c r="C41" s="264" t="s">
        <v>1173</v>
      </c>
      <c r="D41" s="311">
        <v>0</v>
      </c>
      <c r="E41" s="310" t="str">
        <f>+E22</f>
        <v>TP</v>
      </c>
      <c r="F41" s="278">
        <f>+F22</f>
        <v>1</v>
      </c>
      <c r="G41" s="161"/>
      <c r="H41" s="262">
        <f>+F41*D41</f>
        <v>0</v>
      </c>
      <c r="I41" s="160"/>
      <c r="J41" s="53"/>
      <c r="L41" s="53"/>
    </row>
    <row r="42" spans="1:21">
      <c r="A42" s="172"/>
      <c r="B42" s="187" t="s">
        <v>1172</v>
      </c>
      <c r="C42" s="301" t="s">
        <v>1171</v>
      </c>
      <c r="D42" s="273"/>
      <c r="E42" s="299"/>
      <c r="F42" s="262"/>
      <c r="G42" s="298"/>
      <c r="H42" s="163"/>
      <c r="I42" s="192"/>
      <c r="J42" s="53"/>
    </row>
    <row r="43" spans="1:21">
      <c r="A43" s="172">
        <f>A41+1</f>
        <v>31</v>
      </c>
      <c r="B43" s="187" t="s">
        <v>1170</v>
      </c>
      <c r="C43" s="273" t="s">
        <v>1169</v>
      </c>
      <c r="D43" s="273">
        <f>D62/8</f>
        <v>23795535.929999996</v>
      </c>
      <c r="E43" s="299"/>
      <c r="F43" s="309"/>
      <c r="G43" s="298"/>
      <c r="H43" s="163">
        <v>0</v>
      </c>
      <c r="I43" s="302"/>
      <c r="J43" s="53"/>
      <c r="L43" s="53"/>
    </row>
    <row r="44" spans="1:21" ht="26">
      <c r="A44" s="172">
        <f>A43+1</f>
        <v>32</v>
      </c>
      <c r="B44" s="217" t="s">
        <v>1168</v>
      </c>
      <c r="C44" s="308" t="s">
        <v>1167</v>
      </c>
      <c r="D44" s="307">
        <v>0</v>
      </c>
      <c r="E44" s="306" t="s">
        <v>943</v>
      </c>
      <c r="F44" s="305">
        <f>H105</f>
        <v>0</v>
      </c>
      <c r="G44" s="304"/>
      <c r="H44" s="303">
        <f>+F44*D44</f>
        <v>0</v>
      </c>
      <c r="I44" s="302"/>
      <c r="J44" s="53"/>
      <c r="L44" s="53"/>
    </row>
    <row r="45" spans="1:21">
      <c r="A45" s="172">
        <f>A44+1</f>
        <v>33</v>
      </c>
      <c r="B45" s="187" t="s">
        <v>1166</v>
      </c>
      <c r="C45" s="301" t="s">
        <v>1165</v>
      </c>
      <c r="D45" s="300">
        <v>0</v>
      </c>
      <c r="E45" s="299" t="s">
        <v>728</v>
      </c>
      <c r="F45" s="278">
        <f>+F19</f>
        <v>0.54842794453785892</v>
      </c>
      <c r="G45" s="298"/>
      <c r="H45" s="163">
        <f>+F45*D45</f>
        <v>0</v>
      </c>
      <c r="I45" s="189"/>
      <c r="J45" s="53"/>
      <c r="L45" s="53"/>
    </row>
    <row r="46" spans="1:21">
      <c r="A46" s="172">
        <f>A45+1</f>
        <v>34</v>
      </c>
      <c r="B46" s="187" t="s">
        <v>1164</v>
      </c>
      <c r="C46" s="273" t="str">
        <f>"(sum lines "&amp;A43&amp;" to "&amp;A45&amp;")"</f>
        <v>(sum lines 31 to 33)</v>
      </c>
      <c r="D46" s="297">
        <f>D43+D44+D45</f>
        <v>23795535.929999996</v>
      </c>
      <c r="E46" s="296"/>
      <c r="F46" s="295"/>
      <c r="G46" s="294"/>
      <c r="H46" s="293">
        <f>H43+H44+H45</f>
        <v>0</v>
      </c>
      <c r="I46" s="292"/>
      <c r="J46" s="53"/>
      <c r="L46" s="53"/>
    </row>
    <row r="47" spans="1:21" ht="13.5" thickBot="1">
      <c r="A47" s="180">
        <f>A46+1</f>
        <v>35</v>
      </c>
      <c r="B47" s="184" t="s">
        <v>1163</v>
      </c>
      <c r="C47" s="291" t="str">
        <f>"(sum lines "&amp;A33&amp;", "&amp;A40&amp;", "&amp;A41&amp;", "&amp;A46&amp;")"</f>
        <v>(sum lines 23, 29, 30, 34)</v>
      </c>
      <c r="D47" s="291">
        <f>+D46+D41+D40+D33</f>
        <v>1323860551.977555</v>
      </c>
      <c r="E47" s="290"/>
      <c r="F47" s="289"/>
      <c r="G47" s="288"/>
      <c r="H47" s="177">
        <f>+H46+H41+H40+H33</f>
        <v>735303640.65234149</v>
      </c>
      <c r="I47" s="287"/>
      <c r="J47" s="53"/>
      <c r="L47" s="76"/>
    </row>
    <row r="48" spans="1:21">
      <c r="A48" s="246"/>
      <c r="B48" s="244" t="s">
        <v>511</v>
      </c>
      <c r="C48" s="286"/>
      <c r="D48" s="286"/>
      <c r="E48" s="285"/>
      <c r="F48" s="283"/>
      <c r="G48" s="284"/>
      <c r="H48" s="283"/>
      <c r="I48" s="282"/>
      <c r="M48" s="57"/>
      <c r="N48" s="57"/>
      <c r="O48" s="57"/>
      <c r="P48" s="281"/>
      <c r="Q48" s="281"/>
      <c r="R48" s="281"/>
      <c r="S48" s="281"/>
      <c r="T48" s="281"/>
      <c r="U48" s="281"/>
    </row>
    <row r="49" spans="1:9">
      <c r="A49" s="172"/>
      <c r="B49" s="187" t="s">
        <v>1162</v>
      </c>
      <c r="C49" s="258" t="s">
        <v>1161</v>
      </c>
      <c r="D49" s="258"/>
      <c r="E49" s="256"/>
      <c r="F49" s="265"/>
      <c r="G49" s="187"/>
      <c r="H49" s="265"/>
      <c r="I49" s="173"/>
    </row>
    <row r="50" spans="1:9" s="276" customFormat="1">
      <c r="A50" s="172">
        <f>A47+1</f>
        <v>36</v>
      </c>
      <c r="B50" s="187" t="s">
        <v>1146</v>
      </c>
      <c r="C50" s="258"/>
      <c r="D50" s="264">
        <f>C187</f>
        <v>67527563.679999977</v>
      </c>
      <c r="E50" s="256" t="s">
        <v>1084</v>
      </c>
      <c r="F50" s="278">
        <f>H117</f>
        <v>0.95268383678158763</v>
      </c>
      <c r="G50" s="161"/>
      <c r="H50" s="262">
        <f>+F50*D50</f>
        <v>64332418.455175363</v>
      </c>
      <c r="I50" s="173"/>
    </row>
    <row r="51" spans="1:9">
      <c r="A51" s="172">
        <f>A50+1</f>
        <v>37</v>
      </c>
      <c r="B51" s="187" t="s">
        <v>1145</v>
      </c>
      <c r="C51" s="258"/>
      <c r="D51" s="264">
        <f>D187</f>
        <v>46417098.880000003</v>
      </c>
      <c r="E51" s="256" t="s">
        <v>1080</v>
      </c>
      <c r="F51" s="278">
        <f>H120</f>
        <v>1.2462434576061851E-2</v>
      </c>
      <c r="G51" s="161"/>
      <c r="H51" s="262">
        <f>+F51*D51</f>
        <v>578470.05800259381</v>
      </c>
      <c r="I51" s="173"/>
    </row>
    <row r="52" spans="1:9">
      <c r="A52" s="172">
        <f>A51+1</f>
        <v>38</v>
      </c>
      <c r="B52" s="187" t="s">
        <v>1144</v>
      </c>
      <c r="C52" s="258" t="s">
        <v>1160</v>
      </c>
      <c r="D52" s="264">
        <f>E187</f>
        <v>46743530</v>
      </c>
      <c r="E52" s="256" t="s">
        <v>1076</v>
      </c>
      <c r="F52" s="278">
        <f>H123</f>
        <v>5.716043741470056E-2</v>
      </c>
      <c r="G52" s="161"/>
      <c r="H52" s="262">
        <f>+F52*D52</f>
        <v>2671880.6211071783</v>
      </c>
      <c r="I52" s="173"/>
    </row>
    <row r="53" spans="1:9">
      <c r="A53" s="172">
        <f>A52+1</f>
        <v>39</v>
      </c>
      <c r="B53" s="187" t="s">
        <v>1159</v>
      </c>
      <c r="C53" s="258" t="s">
        <v>1158</v>
      </c>
      <c r="D53" s="264"/>
      <c r="E53" s="256" t="s">
        <v>487</v>
      </c>
      <c r="F53" s="278">
        <v>1</v>
      </c>
      <c r="G53" s="161"/>
      <c r="H53" s="262">
        <f>+F53*D53</f>
        <v>0</v>
      </c>
      <c r="I53" s="173"/>
    </row>
    <row r="54" spans="1:9">
      <c r="A54" s="172"/>
      <c r="B54" s="187" t="s">
        <v>1157</v>
      </c>
      <c r="C54" s="258" t="s">
        <v>1156</v>
      </c>
      <c r="D54" s="264"/>
      <c r="E54" s="263"/>
      <c r="F54" s="265"/>
      <c r="G54" s="187"/>
      <c r="H54" s="265"/>
      <c r="I54" s="173"/>
    </row>
    <row r="55" spans="1:9">
      <c r="A55" s="172">
        <f>A53+1</f>
        <v>40</v>
      </c>
      <c r="B55" s="187" t="s">
        <v>1146</v>
      </c>
      <c r="C55" s="258"/>
      <c r="D55" s="264">
        <f>C189</f>
        <v>19762043.349999998</v>
      </c>
      <c r="E55" s="256" t="str">
        <f>E50</f>
        <v>PTP/UGP</v>
      </c>
      <c r="F55" s="278">
        <f>F50</f>
        <v>0.95268383678158763</v>
      </c>
      <c r="G55" s="161"/>
      <c r="H55" s="262">
        <f t="shared" ref="H55:H61" si="2">+F55*D55</f>
        <v>18826979.281322058</v>
      </c>
      <c r="I55" s="268"/>
    </row>
    <row r="56" spans="1:9">
      <c r="A56" s="172">
        <f t="shared" ref="A56:A62" si="3">A55+1</f>
        <v>41</v>
      </c>
      <c r="B56" s="187" t="s">
        <v>1145</v>
      </c>
      <c r="C56" s="258"/>
      <c r="D56" s="264">
        <f>D189</f>
        <v>9914051.5299999993</v>
      </c>
      <c r="E56" s="256" t="str">
        <f>E51</f>
        <v>PTP/RMR</v>
      </c>
      <c r="F56" s="278">
        <f>F51</f>
        <v>1.2462434576061851E-2</v>
      </c>
      <c r="G56" s="161"/>
      <c r="H56" s="262">
        <f t="shared" si="2"/>
        <v>123553.21857633088</v>
      </c>
      <c r="I56" s="268"/>
    </row>
    <row r="57" spans="1:9">
      <c r="A57" s="172">
        <f t="shared" si="3"/>
        <v>42</v>
      </c>
      <c r="B57" s="187" t="s">
        <v>1155</v>
      </c>
      <c r="C57" s="264"/>
      <c r="D57" s="279">
        <v>0</v>
      </c>
      <c r="E57" s="256" t="s">
        <v>1137</v>
      </c>
      <c r="F57" s="278">
        <f>H112</f>
        <v>1</v>
      </c>
      <c r="G57" s="161"/>
      <c r="H57" s="262">
        <f t="shared" si="2"/>
        <v>0</v>
      </c>
      <c r="I57" s="268"/>
    </row>
    <row r="58" spans="1:9">
      <c r="A58" s="172">
        <f t="shared" si="3"/>
        <v>43</v>
      </c>
      <c r="B58" s="187" t="s">
        <v>1154</v>
      </c>
      <c r="C58" s="264" t="s">
        <v>1152</v>
      </c>
      <c r="D58" s="279">
        <v>0</v>
      </c>
      <c r="E58" s="256" t="str">
        <f>+E57</f>
        <v>W/S</v>
      </c>
      <c r="F58" s="278">
        <f>H112</f>
        <v>1</v>
      </c>
      <c r="G58" s="161"/>
      <c r="H58" s="262">
        <f t="shared" si="2"/>
        <v>0</v>
      </c>
      <c r="I58" s="268"/>
    </row>
    <row r="59" spans="1:9">
      <c r="A59" s="172">
        <f t="shared" si="3"/>
        <v>44</v>
      </c>
      <c r="B59" s="187" t="s">
        <v>1153</v>
      </c>
      <c r="C59" s="264" t="s">
        <v>1152</v>
      </c>
      <c r="D59" s="279">
        <v>0</v>
      </c>
      <c r="E59" s="256" t="s">
        <v>943</v>
      </c>
      <c r="F59" s="278">
        <f>H105</f>
        <v>0</v>
      </c>
      <c r="G59" s="161"/>
      <c r="H59" s="262">
        <f t="shared" si="2"/>
        <v>0</v>
      </c>
      <c r="I59" s="268"/>
    </row>
    <row r="60" spans="1:9">
      <c r="A60" s="172">
        <f t="shared" si="3"/>
        <v>45</v>
      </c>
      <c r="B60" s="187" t="s">
        <v>1151</v>
      </c>
      <c r="C60" s="264"/>
      <c r="D60" s="279">
        <v>0</v>
      </c>
      <c r="E60" s="256" t="s">
        <v>1072</v>
      </c>
      <c r="F60" s="278">
        <f>I125</f>
        <v>0</v>
      </c>
      <c r="G60" s="161"/>
      <c r="H60" s="262">
        <f t="shared" si="2"/>
        <v>0</v>
      </c>
      <c r="I60" s="173"/>
    </row>
    <row r="61" spans="1:9">
      <c r="A61" s="172">
        <f t="shared" si="3"/>
        <v>46</v>
      </c>
      <c r="B61" s="187" t="s">
        <v>1150</v>
      </c>
      <c r="C61" s="264"/>
      <c r="D61" s="280">
        <v>0</v>
      </c>
      <c r="E61" s="256" t="s">
        <v>487</v>
      </c>
      <c r="F61" s="278">
        <v>1</v>
      </c>
      <c r="G61" s="161"/>
      <c r="H61" s="262">
        <f t="shared" si="2"/>
        <v>0</v>
      </c>
      <c r="I61" s="173"/>
    </row>
    <row r="62" spans="1:9" ht="26">
      <c r="A62" s="172">
        <f t="shared" si="3"/>
        <v>47</v>
      </c>
      <c r="B62" s="187" t="s">
        <v>1149</v>
      </c>
      <c r="C62" s="272" t="str">
        <f>"(sum lines "&amp;A50&amp;", "&amp;A51&amp;", "&amp;A52&amp;", "&amp;A55&amp;", "&amp;A56&amp;", "&amp;A59&amp;", "&amp;A60&amp;" less "&amp;A53&amp;", "&amp;A57&amp;", "&amp;A58&amp;")"</f>
        <v>(sum lines 36, 37, 38, 40, 41, 44, 45 less 39, 42, 43)</v>
      </c>
      <c r="D62" s="257">
        <f>+D50+D51+D52-D53+D55+D56-D57-D58+D59+D60+D61</f>
        <v>190364287.43999997</v>
      </c>
      <c r="E62" s="256"/>
      <c r="F62" s="262"/>
      <c r="G62" s="161"/>
      <c r="H62" s="254">
        <f>+H50+H51+H52-H53+H55+H56-H57-H58+H59+H60+H61</f>
        <v>86533301.634183526</v>
      </c>
      <c r="I62" s="277"/>
    </row>
    <row r="63" spans="1:9">
      <c r="A63" s="172"/>
      <c r="B63" s="187" t="s">
        <v>1148</v>
      </c>
      <c r="C63" s="264"/>
      <c r="D63" s="273"/>
      <c r="E63" s="186"/>
      <c r="F63" s="262"/>
      <c r="G63" s="161"/>
      <c r="H63" s="262"/>
      <c r="I63" s="268"/>
    </row>
    <row r="64" spans="1:9">
      <c r="A64" s="172">
        <f>A62+1</f>
        <v>48</v>
      </c>
      <c r="B64" s="203" t="str">
        <f>+B49</f>
        <v xml:space="preserve">  Transmission </v>
      </c>
      <c r="C64" s="258" t="s">
        <v>1147</v>
      </c>
      <c r="D64" s="264"/>
      <c r="E64" s="256"/>
      <c r="F64" s="278"/>
      <c r="G64" s="161"/>
      <c r="H64" s="262"/>
      <c r="I64" s="268"/>
    </row>
    <row r="65" spans="1:15">
      <c r="A65" s="172">
        <f t="shared" ref="A65:A70" si="4">A64+1</f>
        <v>49</v>
      </c>
      <c r="B65" s="187" t="s">
        <v>1146</v>
      </c>
      <c r="C65" s="258"/>
      <c r="D65" s="266">
        <f>'WS4-CostData'!C38</f>
        <v>31897801.130000003</v>
      </c>
      <c r="E65" s="256" t="str">
        <f>E50</f>
        <v>PTP/UGP</v>
      </c>
      <c r="F65" s="278">
        <f>F50</f>
        <v>0.95268383678158763</v>
      </c>
      <c r="G65" s="161"/>
      <c r="H65" s="262">
        <f>+F65*D65</f>
        <v>30388519.565424465</v>
      </c>
      <c r="I65" s="268"/>
    </row>
    <row r="66" spans="1:15">
      <c r="A66" s="172">
        <f t="shared" si="4"/>
        <v>50</v>
      </c>
      <c r="B66" s="187" t="s">
        <v>1145</v>
      </c>
      <c r="C66" s="258"/>
      <c r="D66" s="266">
        <f>'WS4-CostData'!E38</f>
        <v>19115399.030000001</v>
      </c>
      <c r="E66" s="256" t="str">
        <f>E51</f>
        <v>PTP/RMR</v>
      </c>
      <c r="F66" s="278">
        <f>F51</f>
        <v>1.2462434576061851E-2</v>
      </c>
      <c r="G66" s="161"/>
      <c r="H66" s="262">
        <f>+F66*D66</f>
        <v>238224.40980669117</v>
      </c>
      <c r="I66" s="268"/>
    </row>
    <row r="67" spans="1:15">
      <c r="A67" s="172">
        <f t="shared" si="4"/>
        <v>51</v>
      </c>
      <c r="B67" s="187" t="s">
        <v>1144</v>
      </c>
      <c r="C67" s="258"/>
      <c r="D67" s="266">
        <f>'WS4-CostData'!G38</f>
        <v>15118338</v>
      </c>
      <c r="E67" s="256" t="s">
        <v>1076</v>
      </c>
      <c r="F67" s="278">
        <f>F52</f>
        <v>5.716043741470056E-2</v>
      </c>
      <c r="G67" s="161"/>
      <c r="H67" s="262">
        <f>+F67*D67</f>
        <v>864170.81306328927</v>
      </c>
      <c r="I67" s="268"/>
    </row>
    <row r="68" spans="1:15">
      <c r="A68" s="172">
        <f t="shared" si="4"/>
        <v>52</v>
      </c>
      <c r="B68" s="187" t="s">
        <v>1143</v>
      </c>
      <c r="C68" s="258"/>
      <c r="D68" s="279">
        <v>0</v>
      </c>
      <c r="E68" s="256" t="s">
        <v>1137</v>
      </c>
      <c r="F68" s="278">
        <f>H112</f>
        <v>1</v>
      </c>
      <c r="G68" s="161"/>
      <c r="H68" s="262">
        <f>+F68*D68</f>
        <v>0</v>
      </c>
      <c r="I68" s="268"/>
    </row>
    <row r="69" spans="1:15">
      <c r="A69" s="172">
        <f t="shared" si="4"/>
        <v>53</v>
      </c>
      <c r="B69" s="203" t="str">
        <f>+B60</f>
        <v xml:space="preserve">  Common</v>
      </c>
      <c r="C69" s="264"/>
      <c r="D69" s="279">
        <v>0</v>
      </c>
      <c r="E69" s="256" t="s">
        <v>1072</v>
      </c>
      <c r="F69" s="278">
        <f>+F60</f>
        <v>0</v>
      </c>
      <c r="G69" s="161"/>
      <c r="H69" s="262">
        <f>+F69*D69</f>
        <v>0</v>
      </c>
      <c r="I69" s="268"/>
      <c r="J69" s="76"/>
      <c r="L69" s="76"/>
    </row>
    <row r="70" spans="1:15">
      <c r="A70" s="172">
        <f t="shared" si="4"/>
        <v>54</v>
      </c>
      <c r="B70" s="187" t="s">
        <v>1142</v>
      </c>
      <c r="C70" s="264" t="str">
        <f>"(sum lines "&amp;A64&amp;" to "&amp;A69&amp;")"</f>
        <v>(sum lines 48 to 53)</v>
      </c>
      <c r="D70" s="257">
        <f>SUM(D64:D69)</f>
        <v>66131538.160000004</v>
      </c>
      <c r="E70" s="256"/>
      <c r="F70" s="262"/>
      <c r="G70" s="161"/>
      <c r="H70" s="254">
        <f>SUM(H64:H69)</f>
        <v>31490914.788294446</v>
      </c>
      <c r="I70" s="277"/>
      <c r="J70" s="76"/>
      <c r="L70" s="76"/>
    </row>
    <row r="71" spans="1:15">
      <c r="A71" s="172"/>
      <c r="B71" s="187" t="s">
        <v>1141</v>
      </c>
      <c r="C71" s="258" t="s">
        <v>1140</v>
      </c>
      <c r="D71" s="273"/>
      <c r="E71" s="186"/>
      <c r="F71" s="262"/>
      <c r="G71" s="161"/>
      <c r="H71" s="262"/>
      <c r="I71" s="173"/>
      <c r="J71" s="76"/>
      <c r="L71" s="76"/>
    </row>
    <row r="72" spans="1:15" s="276" customFormat="1">
      <c r="A72" s="172"/>
      <c r="B72" s="187" t="s">
        <v>1139</v>
      </c>
      <c r="C72" s="258"/>
      <c r="D72" s="258"/>
      <c r="E72" s="256"/>
      <c r="F72" s="265"/>
      <c r="G72" s="161"/>
      <c r="H72" s="265"/>
      <c r="I72" s="189"/>
      <c r="J72" s="76"/>
      <c r="K72" s="37"/>
      <c r="L72" s="76"/>
      <c r="M72" s="150"/>
      <c r="N72" s="150"/>
      <c r="O72" s="150"/>
    </row>
    <row r="73" spans="1:15">
      <c r="A73" s="172">
        <f>A70+1</f>
        <v>55</v>
      </c>
      <c r="B73" s="187" t="s">
        <v>1138</v>
      </c>
      <c r="C73" s="264"/>
      <c r="D73" s="266">
        <v>0</v>
      </c>
      <c r="E73" s="256" t="s">
        <v>1137</v>
      </c>
      <c r="F73" s="255">
        <f>+F68</f>
        <v>1</v>
      </c>
      <c r="G73" s="161"/>
      <c r="H73" s="262">
        <f>+F73*D73</f>
        <v>0</v>
      </c>
      <c r="I73" s="189"/>
      <c r="J73" s="76"/>
      <c r="L73" s="76"/>
    </row>
    <row r="74" spans="1:15">
      <c r="A74" s="172">
        <f>A73+1</f>
        <v>56</v>
      </c>
      <c r="B74" s="187" t="s">
        <v>1136</v>
      </c>
      <c r="C74" s="264"/>
      <c r="D74" s="266">
        <v>0</v>
      </c>
      <c r="E74" s="256" t="str">
        <f>+E73</f>
        <v>W/S</v>
      </c>
      <c r="F74" s="255">
        <f>+F73</f>
        <v>1</v>
      </c>
      <c r="G74" s="161"/>
      <c r="H74" s="262">
        <f>+F74*D74</f>
        <v>0</v>
      </c>
      <c r="I74" s="189"/>
      <c r="J74" s="275"/>
      <c r="K74" s="150"/>
      <c r="L74" s="275"/>
    </row>
    <row r="75" spans="1:15">
      <c r="A75" s="172"/>
      <c r="B75" s="187" t="s">
        <v>1135</v>
      </c>
      <c r="C75" s="264"/>
      <c r="D75" s="258"/>
      <c r="E75" s="256"/>
      <c r="F75" s="265"/>
      <c r="G75" s="161"/>
      <c r="H75" s="265"/>
      <c r="I75" s="189"/>
      <c r="J75" s="76"/>
      <c r="L75" s="76"/>
    </row>
    <row r="76" spans="1:15">
      <c r="A76" s="172">
        <f>A74+1</f>
        <v>57</v>
      </c>
      <c r="B76" s="187" t="s">
        <v>1134</v>
      </c>
      <c r="C76" s="264"/>
      <c r="D76" s="266">
        <v>0</v>
      </c>
      <c r="E76" s="256" t="s">
        <v>728</v>
      </c>
      <c r="F76" s="255">
        <f>+F19</f>
        <v>0.54842794453785892</v>
      </c>
      <c r="G76" s="161"/>
      <c r="H76" s="262">
        <f>+F76*D76</f>
        <v>0</v>
      </c>
      <c r="I76" s="189"/>
      <c r="J76" s="76"/>
      <c r="L76" s="76"/>
    </row>
    <row r="77" spans="1:15">
      <c r="A77" s="172">
        <f>A76+1</f>
        <v>58</v>
      </c>
      <c r="B77" s="187" t="s">
        <v>1133</v>
      </c>
      <c r="C77" s="264"/>
      <c r="D77" s="266">
        <v>0</v>
      </c>
      <c r="E77" s="256"/>
      <c r="F77" s="255">
        <v>0</v>
      </c>
      <c r="G77" s="161"/>
      <c r="H77" s="262">
        <v>0</v>
      </c>
      <c r="I77" s="189"/>
      <c r="J77" s="76"/>
      <c r="L77" s="76"/>
    </row>
    <row r="78" spans="1:15">
      <c r="A78" s="172">
        <f>A77+1</f>
        <v>59</v>
      </c>
      <c r="B78" s="187" t="s">
        <v>1132</v>
      </c>
      <c r="C78" s="264"/>
      <c r="D78" s="266">
        <v>0</v>
      </c>
      <c r="E78" s="256" t="str">
        <f>+E76</f>
        <v>GP</v>
      </c>
      <c r="F78" s="255">
        <f>+F76</f>
        <v>0.54842794453785892</v>
      </c>
      <c r="G78" s="161"/>
      <c r="H78" s="262">
        <f>+F78*D78</f>
        <v>0</v>
      </c>
      <c r="I78" s="189"/>
      <c r="J78" s="76"/>
      <c r="L78" s="76"/>
    </row>
    <row r="79" spans="1:15">
      <c r="A79" s="172">
        <f>A78+1</f>
        <v>60</v>
      </c>
      <c r="B79" s="187" t="s">
        <v>1131</v>
      </c>
      <c r="C79" s="264"/>
      <c r="D79" s="266">
        <v>0</v>
      </c>
      <c r="E79" s="256" t="s">
        <v>728</v>
      </c>
      <c r="F79" s="255">
        <f>+F78</f>
        <v>0.54842794453785892</v>
      </c>
      <c r="G79" s="161"/>
      <c r="H79" s="262">
        <f>+F79*D79</f>
        <v>0</v>
      </c>
      <c r="I79" s="189"/>
      <c r="J79" s="76"/>
      <c r="L79" s="76"/>
    </row>
    <row r="80" spans="1:15">
      <c r="A80" s="172">
        <f>A79+1</f>
        <v>61</v>
      </c>
      <c r="B80" s="187" t="s">
        <v>1130</v>
      </c>
      <c r="C80" s="264" t="str">
        <f>"(sum lines "&amp;A73&amp;" to "&amp;A79&amp;")"</f>
        <v>(sum lines 55 to 60)</v>
      </c>
      <c r="D80" s="257">
        <f>SUM(D73:D79)</f>
        <v>0</v>
      </c>
      <c r="E80" s="256"/>
      <c r="F80" s="255"/>
      <c r="G80" s="161"/>
      <c r="H80" s="254">
        <f>SUM(H73:H79)</f>
        <v>0</v>
      </c>
      <c r="I80" s="274"/>
      <c r="J80" s="76"/>
      <c r="L80" s="76"/>
    </row>
    <row r="81" spans="1:12">
      <c r="A81" s="172"/>
      <c r="B81" s="187" t="s">
        <v>1129</v>
      </c>
      <c r="C81" s="260" t="s">
        <v>1128</v>
      </c>
      <c r="D81" s="273"/>
      <c r="E81" s="186" t="s">
        <v>487</v>
      </c>
      <c r="F81" s="255"/>
      <c r="G81" s="161"/>
      <c r="H81" s="262"/>
      <c r="I81" s="189"/>
      <c r="J81" s="76"/>
      <c r="L81" s="76"/>
    </row>
    <row r="82" spans="1:12">
      <c r="A82" s="172">
        <f>A80+1</f>
        <v>62</v>
      </c>
      <c r="B82" s="261" t="s">
        <v>1127</v>
      </c>
      <c r="C82" s="272"/>
      <c r="D82" s="271">
        <f>IF(D161&gt;0,1-(((1-D162)*(1-D161))/(1-D162*D161*D163)),0)</f>
        <v>0</v>
      </c>
      <c r="E82" s="256"/>
      <c r="F82" s="255"/>
      <c r="G82" s="161"/>
      <c r="H82" s="265"/>
      <c r="I82" s="173"/>
      <c r="J82" s="76"/>
      <c r="L82" s="76"/>
    </row>
    <row r="83" spans="1:12" ht="14">
      <c r="A83" s="172">
        <f>A82+1</f>
        <v>63</v>
      </c>
      <c r="B83" s="187" t="s">
        <v>1126</v>
      </c>
      <c r="C83" s="272"/>
      <c r="D83" s="271">
        <f>IF(H136&gt;0,(D82/(1-D82))*(1-H134/H136),0)</f>
        <v>0</v>
      </c>
      <c r="E83" s="256"/>
      <c r="F83" s="270"/>
      <c r="G83" s="161"/>
      <c r="H83" s="265"/>
      <c r="I83" s="189"/>
      <c r="J83" s="76"/>
      <c r="L83" s="76"/>
    </row>
    <row r="84" spans="1:12" ht="26">
      <c r="A84" s="172"/>
      <c r="B84" s="269" t="str">
        <f>"     where WCLTD= (line "&amp;A134&amp;") and R= (line "&amp;A136&amp;") and FIT, SIT &amp; p are as given in footnote I."</f>
        <v xml:space="preserve">     where WCLTD= (line 101) and R= (line 103) and FIT, SIT &amp; p are as given in footnote I.</v>
      </c>
      <c r="C84" s="264"/>
      <c r="D84" s="264"/>
      <c r="E84" s="256"/>
      <c r="F84" s="255"/>
      <c r="G84" s="161"/>
      <c r="H84" s="265"/>
      <c r="I84" s="268"/>
      <c r="J84" s="76"/>
      <c r="L84" s="76"/>
    </row>
    <row r="85" spans="1:12">
      <c r="A85" s="172">
        <f>A83+1</f>
        <v>64</v>
      </c>
      <c r="B85" s="261" t="str">
        <f>"      1 / (1 - T)  = (from line "&amp;A82&amp;")"</f>
        <v xml:space="preserve">      1 / (1 - T)  = (from line 62)</v>
      </c>
      <c r="C85" s="264"/>
      <c r="D85" s="267">
        <f>IF(D82&gt;0,1/(1-D82),0)</f>
        <v>0</v>
      </c>
      <c r="E85" s="256"/>
      <c r="F85" s="255"/>
      <c r="G85" s="161"/>
      <c r="H85" s="265"/>
      <c r="I85" s="160"/>
      <c r="J85" s="76"/>
      <c r="L85" s="76"/>
    </row>
    <row r="86" spans="1:12">
      <c r="A86" s="172">
        <f t="shared" ref="A86:A91" si="5">A85+1</f>
        <v>65</v>
      </c>
      <c r="B86" s="187" t="s">
        <v>1125</v>
      </c>
      <c r="C86" s="264" t="s">
        <v>1124</v>
      </c>
      <c r="D86" s="266">
        <v>0</v>
      </c>
      <c r="E86" s="256"/>
      <c r="F86" s="255"/>
      <c r="G86" s="161"/>
      <c r="H86" s="265">
        <v>0</v>
      </c>
      <c r="I86" s="160"/>
      <c r="J86" s="53"/>
      <c r="L86" s="76"/>
    </row>
    <row r="87" spans="1:12">
      <c r="A87" s="172">
        <f t="shared" si="5"/>
        <v>66</v>
      </c>
      <c r="B87" s="261" t="s">
        <v>1123</v>
      </c>
      <c r="C87" s="260" t="str">
        <f>"(line "&amp;A83&amp;" * line "&amp;A90&amp;")"</f>
        <v>(line 63 * line 69)</v>
      </c>
      <c r="D87" s="264">
        <f>D83*D90</f>
        <v>0</v>
      </c>
      <c r="E87" s="256" t="s">
        <v>487</v>
      </c>
      <c r="F87" s="255"/>
      <c r="G87" s="161"/>
      <c r="H87" s="262">
        <f>D83*H90</f>
        <v>0</v>
      </c>
      <c r="I87" s="160"/>
      <c r="J87" s="53"/>
      <c r="L87" s="53"/>
    </row>
    <row r="88" spans="1:12">
      <c r="A88" s="172">
        <f t="shared" si="5"/>
        <v>67</v>
      </c>
      <c r="B88" s="187" t="s">
        <v>1122</v>
      </c>
      <c r="C88" s="260" t="str">
        <f>"(line "&amp;A85&amp;" * line "&amp;A86&amp;")"</f>
        <v>(line 64 * line 65)</v>
      </c>
      <c r="D88" s="264">
        <f>D85*D86</f>
        <v>0</v>
      </c>
      <c r="E88" s="263" t="s">
        <v>1121</v>
      </c>
      <c r="F88" s="255">
        <f>F33</f>
        <v>0.56558989864045761</v>
      </c>
      <c r="G88" s="161"/>
      <c r="H88" s="262">
        <f>F88*D88</f>
        <v>0</v>
      </c>
      <c r="I88" s="160"/>
      <c r="J88" s="53"/>
      <c r="L88" s="53"/>
    </row>
    <row r="89" spans="1:12">
      <c r="A89" s="172">
        <f t="shared" si="5"/>
        <v>68</v>
      </c>
      <c r="B89" s="261" t="s">
        <v>1120</v>
      </c>
      <c r="C89" s="260" t="str">
        <f>"(line "&amp;A87&amp;" + line "&amp;A88&amp;")"</f>
        <v>(line 66 + line 67)</v>
      </c>
      <c r="D89" s="259">
        <f>+D87+D88</f>
        <v>0</v>
      </c>
      <c r="E89" s="186" t="s">
        <v>240</v>
      </c>
      <c r="F89" s="255" t="s">
        <v>240</v>
      </c>
      <c r="G89" s="161"/>
      <c r="H89" s="254">
        <f>+H87+H88</f>
        <v>0</v>
      </c>
      <c r="I89" s="253"/>
      <c r="J89" s="53"/>
      <c r="L89" s="53"/>
    </row>
    <row r="90" spans="1:12">
      <c r="A90" s="172">
        <f t="shared" si="5"/>
        <v>69</v>
      </c>
      <c r="B90" s="187" t="s">
        <v>1119</v>
      </c>
      <c r="C90" s="258" t="str">
        <f>"(line "&amp;A47&amp;" * line "&amp;A131&amp;")"</f>
        <v>(line 35 * line 100)</v>
      </c>
      <c r="D90" s="257">
        <f>+$H136*D47</f>
        <v>65555943.896214426</v>
      </c>
      <c r="E90" s="256" t="s">
        <v>487</v>
      </c>
      <c r="F90" s="255"/>
      <c r="G90" s="161"/>
      <c r="H90" s="254">
        <f>+$H136*H47</f>
        <v>36411330.590130284</v>
      </c>
      <c r="I90" s="253"/>
      <c r="J90" s="53"/>
      <c r="L90" s="76"/>
    </row>
    <row r="91" spans="1:12" ht="13.5" thickBot="1">
      <c r="A91" s="180">
        <f t="shared" si="5"/>
        <v>70</v>
      </c>
      <c r="B91" s="184" t="s">
        <v>1118</v>
      </c>
      <c r="C91" s="252" t="str">
        <f>"(sum lines "&amp;A62&amp;", "&amp;A70&amp;" ,"&amp;A80&amp;", "&amp;A89&amp;", "&amp;A90&amp;")"</f>
        <v>(sum lines 47, 54 ,61, 68, 69)</v>
      </c>
      <c r="D91" s="251">
        <f>+D90+D89+D80+D70+D62</f>
        <v>322051769.49621439</v>
      </c>
      <c r="E91" s="250"/>
      <c r="F91" s="249"/>
      <c r="G91" s="154"/>
      <c r="H91" s="248">
        <f>+H90+H89+H80+H70+H62</f>
        <v>154435547.01260826</v>
      </c>
      <c r="I91" s="247"/>
      <c r="J91" s="76"/>
      <c r="L91" s="76"/>
    </row>
    <row r="92" spans="1:12">
      <c r="A92" s="246"/>
      <c r="B92" s="244"/>
      <c r="C92" s="245" t="s">
        <v>1117</v>
      </c>
      <c r="D92" s="244"/>
      <c r="E92" s="243"/>
      <c r="F92" s="241"/>
      <c r="G92" s="242"/>
      <c r="H92" s="241"/>
      <c r="I92" s="240"/>
      <c r="J92" s="122"/>
      <c r="L92" s="122"/>
    </row>
    <row r="93" spans="1:12">
      <c r="A93" s="172"/>
      <c r="B93" s="187" t="s">
        <v>1116</v>
      </c>
      <c r="C93" s="162"/>
      <c r="D93" s="162"/>
      <c r="E93" s="164"/>
      <c r="F93" s="183"/>
      <c r="G93" s="162"/>
      <c r="H93" s="183"/>
      <c r="I93" s="173"/>
      <c r="J93" s="76"/>
      <c r="L93" s="122" t="s">
        <v>240</v>
      </c>
    </row>
    <row r="94" spans="1:12">
      <c r="A94" s="172">
        <f>A91+1</f>
        <v>71</v>
      </c>
      <c r="B94" s="166" t="s">
        <v>1115</v>
      </c>
      <c r="C94" s="162" t="str">
        <f>"(line "&amp;A15&amp;", column 3)"</f>
        <v>(line 7, column 3)</v>
      </c>
      <c r="D94" s="161"/>
      <c r="E94" s="186"/>
      <c r="F94" s="163"/>
      <c r="G94" s="161"/>
      <c r="H94" s="163">
        <f>+D15</f>
        <v>1428641954.3317072</v>
      </c>
      <c r="I94" s="173"/>
      <c r="J94" s="76"/>
      <c r="L94" s="76"/>
    </row>
    <row r="95" spans="1:12">
      <c r="A95" s="172">
        <f>A94+1</f>
        <v>72</v>
      </c>
      <c r="B95" s="166" t="s">
        <v>1114</v>
      </c>
      <c r="C95" s="187" t="s">
        <v>1113</v>
      </c>
      <c r="D95" s="187"/>
      <c r="E95" s="196"/>
      <c r="F95" s="195"/>
      <c r="G95" s="187"/>
      <c r="H95" s="239">
        <v>0</v>
      </c>
      <c r="I95" s="173"/>
      <c r="J95" s="76"/>
      <c r="L95" s="76"/>
    </row>
    <row r="96" spans="1:12" ht="13.5" thickBot="1">
      <c r="A96" s="172">
        <f>A95+1</f>
        <v>73</v>
      </c>
      <c r="B96" s="158" t="s">
        <v>1112</v>
      </c>
      <c r="C96" s="155" t="s">
        <v>1111</v>
      </c>
      <c r="D96" s="154"/>
      <c r="E96" s="186"/>
      <c r="F96" s="163"/>
      <c r="G96" s="161"/>
      <c r="H96" s="238">
        <v>0</v>
      </c>
      <c r="I96" s="189"/>
      <c r="J96" s="76"/>
      <c r="L96" s="76"/>
    </row>
    <row r="97" spans="1:12">
      <c r="A97" s="172">
        <f>A96+1</f>
        <v>74</v>
      </c>
      <c r="B97" s="166" t="s">
        <v>1110</v>
      </c>
      <c r="C97" s="162" t="str">
        <f>"(line "&amp;A94&amp;" less line "&amp;A95&amp;" and "&amp;A96&amp;")"</f>
        <v>(line 71 less line 72 and 73)</v>
      </c>
      <c r="D97" s="161"/>
      <c r="E97" s="186"/>
      <c r="F97" s="163"/>
      <c r="G97" s="161"/>
      <c r="H97" s="163">
        <f>H94-H95-H96</f>
        <v>1428641954.3317072</v>
      </c>
      <c r="I97" s="189"/>
      <c r="J97" s="76"/>
      <c r="L97" s="76"/>
    </row>
    <row r="98" spans="1:12">
      <c r="A98" s="172">
        <f>A97+1</f>
        <v>75</v>
      </c>
      <c r="B98" s="166" t="s">
        <v>1109</v>
      </c>
      <c r="C98" s="162" t="str">
        <f>"(line "&amp;A97&amp;" / line "&amp;A94&amp;")"</f>
        <v>(line 74 / line 71)</v>
      </c>
      <c r="D98" s="235"/>
      <c r="E98" s="237"/>
      <c r="F98" s="236"/>
      <c r="G98" s="161" t="s">
        <v>1108</v>
      </c>
      <c r="H98" s="230">
        <f>IF(H94&gt;0,H97/H94,0)</f>
        <v>1</v>
      </c>
      <c r="I98" s="189"/>
      <c r="J98" s="76"/>
      <c r="L98" s="76"/>
    </row>
    <row r="99" spans="1:12">
      <c r="A99" s="172"/>
      <c r="B99" s="187" t="s">
        <v>1107</v>
      </c>
      <c r="C99" s="187"/>
      <c r="D99" s="187"/>
      <c r="E99" s="196"/>
      <c r="F99" s="195"/>
      <c r="G99" s="187"/>
      <c r="H99" s="187"/>
      <c r="I99" s="173"/>
      <c r="J99" s="76"/>
      <c r="L99" s="76"/>
    </row>
    <row r="100" spans="1:12">
      <c r="A100" s="172">
        <f>A98+1</f>
        <v>76</v>
      </c>
      <c r="B100" s="187" t="s">
        <v>1106</v>
      </c>
      <c r="C100" s="162" t="str">
        <f>"(sum lines "&amp;A50&amp;" to "&amp;A52&amp;", column 3)"</f>
        <v>(sum lines 36 to 38, column 3)</v>
      </c>
      <c r="D100" s="162"/>
      <c r="E100" s="164"/>
      <c r="F100" s="183"/>
      <c r="G100" s="162"/>
      <c r="H100" s="161"/>
      <c r="I100" s="173"/>
      <c r="J100" s="76"/>
      <c r="L100" s="76"/>
    </row>
    <row r="101" spans="1:12" ht="13.5" thickBot="1">
      <c r="A101" s="172">
        <f>A100+1</f>
        <v>77</v>
      </c>
      <c r="B101" s="158" t="s">
        <v>1105</v>
      </c>
      <c r="C101" s="155" t="s">
        <v>1104</v>
      </c>
      <c r="D101" s="154"/>
      <c r="E101" s="178"/>
      <c r="F101" s="163"/>
      <c r="G101" s="161"/>
      <c r="H101" s="193">
        <v>0</v>
      </c>
      <c r="I101" s="173"/>
      <c r="J101" s="76"/>
      <c r="L101" s="76"/>
    </row>
    <row r="102" spans="1:12">
      <c r="A102" s="172">
        <f>A101+1</f>
        <v>78</v>
      </c>
      <c r="B102" s="166" t="s">
        <v>1103</v>
      </c>
      <c r="C102" s="234" t="str">
        <f>"(line "&amp;A100&amp;" - line "&amp;A101&amp;")"</f>
        <v>(line 76 - line 77)</v>
      </c>
      <c r="D102" s="235"/>
      <c r="E102" s="237"/>
      <c r="F102" s="236"/>
      <c r="G102" s="235"/>
      <c r="H102" s="163">
        <f>+H100-H101</f>
        <v>0</v>
      </c>
      <c r="I102" s="173"/>
      <c r="J102" s="76"/>
      <c r="L102" s="76"/>
    </row>
    <row r="103" spans="1:12" ht="25.5" customHeight="1">
      <c r="A103" s="528">
        <f>A102+1</f>
        <v>79</v>
      </c>
      <c r="B103" s="527" t="s">
        <v>1102</v>
      </c>
      <c r="C103" s="234" t="str">
        <f>"(line "&amp;A102&amp;"/ line "&amp;A100&amp;")"</f>
        <v>(line 78/ line 76)</v>
      </c>
      <c r="D103" s="161"/>
      <c r="E103" s="186"/>
      <c r="F103" s="163"/>
      <c r="G103" s="161"/>
      <c r="H103" s="230">
        <f>IF(H100&gt;0,H102/H100,0)</f>
        <v>0</v>
      </c>
      <c r="I103" s="173"/>
      <c r="J103" s="122"/>
      <c r="L103" s="122" t="s">
        <v>240</v>
      </c>
    </row>
    <row r="104" spans="1:12">
      <c r="A104" s="172">
        <f>A103+1</f>
        <v>80</v>
      </c>
      <c r="B104" s="166" t="s">
        <v>1101</v>
      </c>
      <c r="C104" s="162" t="str">
        <f>"(line "&amp;A98&amp;")"</f>
        <v>(line 75)</v>
      </c>
      <c r="D104" s="161"/>
      <c r="E104" s="186"/>
      <c r="F104" s="163"/>
      <c r="G104" s="166" t="s">
        <v>1097</v>
      </c>
      <c r="H104" s="230">
        <f>H98</f>
        <v>1</v>
      </c>
      <c r="I104" s="173"/>
      <c r="J104" s="122"/>
      <c r="L104" s="122"/>
    </row>
    <row r="105" spans="1:12">
      <c r="A105" s="172">
        <f>A104+1</f>
        <v>81</v>
      </c>
      <c r="B105" s="166" t="s">
        <v>1100</v>
      </c>
      <c r="C105" s="234" t="str">
        <f>"(line "&amp;A104&amp;" * line "&amp;A103&amp;")"</f>
        <v>(line 80 * line 79)</v>
      </c>
      <c r="D105" s="162"/>
      <c r="E105" s="164"/>
      <c r="F105" s="183"/>
      <c r="G105" s="166" t="s">
        <v>1099</v>
      </c>
      <c r="H105" s="223">
        <f>+H104*H103</f>
        <v>0</v>
      </c>
      <c r="I105" s="173"/>
      <c r="J105" s="122"/>
      <c r="L105" s="122"/>
    </row>
    <row r="106" spans="1:12">
      <c r="A106" s="172"/>
      <c r="B106" s="187" t="s">
        <v>1098</v>
      </c>
      <c r="C106" s="161"/>
      <c r="D106" s="161"/>
      <c r="E106" s="186"/>
      <c r="F106" s="163"/>
      <c r="G106" s="161"/>
      <c r="H106" s="161"/>
      <c r="I106" s="173"/>
      <c r="J106" s="122"/>
      <c r="L106" s="233"/>
    </row>
    <row r="107" spans="1:12" ht="13.5" thickBot="1">
      <c r="A107" s="172"/>
      <c r="B107" s="203"/>
      <c r="C107" s="154"/>
      <c r="D107" s="178" t="s">
        <v>1060</v>
      </c>
      <c r="E107" s="178" t="s">
        <v>1097</v>
      </c>
      <c r="F107" s="177" t="s">
        <v>1096</v>
      </c>
      <c r="G107" s="161"/>
      <c r="H107" s="161"/>
      <c r="I107" s="173"/>
      <c r="J107" s="122"/>
      <c r="L107" s="122"/>
    </row>
    <row r="108" spans="1:12">
      <c r="A108" s="172">
        <f>A105+1</f>
        <v>82</v>
      </c>
      <c r="B108" s="187" t="s">
        <v>1095</v>
      </c>
      <c r="C108" s="161"/>
      <c r="D108" s="224">
        <v>0</v>
      </c>
      <c r="E108" s="232">
        <v>0</v>
      </c>
      <c r="F108" s="163">
        <f>D108*E108</f>
        <v>0</v>
      </c>
      <c r="G108" s="161"/>
      <c r="H108" s="161"/>
      <c r="I108" s="173"/>
      <c r="J108" s="122"/>
      <c r="L108" s="122"/>
    </row>
    <row r="109" spans="1:12">
      <c r="A109" s="172">
        <f>A108+1</f>
        <v>83</v>
      </c>
      <c r="B109" s="187" t="s">
        <v>1094</v>
      </c>
      <c r="C109" s="161"/>
      <c r="D109" s="224">
        <f>F251</f>
        <v>21428985.540000003</v>
      </c>
      <c r="E109" s="232">
        <f>+H104</f>
        <v>1</v>
      </c>
      <c r="F109" s="163">
        <f>D109*E109</f>
        <v>21428985.540000003</v>
      </c>
      <c r="G109" s="161"/>
      <c r="H109" s="161"/>
      <c r="I109" s="173"/>
      <c r="J109" s="122"/>
      <c r="L109" s="122"/>
    </row>
    <row r="110" spans="1:12">
      <c r="A110" s="172">
        <f>A109+1</f>
        <v>84</v>
      </c>
      <c r="B110" s="187" t="s">
        <v>1093</v>
      </c>
      <c r="C110" s="161"/>
      <c r="D110" s="224">
        <v>0</v>
      </c>
      <c r="E110" s="232">
        <v>0</v>
      </c>
      <c r="F110" s="163">
        <f>D110*E110</f>
        <v>0</v>
      </c>
      <c r="G110" s="161"/>
      <c r="H110" s="186" t="s">
        <v>1092</v>
      </c>
      <c r="I110" s="173"/>
      <c r="J110" s="122"/>
      <c r="L110" s="122"/>
    </row>
    <row r="111" spans="1:12" ht="13.5" thickBot="1">
      <c r="A111" s="172">
        <f>A110+1</f>
        <v>85</v>
      </c>
      <c r="B111" s="187" t="s">
        <v>1091</v>
      </c>
      <c r="C111" s="161"/>
      <c r="D111" s="221">
        <v>0</v>
      </c>
      <c r="E111" s="232">
        <v>0</v>
      </c>
      <c r="F111" s="177">
        <f>D111*E111</f>
        <v>0</v>
      </c>
      <c r="G111" s="161"/>
      <c r="H111" s="202" t="s">
        <v>1090</v>
      </c>
      <c r="I111" s="173"/>
      <c r="J111" s="122"/>
      <c r="L111" s="122"/>
    </row>
    <row r="112" spans="1:12">
      <c r="A112" s="172">
        <f>A111+1</f>
        <v>86</v>
      </c>
      <c r="B112" s="187" t="s">
        <v>1065</v>
      </c>
      <c r="C112" s="161" t="str">
        <f>"(sum lines "&amp;A108&amp;" to "&amp;A111&amp;")"</f>
        <v>(sum lines 82 to 85)</v>
      </c>
      <c r="D112" s="161">
        <f>SUM(D108:D111)</f>
        <v>21428985.540000003</v>
      </c>
      <c r="E112" s="186"/>
      <c r="F112" s="163">
        <f>SUM(F108:F111)</f>
        <v>21428985.540000003</v>
      </c>
      <c r="G112" s="196" t="s">
        <v>1075</v>
      </c>
      <c r="H112" s="230">
        <f>IF(F112&gt;0,F112/D112,0)</f>
        <v>1</v>
      </c>
      <c r="I112" s="173"/>
      <c r="J112" s="76"/>
      <c r="L112" s="122"/>
    </row>
    <row r="113" spans="1:12">
      <c r="A113" s="172"/>
      <c r="B113" s="187" t="s">
        <v>1089</v>
      </c>
      <c r="C113" s="161" t="s">
        <v>1088</v>
      </c>
      <c r="D113" s="161"/>
      <c r="E113" s="186"/>
      <c r="F113" s="163"/>
      <c r="G113" s="161"/>
      <c r="H113" s="161"/>
      <c r="I113" s="173"/>
      <c r="J113" s="122"/>
      <c r="L113" s="122"/>
    </row>
    <row r="114" spans="1:12" ht="13.5" thickBot="1">
      <c r="A114" s="172"/>
      <c r="B114" s="203"/>
      <c r="C114" s="154"/>
      <c r="D114" s="178" t="s">
        <v>1060</v>
      </c>
      <c r="E114" s="186"/>
      <c r="F114" s="163"/>
      <c r="G114" s="161"/>
      <c r="H114" s="231"/>
      <c r="I114" s="173"/>
      <c r="J114" s="76"/>
      <c r="L114" s="122"/>
    </row>
    <row r="115" spans="1:12">
      <c r="A115" s="172">
        <f>A112+1</f>
        <v>87</v>
      </c>
      <c r="B115" s="187" t="s">
        <v>1087</v>
      </c>
      <c r="C115" s="161"/>
      <c r="D115" s="161">
        <f>C198</f>
        <v>1351360274.4842072</v>
      </c>
      <c r="E115" s="186"/>
      <c r="F115" s="195"/>
      <c r="G115" s="187"/>
      <c r="H115" s="187"/>
      <c r="I115" s="189"/>
      <c r="J115" s="76"/>
      <c r="L115" s="122"/>
    </row>
    <row r="116" spans="1:12">
      <c r="A116" s="172">
        <f t="shared" ref="A116:A123" si="6">A115+1</f>
        <v>88</v>
      </c>
      <c r="B116" s="187" t="s">
        <v>1086</v>
      </c>
      <c r="C116" s="161"/>
      <c r="D116" s="161">
        <f>C196</f>
        <v>1418477171.8700001</v>
      </c>
      <c r="E116" s="186"/>
      <c r="F116" s="163"/>
      <c r="G116" s="161"/>
      <c r="H116" s="231"/>
      <c r="I116" s="189"/>
      <c r="J116" s="122"/>
      <c r="L116" s="76"/>
    </row>
    <row r="117" spans="1:12">
      <c r="A117" s="172">
        <f t="shared" si="6"/>
        <v>89</v>
      </c>
      <c r="B117" s="187" t="s">
        <v>1085</v>
      </c>
      <c r="C117" s="162" t="str">
        <f>"(line "&amp;A115&amp;" / line "&amp;A116&amp;")"</f>
        <v>(line 87 / line 88)</v>
      </c>
      <c r="D117" s="161"/>
      <c r="E117" s="186"/>
      <c r="F117" s="163" t="s">
        <v>1084</v>
      </c>
      <c r="G117" s="186" t="s">
        <v>1075</v>
      </c>
      <c r="H117" s="230">
        <f>D115/D116</f>
        <v>0.95268383678158763</v>
      </c>
      <c r="I117" s="173"/>
      <c r="J117" s="76"/>
      <c r="L117" s="122"/>
    </row>
    <row r="118" spans="1:12">
      <c r="A118" s="172">
        <f t="shared" si="6"/>
        <v>90</v>
      </c>
      <c r="B118" s="187" t="s">
        <v>1083</v>
      </c>
      <c r="C118" s="161"/>
      <c r="D118" s="161">
        <f>D198</f>
        <v>10034426.5875</v>
      </c>
      <c r="E118" s="186"/>
      <c r="F118" s="163"/>
      <c r="G118" s="161"/>
      <c r="H118" s="163"/>
      <c r="I118" s="173"/>
      <c r="J118" s="53"/>
      <c r="L118" s="76"/>
    </row>
    <row r="119" spans="1:12">
      <c r="A119" s="172">
        <f t="shared" si="6"/>
        <v>91</v>
      </c>
      <c r="B119" s="187" t="s">
        <v>1082</v>
      </c>
      <c r="C119" s="161"/>
      <c r="D119" s="161">
        <f>D196</f>
        <v>805173862.79999995</v>
      </c>
      <c r="E119" s="186"/>
      <c r="F119" s="163"/>
      <c r="G119" s="161"/>
      <c r="H119" s="230"/>
      <c r="I119" s="173"/>
      <c r="J119" s="53"/>
      <c r="L119" s="76"/>
    </row>
    <row r="120" spans="1:12">
      <c r="A120" s="172">
        <f t="shared" si="6"/>
        <v>92</v>
      </c>
      <c r="B120" s="187" t="s">
        <v>1081</v>
      </c>
      <c r="C120" s="162" t="str">
        <f>"(line "&amp;A118&amp;" / line "&amp;A119&amp;")"</f>
        <v>(line 90 / line 91)</v>
      </c>
      <c r="D120" s="187"/>
      <c r="E120" s="186"/>
      <c r="F120" s="163" t="s">
        <v>1080</v>
      </c>
      <c r="G120" s="186" t="s">
        <v>1075</v>
      </c>
      <c r="H120" s="230">
        <f>D118/D119</f>
        <v>1.2462434576061851E-2</v>
      </c>
      <c r="I120" s="173"/>
      <c r="J120" s="53"/>
      <c r="L120" s="76"/>
    </row>
    <row r="121" spans="1:12">
      <c r="A121" s="172">
        <f t="shared" si="6"/>
        <v>93</v>
      </c>
      <c r="B121" s="187" t="s">
        <v>1079</v>
      </c>
      <c r="C121" s="161"/>
      <c r="D121" s="161">
        <f>E198</f>
        <v>67247253.260000005</v>
      </c>
      <c r="E121" s="186"/>
      <c r="F121" s="163"/>
      <c r="G121" s="161"/>
      <c r="H121" s="163"/>
      <c r="I121" s="173"/>
      <c r="J121" s="53"/>
      <c r="L121" s="76"/>
    </row>
    <row r="122" spans="1:12">
      <c r="A122" s="172">
        <f t="shared" si="6"/>
        <v>94</v>
      </c>
      <c r="B122" s="187" t="s">
        <v>1078</v>
      </c>
      <c r="C122" s="161"/>
      <c r="D122" s="161">
        <f>E196</f>
        <v>1176464987</v>
      </c>
      <c r="E122" s="186"/>
      <c r="F122" s="163"/>
      <c r="G122" s="161"/>
      <c r="H122" s="230"/>
      <c r="I122" s="173"/>
      <c r="J122" s="53"/>
      <c r="L122" s="76"/>
    </row>
    <row r="123" spans="1:12">
      <c r="A123" s="172">
        <f t="shared" si="6"/>
        <v>95</v>
      </c>
      <c r="B123" s="187" t="s">
        <v>1077</v>
      </c>
      <c r="C123" s="162" t="str">
        <f>"(line "&amp;A121&amp;" / line "&amp;A122&amp;")"</f>
        <v>(line 93 / line 94)</v>
      </c>
      <c r="D123" s="187"/>
      <c r="E123" s="186"/>
      <c r="F123" s="163" t="s">
        <v>1076</v>
      </c>
      <c r="G123" s="186" t="s">
        <v>1075</v>
      </c>
      <c r="H123" s="230">
        <f>D121/D122</f>
        <v>5.716043741470056E-2</v>
      </c>
      <c r="I123" s="173"/>
      <c r="J123" s="53"/>
      <c r="L123" s="76"/>
    </row>
    <row r="124" spans="1:12">
      <c r="A124" s="172"/>
      <c r="B124" s="187" t="s">
        <v>1074</v>
      </c>
      <c r="C124" s="161" t="s">
        <v>1073</v>
      </c>
      <c r="D124" s="161"/>
      <c r="E124" s="186"/>
      <c r="F124" s="163"/>
      <c r="G124" s="161"/>
      <c r="H124" s="163"/>
      <c r="I124" s="229" t="s">
        <v>1072</v>
      </c>
      <c r="J124" s="53"/>
      <c r="L124" s="76"/>
    </row>
    <row r="125" spans="1:12">
      <c r="A125" s="172"/>
      <c r="B125" s="203"/>
      <c r="C125" s="161"/>
      <c r="D125" s="228" t="s">
        <v>1060</v>
      </c>
      <c r="E125" s="186"/>
      <c r="F125" s="163" t="s">
        <v>1071</v>
      </c>
      <c r="G125" s="225" t="s">
        <v>240</v>
      </c>
      <c r="H125" s="227" t="s">
        <v>1070</v>
      </c>
      <c r="I125" s="226">
        <f>H127*F127</f>
        <v>0</v>
      </c>
      <c r="J125" s="53"/>
      <c r="L125" s="76"/>
    </row>
    <row r="126" spans="1:12">
      <c r="A126" s="172">
        <f>A123+1</f>
        <v>96</v>
      </c>
      <c r="B126" s="187" t="s">
        <v>1069</v>
      </c>
      <c r="C126" s="161"/>
      <c r="D126" s="224">
        <v>0</v>
      </c>
      <c r="E126" s="186"/>
      <c r="F126" s="183" t="str">
        <f>"(line "&amp;A126&amp;" / line "&amp;A129&amp;")"</f>
        <v>(line 96 / line 99)</v>
      </c>
      <c r="G126" s="225"/>
      <c r="H126" s="196" t="str">
        <f>"(line "&amp;A112&amp;")"</f>
        <v>(line 86)</v>
      </c>
      <c r="I126" s="189"/>
      <c r="J126" s="53"/>
      <c r="L126" s="122"/>
    </row>
    <row r="127" spans="1:12">
      <c r="A127" s="172">
        <f>A126+1</f>
        <v>97</v>
      </c>
      <c r="B127" s="187" t="s">
        <v>1068</v>
      </c>
      <c r="C127" s="161"/>
      <c r="D127" s="224">
        <v>0</v>
      </c>
      <c r="E127" s="186"/>
      <c r="F127" s="223">
        <f>IF(D129&gt;0,D126/D129,0)</f>
        <v>0</v>
      </c>
      <c r="G127" s="186" t="s">
        <v>1067</v>
      </c>
      <c r="H127" s="222">
        <f>H112</f>
        <v>1</v>
      </c>
      <c r="I127" s="189"/>
      <c r="J127" s="53"/>
    </row>
    <row r="128" spans="1:12" ht="13.5" thickBot="1">
      <c r="A128" s="172">
        <f>A127+1</f>
        <v>98</v>
      </c>
      <c r="B128" s="184" t="s">
        <v>1066</v>
      </c>
      <c r="C128" s="154"/>
      <c r="D128" s="221">
        <v>0</v>
      </c>
      <c r="E128" s="186"/>
      <c r="F128" s="163" t="s">
        <v>240</v>
      </c>
      <c r="G128" s="161"/>
      <c r="H128" s="161"/>
      <c r="I128" s="189"/>
      <c r="J128" s="53"/>
      <c r="L128" s="122"/>
    </row>
    <row r="129" spans="1:23">
      <c r="A129" s="172">
        <f>A128+1</f>
        <v>99</v>
      </c>
      <c r="B129" s="187" t="s">
        <v>1065</v>
      </c>
      <c r="C129" s="161" t="str">
        <f>"(sum lines "&amp;A126&amp;" to "&amp;A128&amp;")"</f>
        <v>(sum lines 96 to 98)</v>
      </c>
      <c r="D129" s="161">
        <f>D126+D127+D128</f>
        <v>0</v>
      </c>
      <c r="E129" s="186"/>
      <c r="F129" s="163"/>
      <c r="G129" s="161"/>
      <c r="H129" s="161"/>
      <c r="I129" s="189"/>
    </row>
    <row r="130" spans="1:23" ht="13.5" thickBot="1">
      <c r="A130" s="172"/>
      <c r="B130" s="187" t="s">
        <v>1064</v>
      </c>
      <c r="C130" s="161"/>
      <c r="D130" s="178" t="s">
        <v>1060</v>
      </c>
      <c r="E130" s="186"/>
      <c r="F130" s="163"/>
      <c r="G130" s="161"/>
      <c r="H130" s="187"/>
      <c r="I130" s="220"/>
    </row>
    <row r="131" spans="1:23">
      <c r="A131" s="172">
        <f>A129+1</f>
        <v>100</v>
      </c>
      <c r="B131" s="161" t="s">
        <v>1063</v>
      </c>
      <c r="C131" s="162"/>
      <c r="D131" s="219">
        <f>F223</f>
        <v>44064182.822756186</v>
      </c>
      <c r="E131" s="186"/>
      <c r="F131" s="163"/>
      <c r="G131" s="161"/>
      <c r="H131" s="161"/>
      <c r="I131" s="189"/>
      <c r="P131" s="145"/>
      <c r="Q131" s="209"/>
      <c r="R131" s="211"/>
      <c r="S131" s="211"/>
      <c r="T131" s="211"/>
      <c r="U131" s="197"/>
      <c r="W131" s="197"/>
    </row>
    <row r="132" spans="1:23">
      <c r="A132" s="172"/>
      <c r="B132" s="203"/>
      <c r="C132" s="161"/>
      <c r="D132" s="161"/>
      <c r="E132" s="186"/>
      <c r="F132" s="163" t="s">
        <v>1062</v>
      </c>
      <c r="G132" s="161"/>
      <c r="H132" s="161"/>
      <c r="I132" s="216" t="s">
        <v>1061</v>
      </c>
      <c r="P132" s="145"/>
      <c r="Q132" s="209"/>
      <c r="R132" s="211"/>
      <c r="S132" s="211"/>
      <c r="T132" s="211"/>
      <c r="U132" s="197"/>
      <c r="W132" s="197"/>
    </row>
    <row r="133" spans="1:23" ht="13.5" thickBot="1">
      <c r="A133" s="172"/>
      <c r="B133" s="203"/>
      <c r="C133" s="162"/>
      <c r="D133" s="202" t="s">
        <v>1060</v>
      </c>
      <c r="E133" s="202" t="s">
        <v>1059</v>
      </c>
      <c r="F133" s="218" t="s">
        <v>1058</v>
      </c>
      <c r="G133" s="161"/>
      <c r="H133" s="202" t="s">
        <v>1057</v>
      </c>
      <c r="I133" s="189"/>
      <c r="P133" s="145"/>
      <c r="Q133" s="209"/>
      <c r="R133" s="211"/>
      <c r="S133" s="211"/>
      <c r="T133" s="211"/>
      <c r="U133" s="197"/>
      <c r="W133" s="197"/>
    </row>
    <row r="134" spans="1:23" ht="26">
      <c r="A134" s="172">
        <f>A131+1</f>
        <v>101</v>
      </c>
      <c r="B134" s="187" t="s">
        <v>1056</v>
      </c>
      <c r="C134" s="217" t="s">
        <v>1055</v>
      </c>
      <c r="D134" s="161">
        <f>F237</f>
        <v>889848119.44020367</v>
      </c>
      <c r="E134" s="214">
        <f>IF($D$136&gt;0,D134/$D$136,0)</f>
        <v>1</v>
      </c>
      <c r="F134" s="213">
        <f>IF(D131&gt;0,D131/D134,0)</f>
        <v>4.9518768270788292E-2</v>
      </c>
      <c r="G134" s="187"/>
      <c r="H134" s="213">
        <f>F134*E134</f>
        <v>4.9518768270788292E-2</v>
      </c>
      <c r="I134" s="216" t="s">
        <v>1054</v>
      </c>
      <c r="P134" s="145"/>
      <c r="Q134" s="209"/>
      <c r="R134" s="211"/>
      <c r="S134" s="211"/>
      <c r="T134" s="211"/>
      <c r="U134" s="197"/>
      <c r="W134" s="197"/>
    </row>
    <row r="135" spans="1:23" ht="13.5" thickBot="1">
      <c r="A135" s="172">
        <f>A134+1</f>
        <v>102</v>
      </c>
      <c r="B135" s="187" t="s">
        <v>1053</v>
      </c>
      <c r="C135" s="162"/>
      <c r="D135" s="154">
        <v>0</v>
      </c>
      <c r="E135" s="214">
        <f>IF($D$136&gt;0,D135/$D$136,0)</f>
        <v>0</v>
      </c>
      <c r="F135" s="213">
        <f>H137</f>
        <v>0.12379999999999999</v>
      </c>
      <c r="G135" s="187"/>
      <c r="H135" s="215">
        <f>F135*E135</f>
        <v>0</v>
      </c>
      <c r="I135" s="189"/>
      <c r="P135" s="145"/>
      <c r="Q135" s="209"/>
      <c r="R135" s="211"/>
      <c r="S135" s="211"/>
      <c r="T135" s="211"/>
      <c r="U135" s="197"/>
      <c r="W135" s="197"/>
    </row>
    <row r="136" spans="1:23">
      <c r="A136" s="172">
        <f>A135+1</f>
        <v>103</v>
      </c>
      <c r="B136" s="187" t="s">
        <v>1052</v>
      </c>
      <c r="C136" s="161" t="str">
        <f>"(sum lines "&amp;A134&amp;" to "&amp;A135&amp;")"</f>
        <v>(sum lines 101 to 102)</v>
      </c>
      <c r="D136" s="161">
        <f>SUM(D134:D135)</f>
        <v>889848119.44020367</v>
      </c>
      <c r="E136" s="214">
        <f>IF($D$136&gt;0,D136/$D$136,0)</f>
        <v>1</v>
      </c>
      <c r="F136" s="213"/>
      <c r="G136" s="187"/>
      <c r="H136" s="213">
        <f>SUM(H134:H135)</f>
        <v>4.9518768270788292E-2</v>
      </c>
      <c r="I136" s="189"/>
      <c r="P136" s="145"/>
      <c r="Q136" s="209"/>
      <c r="R136" s="211"/>
      <c r="S136" s="211"/>
      <c r="T136" s="211"/>
      <c r="U136" s="197"/>
      <c r="W136" s="197"/>
    </row>
    <row r="137" spans="1:23">
      <c r="A137" s="172">
        <f>A136+1</f>
        <v>104</v>
      </c>
      <c r="B137" s="187"/>
      <c r="C137" s="187"/>
      <c r="D137" s="187"/>
      <c r="E137" s="186"/>
      <c r="F137" s="163"/>
      <c r="G137" s="195" t="s">
        <v>1051</v>
      </c>
      <c r="H137" s="212">
        <v>0.12379999999999999</v>
      </c>
      <c r="I137" s="189"/>
      <c r="P137" s="145"/>
      <c r="Q137" s="209"/>
      <c r="R137" s="211"/>
      <c r="S137" s="211"/>
      <c r="T137" s="211"/>
      <c r="U137" s="197"/>
      <c r="W137" s="197"/>
    </row>
    <row r="138" spans="1:23">
      <c r="A138" s="172">
        <f>A137+1</f>
        <v>105</v>
      </c>
      <c r="B138" s="187"/>
      <c r="C138" s="187"/>
      <c r="D138" s="187"/>
      <c r="E138" s="196"/>
      <c r="F138" s="195"/>
      <c r="G138" s="196" t="s">
        <v>1050</v>
      </c>
      <c r="H138" s="210">
        <f>IF(H136&gt;0,H136/F134,0)</f>
        <v>1</v>
      </c>
      <c r="I138" s="189"/>
      <c r="P138" s="209" t="s">
        <v>240</v>
      </c>
      <c r="Q138" s="208"/>
      <c r="R138" s="207"/>
      <c r="S138" s="206"/>
      <c r="T138" s="197"/>
      <c r="V138" s="197"/>
    </row>
    <row r="139" spans="1:23">
      <c r="A139" s="172"/>
      <c r="B139" s="187" t="s">
        <v>1049</v>
      </c>
      <c r="C139" s="162"/>
      <c r="D139" s="162"/>
      <c r="E139" s="164"/>
      <c r="F139" s="183"/>
      <c r="G139" s="162"/>
      <c r="H139" s="183"/>
      <c r="I139" s="189"/>
      <c r="P139" s="205"/>
      <c r="Q139" s="204"/>
      <c r="R139" s="204"/>
      <c r="S139" s="145"/>
      <c r="T139" s="197"/>
      <c r="V139" s="197"/>
    </row>
    <row r="140" spans="1:23" ht="13.5" thickBot="1">
      <c r="A140" s="172"/>
      <c r="B140" s="203"/>
      <c r="C140" s="203"/>
      <c r="D140" s="203"/>
      <c r="E140" s="164"/>
      <c r="F140" s="183"/>
      <c r="G140" s="203"/>
      <c r="H140" s="202" t="s">
        <v>1048</v>
      </c>
      <c r="I140" s="189"/>
      <c r="P140" s="199"/>
      <c r="Q140" s="145"/>
      <c r="R140" s="145"/>
      <c r="S140" s="198"/>
      <c r="T140" s="197"/>
      <c r="V140" s="197"/>
    </row>
    <row r="141" spans="1:23">
      <c r="A141" s="172"/>
      <c r="B141" s="187" t="s">
        <v>1047</v>
      </c>
      <c r="C141" s="162"/>
      <c r="D141" s="162"/>
      <c r="E141" s="164"/>
      <c r="F141" s="201" t="s">
        <v>240</v>
      </c>
      <c r="G141" s="194"/>
      <c r="H141" s="200"/>
      <c r="I141" s="189"/>
      <c r="P141" s="199"/>
      <c r="Q141" s="145"/>
      <c r="R141" s="145"/>
      <c r="S141" s="198"/>
      <c r="T141" s="197"/>
      <c r="V141" s="197"/>
    </row>
    <row r="142" spans="1:23">
      <c r="A142" s="172">
        <f>A138+1</f>
        <v>106</v>
      </c>
      <c r="B142" s="187" t="s">
        <v>1046</v>
      </c>
      <c r="C142" s="162" t="s">
        <v>1045</v>
      </c>
      <c r="D142" s="162"/>
      <c r="E142" s="196"/>
      <c r="F142" s="195"/>
      <c r="G142" s="194"/>
      <c r="H142" s="190">
        <v>0</v>
      </c>
      <c r="I142" s="189"/>
    </row>
    <row r="143" spans="1:23" ht="13.5" thickBot="1">
      <c r="A143" s="172">
        <f t="shared" ref="A143:A149" si="7">A142+1</f>
        <v>107</v>
      </c>
      <c r="B143" s="184" t="s">
        <v>1044</v>
      </c>
      <c r="C143" s="162"/>
      <c r="D143" s="187"/>
      <c r="E143" s="164"/>
      <c r="F143" s="183"/>
      <c r="G143" s="162"/>
      <c r="H143" s="193">
        <v>0</v>
      </c>
      <c r="I143" s="192"/>
    </row>
    <row r="144" spans="1:23">
      <c r="A144" s="172">
        <f t="shared" si="7"/>
        <v>108</v>
      </c>
      <c r="B144" s="187" t="s">
        <v>1043</v>
      </c>
      <c r="C144" s="162"/>
      <c r="D144" s="187"/>
      <c r="E144" s="164"/>
      <c r="F144" s="183"/>
      <c r="G144" s="162"/>
      <c r="H144" s="163">
        <f>+H142-H143</f>
        <v>0</v>
      </c>
      <c r="I144" s="192"/>
    </row>
    <row r="145" spans="1:12">
      <c r="A145" s="172">
        <f t="shared" si="7"/>
        <v>109</v>
      </c>
      <c r="B145" s="187" t="s">
        <v>1042</v>
      </c>
      <c r="C145" s="162" t="s">
        <v>1041</v>
      </c>
      <c r="D145" s="187"/>
      <c r="E145" s="164"/>
      <c r="F145" s="191"/>
      <c r="G145" s="162"/>
      <c r="H145" s="190">
        <v>79567</v>
      </c>
      <c r="I145" s="189"/>
    </row>
    <row r="146" spans="1:12">
      <c r="A146" s="172">
        <f t="shared" si="7"/>
        <v>110</v>
      </c>
      <c r="B146" s="187" t="s">
        <v>1040</v>
      </c>
      <c r="C146" s="162"/>
      <c r="D146" s="162"/>
      <c r="E146" s="164"/>
      <c r="F146" s="183"/>
      <c r="G146" s="162"/>
      <c r="H146" s="188">
        <v>0</v>
      </c>
      <c r="I146" s="181"/>
    </row>
    <row r="147" spans="1:12">
      <c r="A147" s="172">
        <f t="shared" si="7"/>
        <v>111</v>
      </c>
      <c r="B147" s="187" t="s">
        <v>1039</v>
      </c>
      <c r="C147" s="161"/>
      <c r="D147" s="161"/>
      <c r="E147" s="186"/>
      <c r="F147" s="163"/>
      <c r="G147" s="161"/>
      <c r="H147" s="185">
        <v>0</v>
      </c>
      <c r="I147" s="181"/>
    </row>
    <row r="148" spans="1:12" ht="13.5" thickBot="1">
      <c r="A148" s="172">
        <f t="shared" si="7"/>
        <v>112</v>
      </c>
      <c r="B148" s="184" t="s">
        <v>1038</v>
      </c>
      <c r="C148" s="155"/>
      <c r="D148" s="162"/>
      <c r="E148" s="164"/>
      <c r="F148" s="183"/>
      <c r="G148" s="162"/>
      <c r="H148" s="182">
        <v>0</v>
      </c>
      <c r="I148" s="181"/>
    </row>
    <row r="149" spans="1:12" ht="13.5" thickBot="1">
      <c r="A149" s="180">
        <f t="shared" si="7"/>
        <v>113</v>
      </c>
      <c r="B149" s="179" t="str">
        <f>+B144</f>
        <v xml:space="preserve">  Total of (a)-(b)</v>
      </c>
      <c r="C149" s="157"/>
      <c r="D149" s="154"/>
      <c r="E149" s="178"/>
      <c r="F149" s="177"/>
      <c r="G149" s="155"/>
      <c r="H149" s="176">
        <f>+H147-H148</f>
        <v>0</v>
      </c>
      <c r="I149" s="175"/>
    </row>
    <row r="150" spans="1:12">
      <c r="A150" s="169" t="s">
        <v>1037</v>
      </c>
      <c r="B150" s="855" t="s">
        <v>1036</v>
      </c>
      <c r="C150" s="855"/>
      <c r="D150" s="855"/>
      <c r="E150" s="855"/>
      <c r="F150" s="855"/>
      <c r="G150" s="855"/>
      <c r="H150" s="855"/>
      <c r="I150" s="856"/>
      <c r="J150" s="76"/>
      <c r="L150" s="76"/>
    </row>
    <row r="151" spans="1:12" ht="13.5" thickBot="1">
      <c r="A151" s="174" t="s">
        <v>1035</v>
      </c>
      <c r="B151" s="855" t="s">
        <v>1034</v>
      </c>
      <c r="C151" s="855"/>
      <c r="D151" s="855"/>
      <c r="E151" s="855"/>
      <c r="F151" s="855"/>
      <c r="G151" s="855"/>
      <c r="H151" s="855"/>
      <c r="I151" s="856"/>
      <c r="J151" s="76"/>
      <c r="L151" s="76"/>
    </row>
    <row r="152" spans="1:12">
      <c r="A152" s="169" t="s">
        <v>1033</v>
      </c>
      <c r="B152" s="855" t="s">
        <v>1032</v>
      </c>
      <c r="C152" s="855"/>
      <c r="D152" s="855"/>
      <c r="E152" s="855"/>
      <c r="F152" s="855"/>
      <c r="G152" s="855"/>
      <c r="H152" s="855"/>
      <c r="I152" s="856"/>
      <c r="J152" s="76"/>
      <c r="L152" s="76"/>
    </row>
    <row r="153" spans="1:12" ht="25.5" customHeight="1">
      <c r="A153" s="168" t="s">
        <v>1031</v>
      </c>
      <c r="B153" s="851" t="s">
        <v>1030</v>
      </c>
      <c r="C153" s="851"/>
      <c r="D153" s="851"/>
      <c r="E153" s="851"/>
      <c r="F153" s="851"/>
      <c r="G153" s="851"/>
      <c r="H153" s="851"/>
      <c r="I153" s="852"/>
      <c r="J153" s="76"/>
      <c r="L153" s="76"/>
    </row>
    <row r="154" spans="1:12">
      <c r="A154" s="169" t="s">
        <v>1029</v>
      </c>
      <c r="B154" s="853" t="s">
        <v>1028</v>
      </c>
      <c r="C154" s="853"/>
      <c r="D154" s="853"/>
      <c r="E154" s="853"/>
      <c r="F154" s="853"/>
      <c r="G154" s="853"/>
      <c r="H154" s="853"/>
      <c r="I154" s="854"/>
      <c r="J154" s="76"/>
      <c r="L154" s="76"/>
    </row>
    <row r="155" spans="1:12" ht="25.5" customHeight="1">
      <c r="A155" s="168" t="s">
        <v>1027</v>
      </c>
      <c r="B155" s="851" t="str">
        <f>"Cash Working Capital assigned to transmission is one-eighth of O&amp;M allocated to transmission at line "&amp;A62&amp;" column 5.  Prepayments are the electric related prepayments booked to Account No. 165 and reported in the Other Assets Section of the Balance Sheet."</f>
        <v>Cash Working Capital assigned to transmission is one-eighth of O&amp;M allocated to transmission at line 47 column 5.  Prepayments are the electric related prepayments booked to Account No. 165 and reported in the Other Assets Section of the Balance Sheet.</v>
      </c>
      <c r="C155" s="851"/>
      <c r="D155" s="851"/>
      <c r="E155" s="851"/>
      <c r="F155" s="851"/>
      <c r="G155" s="851"/>
      <c r="H155" s="851"/>
      <c r="I155" s="852"/>
      <c r="J155" s="76"/>
      <c r="L155" s="76"/>
    </row>
    <row r="156" spans="1:12" ht="25.5" customHeight="1">
      <c r="A156" s="168" t="s">
        <v>11</v>
      </c>
      <c r="B156" s="851" t="s">
        <v>1026</v>
      </c>
      <c r="C156" s="851"/>
      <c r="D156" s="851"/>
      <c r="E156" s="851"/>
      <c r="F156" s="851"/>
      <c r="G156" s="851"/>
      <c r="H156" s="851"/>
      <c r="I156" s="852"/>
      <c r="J156" s="76"/>
      <c r="L156" s="76"/>
    </row>
    <row r="157" spans="1:12">
      <c r="A157" s="169" t="s">
        <v>1025</v>
      </c>
      <c r="B157" s="853" t="s">
        <v>1024</v>
      </c>
      <c r="C157" s="853"/>
      <c r="D157" s="853"/>
      <c r="E157" s="853"/>
      <c r="F157" s="853"/>
      <c r="G157" s="853"/>
      <c r="H157" s="853"/>
      <c r="I157" s="854"/>
      <c r="J157" s="76"/>
      <c r="L157" s="76"/>
    </row>
    <row r="158" spans="1:12" ht="25.5" customHeight="1">
      <c r="A158" s="168" t="s">
        <v>1023</v>
      </c>
      <c r="B158" s="851" t="str">
        <f>"Line "&amp;A58&amp;" - EPRI Annual Membership Dues, all Regulatory Commission Expenses, and non-safety related advertising.  Line "&amp;A59&amp;" - Regulatory Commission Expenses directly related to transmission service, ISO filings, or transmission siting."</f>
        <v>Line 43 - EPRI Annual Membership Dues, all Regulatory Commission Expenses, and non-safety related advertising.  Line 44 - Regulatory Commission Expenses directly related to transmission service, ISO filings, or transmission siting.</v>
      </c>
      <c r="C158" s="851"/>
      <c r="D158" s="851"/>
      <c r="E158" s="851"/>
      <c r="F158" s="851"/>
      <c r="G158" s="851"/>
      <c r="H158" s="851"/>
      <c r="I158" s="852"/>
      <c r="J158" s="76"/>
      <c r="L158" s="76"/>
    </row>
    <row r="159" spans="1:12" ht="25.5" customHeight="1">
      <c r="A159" s="168" t="s">
        <v>1022</v>
      </c>
      <c r="B159" s="851" t="s">
        <v>1021</v>
      </c>
      <c r="C159" s="851"/>
      <c r="D159" s="851"/>
      <c r="E159" s="851"/>
      <c r="F159" s="851"/>
      <c r="G159" s="851"/>
      <c r="H159" s="851"/>
      <c r="I159" s="852"/>
      <c r="J159" s="76"/>
      <c r="L159" s="76"/>
    </row>
    <row r="160" spans="1:12">
      <c r="A160" s="169" t="s">
        <v>1020</v>
      </c>
      <c r="B160" s="166" t="s">
        <v>1019</v>
      </c>
      <c r="C160" s="162"/>
      <c r="D160" s="162"/>
      <c r="E160" s="164"/>
      <c r="F160" s="163"/>
      <c r="G160" s="162"/>
      <c r="H160" s="161"/>
      <c r="I160" s="173"/>
      <c r="J160" s="76"/>
      <c r="L160" s="76"/>
    </row>
    <row r="161" spans="1:12">
      <c r="A161" s="169" t="s">
        <v>240</v>
      </c>
      <c r="B161" s="166" t="s">
        <v>1018</v>
      </c>
      <c r="C161" s="166" t="s">
        <v>1017</v>
      </c>
      <c r="D161" s="171">
        <v>0</v>
      </c>
      <c r="E161" s="164"/>
      <c r="F161" s="163"/>
      <c r="G161" s="162"/>
      <c r="H161" s="161"/>
      <c r="I161" s="173"/>
      <c r="J161" s="76"/>
      <c r="L161" s="76"/>
    </row>
    <row r="162" spans="1:12">
      <c r="A162" s="172"/>
      <c r="B162" s="162"/>
      <c r="C162" s="166" t="s">
        <v>1016</v>
      </c>
      <c r="D162" s="171">
        <v>0</v>
      </c>
      <c r="E162" s="857" t="s">
        <v>1015</v>
      </c>
      <c r="F162" s="857"/>
      <c r="G162" s="857"/>
      <c r="H162" s="857"/>
      <c r="I162" s="858"/>
      <c r="J162" s="76"/>
      <c r="L162" s="76"/>
    </row>
    <row r="163" spans="1:12">
      <c r="A163" s="172"/>
      <c r="B163" s="162"/>
      <c r="C163" s="166" t="s">
        <v>1014</v>
      </c>
      <c r="D163" s="171">
        <v>0</v>
      </c>
      <c r="E163" s="857" t="s">
        <v>1013</v>
      </c>
      <c r="F163" s="857"/>
      <c r="G163" s="857"/>
      <c r="H163" s="857"/>
      <c r="I163" s="858"/>
      <c r="J163" s="76"/>
      <c r="L163" s="76"/>
    </row>
    <row r="164" spans="1:12">
      <c r="A164" s="169" t="s">
        <v>1012</v>
      </c>
      <c r="B164" s="853" t="s">
        <v>1011</v>
      </c>
      <c r="C164" s="853"/>
      <c r="D164" s="853"/>
      <c r="E164" s="853"/>
      <c r="F164" s="853"/>
      <c r="G164" s="853"/>
      <c r="H164" s="853"/>
      <c r="I164" s="854"/>
      <c r="J164" s="76"/>
      <c r="L164" s="76"/>
    </row>
    <row r="165" spans="1:12">
      <c r="A165" s="168" t="s">
        <v>1010</v>
      </c>
      <c r="B165" s="851" t="s">
        <v>1009</v>
      </c>
      <c r="C165" s="851"/>
      <c r="D165" s="851"/>
      <c r="E165" s="851"/>
      <c r="F165" s="851"/>
      <c r="G165" s="851"/>
      <c r="H165" s="851"/>
      <c r="I165" s="852"/>
      <c r="J165" s="76"/>
      <c r="L165" s="76"/>
    </row>
    <row r="166" spans="1:12" ht="25.5" customHeight="1">
      <c r="A166" s="168" t="s">
        <v>1008</v>
      </c>
      <c r="B166" s="851" t="s">
        <v>1007</v>
      </c>
      <c r="C166" s="851"/>
      <c r="D166" s="851"/>
      <c r="E166" s="851"/>
      <c r="F166" s="851"/>
      <c r="G166" s="851"/>
      <c r="H166" s="851"/>
      <c r="I166" s="852"/>
      <c r="J166" s="76"/>
      <c r="L166" s="76"/>
    </row>
    <row r="167" spans="1:12">
      <c r="A167" s="168" t="s">
        <v>1006</v>
      </c>
      <c r="B167" s="851" t="s">
        <v>1005</v>
      </c>
      <c r="C167" s="851"/>
      <c r="D167" s="851"/>
      <c r="E167" s="851"/>
      <c r="F167" s="851"/>
      <c r="G167" s="851"/>
      <c r="H167" s="851"/>
      <c r="I167" s="852"/>
      <c r="J167" s="91"/>
      <c r="L167" s="76"/>
    </row>
    <row r="168" spans="1:12">
      <c r="A168" s="169" t="s">
        <v>1004</v>
      </c>
      <c r="B168" s="853" t="s">
        <v>1003</v>
      </c>
      <c r="C168" s="853"/>
      <c r="D168" s="853"/>
      <c r="E168" s="853"/>
      <c r="F168" s="853"/>
      <c r="G168" s="853"/>
      <c r="H168" s="853"/>
      <c r="I168" s="854"/>
      <c r="J168" s="170"/>
      <c r="L168" s="76"/>
    </row>
    <row r="169" spans="1:12" ht="25.5" customHeight="1">
      <c r="A169" s="168" t="s">
        <v>1002</v>
      </c>
      <c r="B169" s="851" t="str">
        <f>"Debt cost rate = long-term interest (line "&amp;A131&amp;") / long term debt (line "&amp;A134&amp;").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100) / long term debt (line 101).  The Proprietary Capital Cost rate is implicit, a residual calculation after TIER is determined. TIER will be supported in the filing and no change in TIER may be made absent a filing with the ISO and the FERC, if the entity is under FERC's jurisdiction.</v>
      </c>
      <c r="C169" s="851"/>
      <c r="D169" s="851"/>
      <c r="E169" s="851"/>
      <c r="F169" s="851"/>
      <c r="G169" s="851"/>
      <c r="H169" s="851"/>
      <c r="I169" s="852"/>
      <c r="L169" s="76"/>
    </row>
    <row r="170" spans="1:12">
      <c r="A170" s="169" t="s">
        <v>1001</v>
      </c>
      <c r="B170" s="853" t="str">
        <f>"Line "&amp;A142&amp;" must equal zero since all short-term power sales must be unbundled and the transmission component reflected in Account No. 456 and all other uses are to be included in the divisor."</f>
        <v>Line 106 must equal zero since all short-term power sales must be unbundled and the transmission component reflected in Account No. 456 and all other uses are to be included in the divisor.</v>
      </c>
      <c r="C170" s="853"/>
      <c r="D170" s="853"/>
      <c r="E170" s="853"/>
      <c r="F170" s="853"/>
      <c r="G170" s="853"/>
      <c r="H170" s="853"/>
      <c r="I170" s="854"/>
      <c r="L170" s="76"/>
    </row>
    <row r="171" spans="1:12">
      <c r="A171" s="169" t="s">
        <v>1000</v>
      </c>
      <c r="B171" s="853" t="s">
        <v>999</v>
      </c>
      <c r="C171" s="853"/>
      <c r="D171" s="853"/>
      <c r="E171" s="853"/>
      <c r="F171" s="853"/>
      <c r="G171" s="853"/>
      <c r="H171" s="853"/>
      <c r="I171" s="854"/>
      <c r="L171" s="76"/>
    </row>
    <row r="172" spans="1:12" ht="25.5" customHeight="1">
      <c r="A172" s="168" t="s">
        <v>998</v>
      </c>
      <c r="B172" s="851" t="e">
        <f>"The revenues credited in lines "&amp;#REF!&amp;"-"&amp;#REF!&amp;" shall include only the amounts received directly reflecting the Transmission Owner's integrated transmission facilities.  They do not include revenues associated with FERC annual charges, "&amp;"gross receipts taxes, facilities not included in this template (e.g., direct assignment facilites and GSUs) which are not recovered under this Revenue Requirement Template."</f>
        <v>#REF!</v>
      </c>
      <c r="C172" s="851"/>
      <c r="D172" s="851"/>
      <c r="E172" s="851"/>
      <c r="F172" s="851"/>
      <c r="G172" s="851"/>
      <c r="H172" s="851"/>
      <c r="I172" s="852"/>
      <c r="J172" s="76"/>
    </row>
    <row r="173" spans="1:12">
      <c r="A173" s="167"/>
      <c r="B173" s="166" t="s">
        <v>997</v>
      </c>
      <c r="C173" s="165"/>
      <c r="D173" s="162"/>
      <c r="E173" s="164"/>
      <c r="F173" s="163"/>
      <c r="G173" s="162"/>
      <c r="H173" s="161"/>
      <c r="I173" s="160"/>
      <c r="J173" s="76"/>
    </row>
    <row r="174" spans="1:12" ht="13.5" thickBot="1">
      <c r="A174" s="159"/>
      <c r="B174" s="158"/>
      <c r="C174" s="155"/>
      <c r="D174" s="155"/>
      <c r="E174" s="157"/>
      <c r="F174" s="156"/>
      <c r="G174" s="155"/>
      <c r="H174" s="154"/>
      <c r="I174" s="153"/>
      <c r="J174" s="53"/>
      <c r="L174" s="53"/>
    </row>
    <row r="175" spans="1:12" ht="13.5" thickBot="1">
      <c r="A175" s="149"/>
      <c r="B175" s="122" t="s">
        <v>996</v>
      </c>
      <c r="C175" s="37"/>
      <c r="D175" s="122" t="s">
        <v>240</v>
      </c>
      <c r="E175" s="152"/>
      <c r="F175" s="151"/>
      <c r="G175" s="150"/>
      <c r="H175" s="145"/>
      <c r="I175" s="145"/>
      <c r="J175" s="53"/>
      <c r="L175" s="53"/>
    </row>
    <row r="176" spans="1:12">
      <c r="A176" s="149"/>
      <c r="B176" s="121"/>
      <c r="C176" s="59" t="s">
        <v>981</v>
      </c>
      <c r="D176" s="120" t="s">
        <v>950</v>
      </c>
      <c r="E176" s="59" t="s">
        <v>957</v>
      </c>
      <c r="F176" s="58" t="s">
        <v>980</v>
      </c>
      <c r="G176" s="37"/>
      <c r="H176" s="145"/>
      <c r="I176" s="145"/>
      <c r="J176" s="53"/>
      <c r="L176" s="53"/>
    </row>
    <row r="177" spans="1:12">
      <c r="A177" s="149"/>
      <c r="B177" s="116" t="s">
        <v>995</v>
      </c>
      <c r="C177" s="73">
        <f>'WS4-CostData'!C122</f>
        <v>67527563.679999977</v>
      </c>
      <c r="D177" s="73">
        <f>'WS4-CostData'!E122</f>
        <v>46417098.880000003</v>
      </c>
      <c r="E177" s="115">
        <f>'WS4-CostData'!G122</f>
        <v>46743530</v>
      </c>
      <c r="F177" s="100">
        <f t="shared" ref="F177:F186" si="8">SUM(C177:E177)</f>
        <v>160688192.55999997</v>
      </c>
      <c r="G177" s="37"/>
      <c r="H177" s="145"/>
      <c r="I177" s="145"/>
      <c r="J177" s="53"/>
      <c r="L177" s="53"/>
    </row>
    <row r="178" spans="1:12">
      <c r="A178" s="149"/>
      <c r="B178" s="116" t="s">
        <v>994</v>
      </c>
      <c r="C178" s="73"/>
      <c r="D178" s="73"/>
      <c r="E178" s="54"/>
      <c r="F178" s="100">
        <f t="shared" si="8"/>
        <v>0</v>
      </c>
      <c r="G178" s="37"/>
      <c r="H178" s="145"/>
      <c r="I178" s="145"/>
      <c r="J178" s="53"/>
      <c r="L178" s="53"/>
    </row>
    <row r="179" spans="1:12">
      <c r="A179" s="149"/>
      <c r="B179" s="116" t="s">
        <v>993</v>
      </c>
      <c r="C179" s="73"/>
      <c r="D179" s="73"/>
      <c r="E179" s="54"/>
      <c r="F179" s="100">
        <f t="shared" si="8"/>
        <v>0</v>
      </c>
      <c r="G179" s="37"/>
      <c r="H179" s="145"/>
      <c r="J179" s="53"/>
      <c r="L179" s="53"/>
    </row>
    <row r="180" spans="1:12">
      <c r="A180" s="149"/>
      <c r="B180" s="116" t="s">
        <v>992</v>
      </c>
      <c r="C180" s="73"/>
      <c r="D180" s="73"/>
      <c r="E180" s="54"/>
      <c r="F180" s="100">
        <f t="shared" si="8"/>
        <v>0</v>
      </c>
      <c r="G180" s="37"/>
      <c r="H180" s="145"/>
      <c r="J180" s="53"/>
      <c r="L180" s="53"/>
    </row>
    <row r="181" spans="1:12">
      <c r="B181" s="116" t="s">
        <v>991</v>
      </c>
      <c r="C181" s="73"/>
      <c r="D181" s="73"/>
      <c r="E181" s="54"/>
      <c r="F181" s="100">
        <f t="shared" si="8"/>
        <v>0</v>
      </c>
      <c r="G181" s="37"/>
      <c r="H181" s="145"/>
      <c r="J181" s="53"/>
      <c r="L181" s="53"/>
    </row>
    <row r="182" spans="1:12">
      <c r="B182" s="116" t="s">
        <v>990</v>
      </c>
      <c r="C182" s="73"/>
      <c r="D182" s="73"/>
      <c r="E182" s="54"/>
      <c r="F182" s="100">
        <f t="shared" si="8"/>
        <v>0</v>
      </c>
      <c r="G182" s="37"/>
      <c r="H182" s="145"/>
      <c r="J182" s="53"/>
      <c r="L182" s="53"/>
    </row>
    <row r="183" spans="1:12">
      <c r="B183" s="116" t="s">
        <v>989</v>
      </c>
      <c r="C183" s="148"/>
      <c r="D183" s="73"/>
      <c r="E183" s="54"/>
      <c r="F183" s="100">
        <f t="shared" si="8"/>
        <v>0</v>
      </c>
      <c r="G183" s="37"/>
      <c r="H183" s="145"/>
      <c r="J183" s="53"/>
      <c r="L183" s="53"/>
    </row>
    <row r="184" spans="1:12">
      <c r="B184" s="116" t="s">
        <v>988</v>
      </c>
      <c r="C184" s="148"/>
      <c r="D184" s="73"/>
      <c r="E184" s="54"/>
      <c r="F184" s="100">
        <f t="shared" si="8"/>
        <v>0</v>
      </c>
      <c r="G184" s="37"/>
      <c r="H184" s="145"/>
      <c r="J184" s="53"/>
      <c r="L184" s="53"/>
    </row>
    <row r="185" spans="1:12">
      <c r="B185" s="116" t="s">
        <v>987</v>
      </c>
      <c r="C185" s="73"/>
      <c r="D185" s="73"/>
      <c r="E185" s="54"/>
      <c r="F185" s="100">
        <f t="shared" si="8"/>
        <v>0</v>
      </c>
      <c r="G185" s="37"/>
      <c r="H185" s="145"/>
      <c r="J185" s="53"/>
      <c r="L185" s="53"/>
    </row>
    <row r="186" spans="1:12">
      <c r="B186" s="116" t="s">
        <v>986</v>
      </c>
      <c r="C186" s="138"/>
      <c r="D186" s="138"/>
      <c r="E186" s="147"/>
      <c r="F186" s="126">
        <f t="shared" si="8"/>
        <v>0</v>
      </c>
      <c r="G186" s="37"/>
      <c r="H186" s="145"/>
      <c r="J186" s="53"/>
      <c r="L186" s="53"/>
    </row>
    <row r="187" spans="1:12" ht="13.5" thickBot="1">
      <c r="B187" s="96"/>
      <c r="C187" s="112">
        <f>C177-C178-C179-C180+C183+C184+C185+C186-C181</f>
        <v>67527563.679999977</v>
      </c>
      <c r="D187" s="112">
        <f>D177-D178-D179-D180+D183+D184+D185+D186-D181</f>
        <v>46417098.880000003</v>
      </c>
      <c r="E187" s="111">
        <f>E177-E178-E179-E180+E183+E184+E185+E186-E181</f>
        <v>46743530</v>
      </c>
      <c r="F187" s="110">
        <f>F177-F178-F179-F180+F183+F184+F185+F186-F181</f>
        <v>160688192.55999997</v>
      </c>
      <c r="G187" s="37"/>
      <c r="H187" s="145"/>
      <c r="J187" s="53"/>
      <c r="L187" s="53"/>
    </row>
    <row r="188" spans="1:12" ht="13.5" thickBot="1">
      <c r="B188" s="76"/>
      <c r="C188" s="37"/>
      <c r="D188" s="76"/>
      <c r="E188" s="80"/>
      <c r="F188" s="79"/>
      <c r="G188" s="37"/>
      <c r="H188" s="145"/>
      <c r="J188" s="53"/>
      <c r="L188" s="53"/>
    </row>
    <row r="189" spans="1:12">
      <c r="B189" s="121" t="s">
        <v>985</v>
      </c>
      <c r="C189" s="133">
        <f>'WS4-CostData'!C95</f>
        <v>19762043.349999998</v>
      </c>
      <c r="D189" s="133">
        <f>'WS4-CostData'!E115</f>
        <v>9914051.5299999993</v>
      </c>
      <c r="E189" s="59">
        <f>E181</f>
        <v>0</v>
      </c>
      <c r="F189" s="146">
        <f>SUM(C189:E189)</f>
        <v>29676094.879999995</v>
      </c>
      <c r="G189" s="37"/>
      <c r="H189" s="145"/>
      <c r="J189" s="78"/>
      <c r="L189" s="53"/>
    </row>
    <row r="190" spans="1:12" ht="13.5" thickBot="1">
      <c r="B190" s="144"/>
      <c r="C190" s="57"/>
      <c r="D190" s="75"/>
      <c r="E190" s="54"/>
      <c r="F190" s="125">
        <f>SUM(F187:F189)</f>
        <v>190364287.43999997</v>
      </c>
      <c r="G190" s="37"/>
      <c r="J190" s="53"/>
      <c r="L190" s="53"/>
    </row>
    <row r="191" spans="1:12" ht="13.5" thickTop="1">
      <c r="B191" s="118"/>
      <c r="C191" s="57"/>
      <c r="D191" s="57"/>
      <c r="E191" s="54"/>
      <c r="F191" s="117"/>
      <c r="G191" s="37"/>
      <c r="J191" s="53"/>
      <c r="L191" s="53"/>
    </row>
    <row r="192" spans="1:12" ht="13.5" thickBot="1">
      <c r="B192" s="143"/>
      <c r="C192" s="95"/>
      <c r="D192" s="142"/>
      <c r="E192" s="124" t="str">
        <f>"line "&amp;A62</f>
        <v>line 47</v>
      </c>
      <c r="F192" s="123">
        <f>D62</f>
        <v>190364287.43999997</v>
      </c>
      <c r="G192" s="37"/>
      <c r="J192" s="53"/>
      <c r="L192" s="53"/>
    </row>
    <row r="193" spans="2:12">
      <c r="B193" s="76"/>
      <c r="C193" s="37"/>
      <c r="D193" s="76"/>
      <c r="E193" s="80"/>
      <c r="F193" s="79"/>
      <c r="G193" s="37"/>
      <c r="J193" s="53"/>
      <c r="L193" s="53"/>
    </row>
    <row r="194" spans="2:12" ht="13.5" thickBot="1">
      <c r="B194" s="122" t="s">
        <v>984</v>
      </c>
      <c r="C194" s="37"/>
      <c r="D194" s="122" t="s">
        <v>240</v>
      </c>
      <c r="E194" s="80"/>
      <c r="F194" s="79"/>
      <c r="G194" s="37"/>
      <c r="J194" s="53"/>
      <c r="L194" s="53"/>
    </row>
    <row r="195" spans="2:12">
      <c r="B195" s="121"/>
      <c r="C195" s="59" t="s">
        <v>981</v>
      </c>
      <c r="D195" s="120" t="s">
        <v>950</v>
      </c>
      <c r="E195" s="120" t="s">
        <v>957</v>
      </c>
      <c r="F195" s="119" t="s">
        <v>980</v>
      </c>
      <c r="G195" s="37"/>
      <c r="J195" s="53"/>
      <c r="L195" s="53"/>
    </row>
    <row r="196" spans="2:12">
      <c r="B196" s="141" t="s">
        <v>978</v>
      </c>
      <c r="C196" s="138">
        <f>'WS4-CostData'!C7</f>
        <v>1418477171.8700001</v>
      </c>
      <c r="D196" s="138">
        <f>'WS4-CostData'!E7</f>
        <v>805173862.79999995</v>
      </c>
      <c r="E196" s="138">
        <f>'WS4-CostData'!G7</f>
        <v>1176464987</v>
      </c>
      <c r="F196" s="136">
        <f>SUM(C196:E196)</f>
        <v>3400116021.6700001</v>
      </c>
      <c r="G196" s="37"/>
      <c r="J196" s="53"/>
      <c r="L196" s="53"/>
    </row>
    <row r="197" spans="2:12">
      <c r="B197" s="116" t="s">
        <v>977</v>
      </c>
      <c r="C197" s="140">
        <f>'WS4-CostData'!C9</f>
        <v>13555863.331200004</v>
      </c>
      <c r="D197" s="140">
        <f>'WS4-CostData'!E9</f>
        <v>0</v>
      </c>
      <c r="E197" s="140">
        <f>'WS4-CostData'!G9</f>
        <v>1109217733.74</v>
      </c>
      <c r="F197" s="114">
        <f>SUM(C197:E197)</f>
        <v>1122773597.0711999</v>
      </c>
      <c r="G197" s="37"/>
      <c r="J197" s="53"/>
      <c r="L197" s="53"/>
    </row>
    <row r="198" spans="2:12">
      <c r="B198" s="116" t="s">
        <v>976</v>
      </c>
      <c r="C198" s="140">
        <f>'WS4-CostData'!C8</f>
        <v>1351360274.4842072</v>
      </c>
      <c r="D198" s="140">
        <f>'WS4-CostData'!E8</f>
        <v>10034426.5875</v>
      </c>
      <c r="E198" s="140">
        <f>'WS4-CostData'!G8</f>
        <v>67247253.260000005</v>
      </c>
      <c r="F198" s="114">
        <f>SUM(C198:E198)</f>
        <v>1428641954.3317072</v>
      </c>
      <c r="G198" s="37"/>
      <c r="J198" s="53"/>
      <c r="L198" s="53"/>
    </row>
    <row r="199" spans="2:12">
      <c r="B199" s="116" t="s">
        <v>975</v>
      </c>
      <c r="C199" s="73">
        <f>C196-C198-C197</f>
        <v>53561034.054592967</v>
      </c>
      <c r="D199" s="73">
        <v>0</v>
      </c>
      <c r="E199" s="73">
        <f>E196-E198-E197</f>
        <v>0</v>
      </c>
      <c r="F199" s="114">
        <f>SUM(C199:E199)</f>
        <v>53561034.054592967</v>
      </c>
      <c r="G199" s="37"/>
      <c r="J199" s="53"/>
      <c r="L199" s="53"/>
    </row>
    <row r="200" spans="2:12">
      <c r="B200" s="139"/>
      <c r="C200" s="73"/>
      <c r="D200" s="73"/>
      <c r="E200" s="115"/>
      <c r="F200" s="114">
        <f>C200+D200</f>
        <v>0</v>
      </c>
      <c r="G200" s="37"/>
      <c r="J200" s="53"/>
      <c r="L200" s="53"/>
    </row>
    <row r="201" spans="2:12">
      <c r="B201" s="99"/>
      <c r="C201" s="73"/>
      <c r="D201" s="73"/>
      <c r="E201" s="115"/>
      <c r="F201" s="114">
        <f>C201+D201</f>
        <v>0</v>
      </c>
      <c r="G201" s="37"/>
      <c r="J201" s="53"/>
      <c r="L201" s="53"/>
    </row>
    <row r="202" spans="2:12">
      <c r="B202" s="99"/>
      <c r="C202" s="138"/>
      <c r="D202" s="138"/>
      <c r="E202" s="137"/>
      <c r="F202" s="136">
        <f>C202+D202</f>
        <v>0</v>
      </c>
      <c r="G202" s="37"/>
      <c r="J202" s="53"/>
      <c r="L202" s="53"/>
    </row>
    <row r="203" spans="2:12" ht="13.5" thickBot="1">
      <c r="B203" s="96"/>
      <c r="C203" s="112">
        <f>SUM(C197:C202)</f>
        <v>1418477171.8700004</v>
      </c>
      <c r="D203" s="112">
        <f>SUM(D197:D202)</f>
        <v>10034426.5875</v>
      </c>
      <c r="E203" s="111">
        <f>SUM(E197:E202)</f>
        <v>1176464987</v>
      </c>
      <c r="F203" s="110">
        <f>SUM(C203:E203)</f>
        <v>2604976585.4575005</v>
      </c>
      <c r="G203" s="37" t="str">
        <f>"line "&amp;A19</f>
        <v>line 11</v>
      </c>
      <c r="J203" s="53"/>
      <c r="L203" s="53"/>
    </row>
    <row r="204" spans="2:12" ht="13.5" thickBot="1">
      <c r="B204" s="76"/>
      <c r="C204" s="135"/>
      <c r="D204" s="76"/>
      <c r="E204" s="87"/>
      <c r="F204" s="79"/>
      <c r="G204" s="37"/>
      <c r="J204" s="53"/>
      <c r="L204" s="53"/>
    </row>
    <row r="205" spans="2:12">
      <c r="B205" s="134" t="s">
        <v>983</v>
      </c>
      <c r="C205" s="133">
        <f>'WS4-CostData'!C14</f>
        <v>685762276.15999997</v>
      </c>
      <c r="D205" s="133">
        <f>'WS4-CostData'!E14</f>
        <v>394281086.88999999</v>
      </c>
      <c r="E205" s="132">
        <f>'WS4-CostData'!G14</f>
        <v>614235591</v>
      </c>
      <c r="F205" s="131">
        <f>SUM(C205:E205)</f>
        <v>1694278954.05</v>
      </c>
      <c r="G205" s="37"/>
      <c r="J205" s="53"/>
      <c r="L205" s="53"/>
    </row>
    <row r="206" spans="2:12">
      <c r="B206" s="116" t="s">
        <v>977</v>
      </c>
      <c r="C206" s="130">
        <f>'WS4-CostData'!C16</f>
        <v>6553577.2289253008</v>
      </c>
      <c r="D206" s="130">
        <f>'WS4-CostData'!E16</f>
        <v>0</v>
      </c>
      <c r="E206" s="101">
        <f>'WS4-CostData'!G16</f>
        <v>579125615.94276285</v>
      </c>
      <c r="F206" s="100">
        <f>SUM(C206:E206)</f>
        <v>585679193.1716882</v>
      </c>
      <c r="G206" s="37"/>
      <c r="J206" s="53"/>
      <c r="L206" s="53"/>
    </row>
    <row r="207" spans="2:12">
      <c r="B207" s="116" t="s">
        <v>976</v>
      </c>
      <c r="C207" s="129">
        <f>'WS4-CostData'!C15</f>
        <v>653314636.37218344</v>
      </c>
      <c r="D207" s="130">
        <f>'WS4-CostData'!E15</f>
        <v>4913702.2499451824</v>
      </c>
      <c r="E207" s="101">
        <f>'WS4-CostData'!G15</f>
        <v>35109975.057237111</v>
      </c>
      <c r="F207" s="114">
        <f>SUM(C207:E207)</f>
        <v>693338313.67936575</v>
      </c>
      <c r="G207" s="37"/>
      <c r="J207" s="53"/>
      <c r="L207" s="53"/>
    </row>
    <row r="208" spans="2:12">
      <c r="B208" s="116" t="s">
        <v>975</v>
      </c>
      <c r="C208" s="128">
        <f>C205-C206-C207</f>
        <v>25894062.558891177</v>
      </c>
      <c r="D208" s="98"/>
      <c r="E208" s="127"/>
      <c r="F208" s="126">
        <f>SUM(C208:E208)</f>
        <v>25894062.558891177</v>
      </c>
      <c r="G208" s="37"/>
      <c r="J208" s="53"/>
      <c r="L208" s="53"/>
    </row>
    <row r="209" spans="2:12" ht="15" customHeight="1" thickBot="1">
      <c r="B209" s="99"/>
      <c r="C209" s="103">
        <f>SUM(C206:C208)</f>
        <v>685762276.15999997</v>
      </c>
      <c r="D209" s="98"/>
      <c r="E209" s="101">
        <f>SUM(E206:E208)</f>
        <v>614235591</v>
      </c>
      <c r="F209" s="125">
        <f>SUM(F206:F208)</f>
        <v>1304911569.409945</v>
      </c>
      <c r="G209" s="37"/>
      <c r="J209" s="53"/>
      <c r="L209" s="53"/>
    </row>
    <row r="210" spans="2:12" ht="15" customHeight="1" thickTop="1">
      <c r="B210" s="99"/>
      <c r="C210" s="57"/>
      <c r="D210" s="98"/>
      <c r="E210" s="54"/>
      <c r="F210" s="117"/>
      <c r="G210" s="37"/>
      <c r="J210" s="53"/>
      <c r="L210" s="53"/>
    </row>
    <row r="211" spans="2:12" ht="15" customHeight="1" thickBot="1">
      <c r="B211" s="96"/>
      <c r="C211" s="95"/>
      <c r="D211" s="94"/>
      <c r="E211" s="124" t="str">
        <f>"line "&amp;A26</f>
        <v>line 17</v>
      </c>
      <c r="F211" s="123">
        <f>D26</f>
        <v>1304911569.409945</v>
      </c>
      <c r="G211" s="37"/>
      <c r="J211" s="53"/>
      <c r="L211" s="53"/>
    </row>
    <row r="212" spans="2:12" ht="33" customHeight="1" thickBot="1">
      <c r="B212" s="122" t="s">
        <v>982</v>
      </c>
      <c r="C212" s="37"/>
      <c r="D212" s="122" t="s">
        <v>240</v>
      </c>
      <c r="E212" s="80"/>
      <c r="F212" s="79"/>
      <c r="G212" s="37"/>
      <c r="J212" s="53"/>
      <c r="L212" s="53"/>
    </row>
    <row r="213" spans="2:12" ht="15" customHeight="1">
      <c r="B213" s="121"/>
      <c r="C213" s="59" t="s">
        <v>981</v>
      </c>
      <c r="D213" s="120" t="s">
        <v>950</v>
      </c>
      <c r="E213" s="120" t="s">
        <v>957</v>
      </c>
      <c r="F213" s="119" t="s">
        <v>980</v>
      </c>
      <c r="G213" s="37"/>
      <c r="J213" s="53"/>
      <c r="L213" s="53"/>
    </row>
    <row r="214" spans="2:12" ht="15" customHeight="1">
      <c r="B214" s="116" t="s">
        <v>979</v>
      </c>
      <c r="C214" s="73">
        <f>'WS4-CostData'!C59</f>
        <v>44653166.100000001</v>
      </c>
      <c r="D214" s="73">
        <f>'WS4-CostData'!E59</f>
        <v>26616546.359999999</v>
      </c>
      <c r="E214" s="115">
        <f>'WS4-CostData'!G59</f>
        <v>20855793</v>
      </c>
      <c r="F214" s="114">
        <f>SUM(C214:E214)</f>
        <v>92125505.460000008</v>
      </c>
      <c r="G214" s="37"/>
      <c r="J214" s="53"/>
      <c r="L214" s="53"/>
    </row>
    <row r="215" spans="2:12" ht="15" customHeight="1">
      <c r="B215" s="118"/>
      <c r="C215" s="57"/>
      <c r="D215" s="57"/>
      <c r="E215" s="54"/>
      <c r="F215" s="117"/>
      <c r="G215" s="53"/>
      <c r="J215" s="53"/>
      <c r="L215" s="53"/>
    </row>
    <row r="216" spans="2:12" ht="15" customHeight="1">
      <c r="B216" s="116" t="s">
        <v>978</v>
      </c>
      <c r="C216" s="73">
        <f>C196</f>
        <v>1418477171.8700001</v>
      </c>
      <c r="D216" s="73">
        <f>D196</f>
        <v>805173862.79999995</v>
      </c>
      <c r="E216" s="115">
        <f>E196</f>
        <v>1176464987</v>
      </c>
      <c r="F216" s="114">
        <f>SUM(C216:E216)</f>
        <v>3400116021.6700001</v>
      </c>
      <c r="G216" s="53"/>
      <c r="L216" s="53"/>
    </row>
    <row r="217" spans="2:12" ht="15" customHeight="1">
      <c r="B217" s="116" t="s">
        <v>977</v>
      </c>
      <c r="C217" s="73">
        <f>C197</f>
        <v>13555863.331200004</v>
      </c>
      <c r="D217" s="73">
        <v>0</v>
      </c>
      <c r="E217" s="115">
        <f>E197</f>
        <v>1109217733.74</v>
      </c>
      <c r="F217" s="114">
        <f>SUM(C217:E217)</f>
        <v>1122773597.0711999</v>
      </c>
      <c r="G217" s="53"/>
      <c r="L217" s="53"/>
    </row>
    <row r="218" spans="2:12" ht="15" customHeight="1">
      <c r="B218" s="116" t="s">
        <v>976</v>
      </c>
      <c r="C218" s="73">
        <f>C198</f>
        <v>1351360274.4842072</v>
      </c>
      <c r="D218" s="73">
        <f>D198</f>
        <v>10034426.5875</v>
      </c>
      <c r="E218" s="115">
        <f>E198</f>
        <v>67247253.260000005</v>
      </c>
      <c r="F218" s="114">
        <f>SUM(C218:E218)</f>
        <v>1428641954.3317072</v>
      </c>
      <c r="G218" s="53"/>
      <c r="L218" s="53"/>
    </row>
    <row r="219" spans="2:12" ht="15" customHeight="1" thickBot="1">
      <c r="B219" s="113" t="s">
        <v>975</v>
      </c>
      <c r="C219" s="112">
        <f>C199</f>
        <v>53561034.054592967</v>
      </c>
      <c r="D219" s="112">
        <v>0</v>
      </c>
      <c r="E219" s="111"/>
      <c r="F219" s="110">
        <f>SUM(C219:E219)</f>
        <v>53561034.054592967</v>
      </c>
      <c r="G219" s="53"/>
      <c r="L219" s="53"/>
    </row>
    <row r="220" spans="2:12" ht="15" customHeight="1" thickBot="1">
      <c r="B220" s="53"/>
      <c r="C220" s="37"/>
      <c r="D220" s="53"/>
      <c r="E220" s="87"/>
      <c r="F220" s="85"/>
      <c r="G220" s="53"/>
      <c r="L220" s="53"/>
    </row>
    <row r="221" spans="2:12" ht="15" customHeight="1">
      <c r="B221" s="109" t="s">
        <v>974</v>
      </c>
      <c r="C221" s="108">
        <f>C218/C216</f>
        <v>0.95268383678158763</v>
      </c>
      <c r="D221" s="107">
        <f>D218/D216</f>
        <v>1.2462434576061851E-2</v>
      </c>
      <c r="E221" s="106">
        <f>E218/E216</f>
        <v>5.716043741470056E-2</v>
      </c>
      <c r="F221" s="105"/>
      <c r="G221" s="53"/>
      <c r="L221" s="53"/>
    </row>
    <row r="222" spans="2:12" ht="15" customHeight="1">
      <c r="B222" s="99"/>
      <c r="C222" s="57"/>
      <c r="D222" s="98"/>
      <c r="E222" s="56"/>
      <c r="F222" s="104"/>
      <c r="G222" s="53"/>
      <c r="L222" s="53"/>
    </row>
    <row r="223" spans="2:12" ht="15" customHeight="1">
      <c r="B223" s="99" t="s">
        <v>973</v>
      </c>
      <c r="C223" s="103">
        <f>C214*C221</f>
        <v>42540349.604593523</v>
      </c>
      <c r="D223" s="102">
        <f>D214*D221</f>
        <v>331706.96765221719</v>
      </c>
      <c r="E223" s="101">
        <f>E214*E221</f>
        <v>1192126.25051045</v>
      </c>
      <c r="F223" s="100">
        <f>SUM(C223:E223)</f>
        <v>44064182.822756186</v>
      </c>
      <c r="G223" s="53"/>
      <c r="L223" s="53"/>
    </row>
    <row r="224" spans="2:12" ht="15" customHeight="1">
      <c r="B224" s="99" t="s">
        <v>972</v>
      </c>
      <c r="C224" s="57"/>
      <c r="D224" s="98"/>
      <c r="E224" s="56"/>
      <c r="F224" s="97" t="str">
        <f>"line "&amp;A131</f>
        <v>line 100</v>
      </c>
      <c r="G224" s="53"/>
      <c r="L224" s="53"/>
    </row>
    <row r="225" spans="2:12" ht="13.5" thickBot="1">
      <c r="B225" s="96"/>
      <c r="C225" s="95"/>
      <c r="D225" s="94"/>
      <c r="E225" s="93"/>
      <c r="F225" s="92"/>
      <c r="G225" s="53"/>
      <c r="L225" s="53"/>
    </row>
    <row r="226" spans="2:12">
      <c r="B226" s="53"/>
      <c r="C226" s="37" t="s">
        <v>971</v>
      </c>
      <c r="D226" s="53"/>
      <c r="E226" s="91"/>
      <c r="F226" s="90"/>
      <c r="G226" s="53"/>
      <c r="L226" s="53"/>
    </row>
    <row r="227" spans="2:12">
      <c r="B227" s="78" t="s">
        <v>970</v>
      </c>
      <c r="C227" s="89">
        <v>363576829</v>
      </c>
      <c r="D227" s="82">
        <v>262341710</v>
      </c>
      <c r="E227" s="88">
        <v>521555771</v>
      </c>
      <c r="F227" s="85"/>
      <c r="G227" s="53"/>
      <c r="L227" s="53"/>
    </row>
    <row r="228" spans="2:12">
      <c r="B228" s="87"/>
      <c r="C228" s="84">
        <v>71842675</v>
      </c>
      <c r="D228" s="82">
        <v>8786658</v>
      </c>
      <c r="E228" s="86">
        <v>107661984</v>
      </c>
      <c r="F228" s="85"/>
      <c r="G228" s="53"/>
      <c r="L228" s="53"/>
    </row>
    <row r="229" spans="2:12">
      <c r="B229" s="53"/>
      <c r="C229" s="84">
        <v>602173</v>
      </c>
      <c r="D229" s="84">
        <v>141709127</v>
      </c>
      <c r="E229" s="72">
        <f>SUM(E227:E228)</f>
        <v>629217755</v>
      </c>
      <c r="F229" s="79"/>
      <c r="G229" s="37"/>
      <c r="L229" s="53"/>
    </row>
    <row r="230" spans="2:12">
      <c r="B230" s="53"/>
      <c r="C230" s="82">
        <v>339381810</v>
      </c>
      <c r="D230" s="83">
        <v>1660014</v>
      </c>
      <c r="E230" s="80"/>
      <c r="F230" s="79"/>
      <c r="G230" s="37"/>
      <c r="L230" s="53"/>
    </row>
    <row r="231" spans="2:12">
      <c r="B231" s="76"/>
      <c r="C231" s="82">
        <v>112882562</v>
      </c>
      <c r="D231" s="70">
        <f>SUM(D227:D230)</f>
        <v>414497509</v>
      </c>
      <c r="E231" s="80"/>
      <c r="F231" s="79"/>
      <c r="G231" s="37"/>
      <c r="L231" s="53"/>
    </row>
    <row r="232" spans="2:12">
      <c r="B232" s="76"/>
      <c r="C232" s="81">
        <v>2582544</v>
      </c>
      <c r="D232" s="76"/>
      <c r="E232" s="80"/>
      <c r="F232" s="79"/>
      <c r="G232" s="57"/>
      <c r="L232" s="53"/>
    </row>
    <row r="233" spans="2:12">
      <c r="B233" s="78" t="s">
        <v>2377</v>
      </c>
      <c r="C233" s="70">
        <f>SUM(C227:C232)</f>
        <v>890868593</v>
      </c>
      <c r="D233" s="76"/>
      <c r="E233" s="56"/>
      <c r="F233" s="71"/>
      <c r="G233" s="56"/>
      <c r="L233" s="53"/>
    </row>
    <row r="234" spans="2:12">
      <c r="B234" s="78"/>
      <c r="C234" s="77"/>
      <c r="D234" s="76"/>
      <c r="E234" s="56"/>
      <c r="F234" s="63"/>
      <c r="G234" s="57"/>
      <c r="L234" s="53"/>
    </row>
    <row r="235" spans="2:12">
      <c r="B235" s="69"/>
      <c r="C235" s="70">
        <f>SUM(C233:C234)</f>
        <v>890868593</v>
      </c>
      <c r="D235" s="75"/>
      <c r="E235" s="56"/>
      <c r="F235" s="66"/>
      <c r="G235" s="57"/>
      <c r="L235" s="53"/>
    </row>
    <row r="236" spans="2:12">
      <c r="B236" s="56"/>
      <c r="C236" s="69"/>
      <c r="D236" s="56"/>
      <c r="E236" s="74"/>
      <c r="F236" s="63"/>
      <c r="G236" s="57"/>
      <c r="L236" s="53"/>
    </row>
    <row r="237" spans="2:12">
      <c r="B237" s="57"/>
      <c r="C237" s="73">
        <f>C235*C221</f>
        <v>848716109.24745464</v>
      </c>
      <c r="D237" s="70">
        <f>D231*D221</f>
        <v>5165648.0878531085</v>
      </c>
      <c r="E237" s="72">
        <f>E221*E229</f>
        <v>35966362.10489589</v>
      </c>
      <c r="F237" s="71">
        <f>SUM(C237:E237)</f>
        <v>889848119.44020367</v>
      </c>
      <c r="G237" s="70" t="str">
        <f>"line "&amp;A134</f>
        <v>line 101</v>
      </c>
      <c r="L237" s="53"/>
    </row>
    <row r="238" spans="2:12">
      <c r="B238" s="68"/>
      <c r="C238" s="57"/>
      <c r="D238" s="69"/>
      <c r="E238" s="54"/>
      <c r="F238" s="63"/>
      <c r="G238" s="57"/>
      <c r="L238" s="53"/>
    </row>
    <row r="239" spans="2:12">
      <c r="B239" s="68"/>
      <c r="C239" s="57"/>
      <c r="D239" s="67"/>
      <c r="E239" s="54"/>
      <c r="F239" s="66">
        <f>F223/F237</f>
        <v>4.9518768270788292E-2</v>
      </c>
      <c r="G239" s="57"/>
      <c r="L239" s="53"/>
    </row>
    <row r="240" spans="2:12" ht="13.5" thickBot="1">
      <c r="B240" s="65" t="s">
        <v>969</v>
      </c>
      <c r="C240" s="64"/>
      <c r="D240" s="57"/>
      <c r="E240" s="54"/>
      <c r="F240" s="63"/>
      <c r="G240" s="57"/>
      <c r="L240" s="53"/>
    </row>
    <row r="241" spans="2:12">
      <c r="B241" s="62" t="s">
        <v>968</v>
      </c>
      <c r="C241" s="61"/>
      <c r="D241" s="60"/>
      <c r="E241" s="59"/>
      <c r="F241" s="58"/>
      <c r="G241" s="57"/>
      <c r="L241" s="53"/>
    </row>
    <row r="242" spans="2:12">
      <c r="B242" s="46"/>
      <c r="C242" s="56" t="s">
        <v>967</v>
      </c>
      <c r="D242" s="54" t="s">
        <v>966</v>
      </c>
      <c r="E242" s="54" t="s">
        <v>965</v>
      </c>
      <c r="F242" s="55" t="s">
        <v>964</v>
      </c>
      <c r="G242" s="54"/>
      <c r="L242" s="53"/>
    </row>
    <row r="243" spans="2:12">
      <c r="B243" s="50">
        <v>1110</v>
      </c>
      <c r="C243" s="45">
        <v>4341089.33</v>
      </c>
      <c r="D243" s="45">
        <v>9160745.4499999993</v>
      </c>
      <c r="E243" s="52">
        <v>373224.06</v>
      </c>
      <c r="F243" s="51">
        <v>2248663.2400000002</v>
      </c>
      <c r="L243" s="53"/>
    </row>
    <row r="244" spans="2:12">
      <c r="B244" s="50" t="s">
        <v>963</v>
      </c>
      <c r="C244" s="45">
        <v>-97907.01</v>
      </c>
      <c r="D244" s="45">
        <v>-86917.99</v>
      </c>
      <c r="E244" s="52">
        <v>-29902.46</v>
      </c>
      <c r="F244" s="51">
        <v>36364.120000000003</v>
      </c>
      <c r="L244" s="53"/>
    </row>
    <row r="245" spans="2:12">
      <c r="B245" s="50">
        <v>1120</v>
      </c>
      <c r="C245" s="45">
        <v>880077.23</v>
      </c>
      <c r="D245" s="45">
        <v>1797944.13</v>
      </c>
      <c r="E245" s="52">
        <v>74455.95</v>
      </c>
      <c r="F245" s="51">
        <v>444424.17</v>
      </c>
      <c r="L245" s="53"/>
    </row>
    <row r="246" spans="2:12">
      <c r="B246" s="50">
        <v>1130</v>
      </c>
      <c r="C246" s="45">
        <v>64003.95</v>
      </c>
      <c r="D246" s="45">
        <v>86167.97</v>
      </c>
      <c r="E246" s="52">
        <v>3665.26</v>
      </c>
      <c r="F246" s="51">
        <v>53866.62</v>
      </c>
      <c r="L246" s="53"/>
    </row>
    <row r="247" spans="2:12">
      <c r="B247" s="50">
        <v>1150</v>
      </c>
      <c r="C247" s="45">
        <v>33579.56</v>
      </c>
      <c r="D247" s="45">
        <v>53317.16</v>
      </c>
      <c r="E247" s="52">
        <v>2400.6999999999998</v>
      </c>
      <c r="F247" s="51">
        <v>18990.849999999999</v>
      </c>
      <c r="L247" s="53"/>
    </row>
    <row r="248" spans="2:12">
      <c r="B248" s="50">
        <v>1151</v>
      </c>
      <c r="C248" s="45">
        <v>866086.26</v>
      </c>
      <c r="D248" s="45">
        <v>703386.04</v>
      </c>
      <c r="E248" s="52">
        <v>2700.87</v>
      </c>
      <c r="F248" s="51">
        <v>145179.31</v>
      </c>
    </row>
    <row r="249" spans="2:12">
      <c r="B249" s="50">
        <v>1152</v>
      </c>
      <c r="C249" s="49">
        <v>59873</v>
      </c>
      <c r="D249" s="49">
        <v>162131.37</v>
      </c>
      <c r="E249" s="48">
        <v>0</v>
      </c>
      <c r="F249" s="47">
        <v>31376.400000000001</v>
      </c>
    </row>
    <row r="250" spans="2:12">
      <c r="B250" s="46"/>
      <c r="C250" s="45">
        <f>SUM(C243:C249)</f>
        <v>6146802.3200000003</v>
      </c>
      <c r="D250" s="45">
        <f>SUM(D243:D249)</f>
        <v>11876774.130000001</v>
      </c>
      <c r="E250" s="45">
        <f>SUM(E243:E249)</f>
        <v>426544.38</v>
      </c>
      <c r="F250" s="44">
        <f>SUM(F243:F249)</f>
        <v>2978864.7100000004</v>
      </c>
    </row>
    <row r="251" spans="2:12" ht="13.5" thickBot="1">
      <c r="B251" s="43"/>
      <c r="C251" s="42"/>
      <c r="D251" s="42"/>
      <c r="E251" s="41"/>
      <c r="F251" s="40">
        <f>C250+D250+E250+F250</f>
        <v>21428985.540000003</v>
      </c>
    </row>
  </sheetData>
  <mergeCells count="21">
    <mergeCell ref="B159:I159"/>
    <mergeCell ref="E162:I162"/>
    <mergeCell ref="B170:I170"/>
    <mergeCell ref="B171:I171"/>
    <mergeCell ref="E163:I163"/>
    <mergeCell ref="B172:I172"/>
    <mergeCell ref="B164:I164"/>
    <mergeCell ref="B165:I165"/>
    <mergeCell ref="B166:I166"/>
    <mergeCell ref="B167:I167"/>
    <mergeCell ref="B168:I168"/>
    <mergeCell ref="B169:I169"/>
    <mergeCell ref="B155:I155"/>
    <mergeCell ref="B156:I156"/>
    <mergeCell ref="B157:I157"/>
    <mergeCell ref="B158:I158"/>
    <mergeCell ref="B150:I150"/>
    <mergeCell ref="B151:I151"/>
    <mergeCell ref="B152:I152"/>
    <mergeCell ref="B153:I153"/>
    <mergeCell ref="B154:I154"/>
  </mergeCells>
  <pageMargins left="0.56999999999999995" right="0.3" top="0.5" bottom="0.25" header="0.28000000000000003" footer="0.08"/>
  <pageSetup scale="53" orientation="portrait" r:id="rId1"/>
  <headerFooter alignWithMargins="0">
    <oddFooter>&amp;R&amp;A</oddFooter>
  </headerFooter>
  <rowBreaks count="1" manualBreakCount="1">
    <brk id="91" max="8"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view="pageBreakPreview" zoomScale="90" zoomScaleNormal="100" zoomScaleSheetLayoutView="90" workbookViewId="0"/>
  </sheetViews>
  <sheetFormatPr defaultColWidth="13.1796875" defaultRowHeight="14.5"/>
  <cols>
    <col min="1" max="1" width="13.1796875" style="351"/>
    <col min="2" max="2" width="89.453125" style="351" bestFit="1" customWidth="1"/>
    <col min="3" max="7" width="13.1796875" style="351"/>
    <col min="8" max="8" width="32.26953125" style="351" bestFit="1" customWidth="1"/>
    <col min="9" max="16384" width="13.1796875" style="351"/>
  </cols>
  <sheetData>
    <row r="1" spans="1:8">
      <c r="A1" s="757" t="str">
        <f>'Cover Sheets'!A10:D10</f>
        <v>WAPA-UGP 2018 Rate True-up Calculation</v>
      </c>
      <c r="B1" s="517"/>
      <c r="C1" s="396"/>
      <c r="D1" s="396"/>
      <c r="E1" s="396"/>
      <c r="F1" s="396"/>
      <c r="G1" s="396"/>
      <c r="H1" s="397"/>
    </row>
    <row r="2" spans="1:8">
      <c r="A2" s="167" t="s">
        <v>2591</v>
      </c>
      <c r="B2" s="398"/>
      <c r="C2" s="398"/>
      <c r="D2" s="398"/>
      <c r="E2" s="398"/>
      <c r="F2" s="398"/>
      <c r="G2" s="398"/>
      <c r="H2" s="399"/>
    </row>
    <row r="3" spans="1:8" ht="39.5">
      <c r="A3" s="167"/>
      <c r="B3" s="358" t="s">
        <v>2</v>
      </c>
      <c r="C3" s="359" t="s">
        <v>1213</v>
      </c>
      <c r="D3" s="358" t="s">
        <v>1387</v>
      </c>
      <c r="E3" s="359" t="s">
        <v>1386</v>
      </c>
      <c r="F3" s="359" t="s">
        <v>2514</v>
      </c>
      <c r="G3" s="359" t="s">
        <v>2515</v>
      </c>
      <c r="H3" s="360" t="s">
        <v>1211</v>
      </c>
    </row>
    <row r="4" spans="1:8" ht="15" thickBot="1">
      <c r="A4" s="361" t="s">
        <v>1385</v>
      </c>
      <c r="B4" s="362">
        <v>-1</v>
      </c>
      <c r="C4" s="362">
        <v>-2</v>
      </c>
      <c r="D4" s="362">
        <v>-3</v>
      </c>
      <c r="E4" s="362">
        <v>-4</v>
      </c>
      <c r="F4" s="362">
        <v>-4</v>
      </c>
      <c r="G4" s="362">
        <v>-5</v>
      </c>
      <c r="H4" s="363">
        <v>-5</v>
      </c>
    </row>
    <row r="5" spans="1:8">
      <c r="A5" s="400">
        <v>1</v>
      </c>
      <c r="B5" s="401" t="s">
        <v>1384</v>
      </c>
      <c r="C5" s="402"/>
      <c r="D5" s="403"/>
      <c r="E5" s="404"/>
      <c r="F5" s="403"/>
      <c r="G5" s="403"/>
      <c r="H5" s="405"/>
    </row>
    <row r="6" spans="1:8">
      <c r="A6" s="400">
        <f t="shared" ref="A6:A36" si="0">A5+1</f>
        <v>2</v>
      </c>
      <c r="B6" s="406" t="s">
        <v>1383</v>
      </c>
      <c r="C6" s="407">
        <f>'WS4-CostData'!K123</f>
        <v>67582769.134285137</v>
      </c>
      <c r="D6" s="408">
        <f>'WS4-CostData'!K124</f>
        <v>87333963.307197183</v>
      </c>
      <c r="E6" s="408">
        <f>'WS4-CostData'!G124</f>
        <v>44071649.378892824</v>
      </c>
      <c r="F6" s="408">
        <v>0</v>
      </c>
      <c r="G6" s="408">
        <v>0</v>
      </c>
      <c r="H6" s="405" t="s">
        <v>1240</v>
      </c>
    </row>
    <row r="7" spans="1:8">
      <c r="A7" s="400">
        <f t="shared" si="0"/>
        <v>3</v>
      </c>
      <c r="B7" s="406" t="s">
        <v>1382</v>
      </c>
      <c r="C7" s="407">
        <v>0</v>
      </c>
      <c r="D7" s="408">
        <v>0</v>
      </c>
      <c r="E7" s="408">
        <v>0</v>
      </c>
      <c r="F7" s="408">
        <v>0</v>
      </c>
      <c r="G7" s="408">
        <v>0</v>
      </c>
      <c r="H7" s="405"/>
    </row>
    <row r="8" spans="1:8">
      <c r="A8" s="400">
        <f t="shared" si="0"/>
        <v>4</v>
      </c>
      <c r="B8" s="406" t="s">
        <v>1381</v>
      </c>
      <c r="C8" s="407">
        <f>SUM(C6:C7)</f>
        <v>67582769.134285137</v>
      </c>
      <c r="D8" s="408">
        <f>SUM(D6:D7)</f>
        <v>87333963.307197183</v>
      </c>
      <c r="E8" s="408">
        <f>SUM(E6:E7)</f>
        <v>44071649.378892824</v>
      </c>
      <c r="F8" s="752">
        <f>SUM(F6:F7)</f>
        <v>0</v>
      </c>
      <c r="G8" s="408">
        <f>SUM(G6:G7)</f>
        <v>0</v>
      </c>
      <c r="H8" s="405" t="s">
        <v>1380</v>
      </c>
    </row>
    <row r="9" spans="1:8" ht="15" thickBot="1">
      <c r="A9" s="400">
        <f t="shared" si="0"/>
        <v>5</v>
      </c>
      <c r="B9" s="406" t="s">
        <v>1347</v>
      </c>
      <c r="C9" s="407">
        <f>'WS4-CostData'!K18</f>
        <v>735303640.65234137</v>
      </c>
      <c r="D9" s="408">
        <f>'WS4-CostData'!K19</f>
        <v>700476664.44951177</v>
      </c>
      <c r="E9" s="408">
        <f>'WS4-CostData'!G19</f>
        <v>530092117.79723716</v>
      </c>
      <c r="F9" s="408">
        <v>0</v>
      </c>
      <c r="G9" s="408">
        <v>0</v>
      </c>
      <c r="H9" s="405" t="s">
        <v>1216</v>
      </c>
    </row>
    <row r="10" spans="1:8" ht="15" thickBot="1">
      <c r="A10" s="400">
        <f t="shared" si="0"/>
        <v>6</v>
      </c>
      <c r="B10" s="406" t="s">
        <v>1379</v>
      </c>
      <c r="C10" s="409">
        <f>+C8/C9</f>
        <v>9.1911375652006216E-2</v>
      </c>
      <c r="D10" s="410">
        <f>+D8/D9</f>
        <v>0.12467790540293144</v>
      </c>
      <c r="E10" s="410">
        <f>+E8/E9</f>
        <v>8.3139605172832337E-2</v>
      </c>
      <c r="F10" s="410" t="e">
        <f>+F8/F9</f>
        <v>#DIV/0!</v>
      </c>
      <c r="G10" s="410" t="e">
        <f>+G8/G9</f>
        <v>#DIV/0!</v>
      </c>
      <c r="H10" s="405" t="s">
        <v>1378</v>
      </c>
    </row>
    <row r="11" spans="1:8">
      <c r="A11" s="400">
        <f t="shared" si="0"/>
        <v>7</v>
      </c>
      <c r="B11" s="401" t="s">
        <v>1377</v>
      </c>
      <c r="C11" s="402"/>
      <c r="D11" s="403"/>
      <c r="E11" s="403"/>
      <c r="F11" s="403"/>
      <c r="G11" s="403"/>
      <c r="H11" s="405"/>
    </row>
    <row r="12" spans="1:8">
      <c r="A12" s="400">
        <f t="shared" si="0"/>
        <v>8</v>
      </c>
      <c r="B12" s="406" t="s">
        <v>1376</v>
      </c>
      <c r="C12" s="407">
        <f>'WS4-CostData'!K96</f>
        <v>18950532.499898389</v>
      </c>
      <c r="D12" s="408">
        <f>'WS4-CostData'!K97</f>
        <v>188858.56192150369</v>
      </c>
      <c r="E12" s="408">
        <f>'WS4-CostData'!G97</f>
        <v>0</v>
      </c>
      <c r="F12" s="752">
        <v>0</v>
      </c>
      <c r="G12" s="408">
        <v>0</v>
      </c>
      <c r="H12" s="405" t="s">
        <v>1259</v>
      </c>
    </row>
    <row r="13" spans="1:8" ht="15" thickBot="1">
      <c r="A13" s="400">
        <f t="shared" si="0"/>
        <v>9</v>
      </c>
      <c r="B13" s="406" t="s">
        <v>1375</v>
      </c>
      <c r="C13" s="407">
        <f>C9</f>
        <v>735303640.65234137</v>
      </c>
      <c r="D13" s="408">
        <f>D9</f>
        <v>700476664.44951177</v>
      </c>
      <c r="E13" s="408">
        <f>E9</f>
        <v>530092117.79723716</v>
      </c>
      <c r="F13" s="408">
        <f>F9</f>
        <v>0</v>
      </c>
      <c r="G13" s="408">
        <f>G9</f>
        <v>0</v>
      </c>
      <c r="H13" s="405" t="s">
        <v>1346</v>
      </c>
    </row>
    <row r="14" spans="1:8" ht="15" thickBot="1">
      <c r="A14" s="400">
        <f t="shared" si="0"/>
        <v>10</v>
      </c>
      <c r="B14" s="406" t="s">
        <v>1374</v>
      </c>
      <c r="C14" s="409">
        <f>+C12/C13</f>
        <v>2.577239041423213E-2</v>
      </c>
      <c r="D14" s="410">
        <f>+D12/D13</f>
        <v>2.6961435192123526E-4</v>
      </c>
      <c r="E14" s="410">
        <f>+E12/E13</f>
        <v>0</v>
      </c>
      <c r="F14" s="410" t="e">
        <f>+F12/F13</f>
        <v>#DIV/0!</v>
      </c>
      <c r="G14" s="410" t="e">
        <f>+G12/G13</f>
        <v>#DIV/0!</v>
      </c>
      <c r="H14" s="405" t="s">
        <v>1373</v>
      </c>
    </row>
    <row r="15" spans="1:8">
      <c r="A15" s="400">
        <f t="shared" si="0"/>
        <v>11</v>
      </c>
      <c r="B15" s="401" t="s">
        <v>1372</v>
      </c>
      <c r="C15" s="402"/>
      <c r="D15" s="403"/>
      <c r="E15" s="403"/>
      <c r="F15" s="403"/>
      <c r="G15" s="403"/>
      <c r="H15" s="405"/>
    </row>
    <row r="16" spans="1:8">
      <c r="A16" s="400">
        <f t="shared" si="0"/>
        <v>12</v>
      </c>
      <c r="B16" s="406" t="s">
        <v>1357</v>
      </c>
      <c r="C16" s="408">
        <f>'WS4-CostData'!K39</f>
        <v>31490914.788294446</v>
      </c>
      <c r="D16" s="408">
        <f>'WS4-CostData'!K40</f>
        <v>17783035.391440805</v>
      </c>
      <c r="E16" s="408">
        <f>'WS4-CostData'!G40</f>
        <v>14254167.18693671</v>
      </c>
      <c r="F16" s="752">
        <v>0</v>
      </c>
      <c r="G16" s="408">
        <f>'[2]Cost Data 2020 est'!K49</f>
        <v>157688.57813986941</v>
      </c>
      <c r="H16" s="405" t="s">
        <v>1371</v>
      </c>
    </row>
    <row r="17" spans="1:8" ht="15" thickBot="1">
      <c r="A17" s="400">
        <f t="shared" si="0"/>
        <v>13</v>
      </c>
      <c r="B17" s="406" t="s">
        <v>1347</v>
      </c>
      <c r="C17" s="407">
        <f>C13</f>
        <v>735303640.65234137</v>
      </c>
      <c r="D17" s="408">
        <f>D13</f>
        <v>700476664.44951177</v>
      </c>
      <c r="E17" s="408">
        <f>E13</f>
        <v>530092117.79723716</v>
      </c>
      <c r="F17" s="408">
        <f>F13</f>
        <v>0</v>
      </c>
      <c r="G17" s="408">
        <f>G13</f>
        <v>0</v>
      </c>
      <c r="H17" s="405" t="s">
        <v>1346</v>
      </c>
    </row>
    <row r="18" spans="1:8" ht="15" thickBot="1">
      <c r="A18" s="400">
        <f t="shared" si="0"/>
        <v>14</v>
      </c>
      <c r="B18" s="406" t="s">
        <v>1370</v>
      </c>
      <c r="C18" s="409">
        <f>C16/C17</f>
        <v>4.2827089446145765E-2</v>
      </c>
      <c r="D18" s="410">
        <f>D16/D17</f>
        <v>2.5387048982446942E-2</v>
      </c>
      <c r="E18" s="410">
        <f>E16/E17</f>
        <v>2.688998139826897E-2</v>
      </c>
      <c r="F18" s="410" t="e">
        <f>F16/F17</f>
        <v>#DIV/0!</v>
      </c>
      <c r="G18" s="410" t="e">
        <f>G16/G17</f>
        <v>#DIV/0!</v>
      </c>
      <c r="H18" s="405" t="s">
        <v>1369</v>
      </c>
    </row>
    <row r="19" spans="1:8">
      <c r="A19" s="400">
        <f t="shared" si="0"/>
        <v>15</v>
      </c>
      <c r="B19" s="401" t="s">
        <v>1368</v>
      </c>
      <c r="C19" s="402"/>
      <c r="D19" s="403"/>
      <c r="E19" s="403"/>
      <c r="F19" s="403"/>
      <c r="G19" s="403"/>
      <c r="H19" s="405"/>
    </row>
    <row r="20" spans="1:8">
      <c r="A20" s="400">
        <f t="shared" si="0"/>
        <v>16</v>
      </c>
      <c r="B20" s="406" t="s">
        <v>1367</v>
      </c>
      <c r="C20" s="402"/>
      <c r="D20" s="403"/>
      <c r="E20" s="403"/>
      <c r="F20" s="403"/>
      <c r="G20" s="403"/>
      <c r="H20" s="405"/>
    </row>
    <row r="21" spans="1:8">
      <c r="A21" s="400">
        <f t="shared" si="0"/>
        <v>17</v>
      </c>
      <c r="B21" s="401" t="s">
        <v>1366</v>
      </c>
      <c r="C21" s="402"/>
      <c r="D21" s="403"/>
      <c r="E21" s="403"/>
      <c r="F21" s="403"/>
      <c r="G21" s="403"/>
      <c r="H21" s="405"/>
    </row>
    <row r="22" spans="1:8">
      <c r="A22" s="400">
        <f t="shared" si="0"/>
        <v>18</v>
      </c>
      <c r="B22" s="406" t="s">
        <v>1365</v>
      </c>
      <c r="C22" s="402"/>
      <c r="D22" s="403"/>
      <c r="E22" s="403"/>
      <c r="F22" s="403"/>
      <c r="G22" s="403"/>
      <c r="H22" s="405"/>
    </row>
    <row r="23" spans="1:8" ht="15" thickBot="1">
      <c r="A23" s="400">
        <f t="shared" si="0"/>
        <v>19</v>
      </c>
      <c r="B23" s="401" t="s">
        <v>1364</v>
      </c>
      <c r="C23" s="402"/>
      <c r="D23" s="403"/>
      <c r="E23" s="403"/>
      <c r="F23" s="403"/>
      <c r="G23" s="403"/>
      <c r="H23" s="405"/>
    </row>
    <row r="24" spans="1:8" ht="15" thickBot="1">
      <c r="A24" s="400">
        <f t="shared" si="0"/>
        <v>20</v>
      </c>
      <c r="B24" s="406" t="s">
        <v>1363</v>
      </c>
      <c r="C24" s="409">
        <f>'WS4-CostData'!K62</f>
        <v>4.942300168199476E-2</v>
      </c>
      <c r="D24" s="410">
        <f>'WS4-CostData'!K64</f>
        <v>3.4876973502109249E-2</v>
      </c>
      <c r="E24" s="410">
        <f>'WS4-CostData'!K64</f>
        <v>3.4876973502109249E-2</v>
      </c>
      <c r="F24" s="410">
        <f>C24</f>
        <v>4.942300168199476E-2</v>
      </c>
      <c r="G24" s="410">
        <f>F24</f>
        <v>4.942300168199476E-2</v>
      </c>
      <c r="H24" s="405" t="s">
        <v>1294</v>
      </c>
    </row>
    <row r="25" spans="1:8">
      <c r="A25" s="400">
        <f t="shared" si="0"/>
        <v>21</v>
      </c>
      <c r="B25" s="401" t="s">
        <v>1362</v>
      </c>
      <c r="C25" s="402"/>
      <c r="D25" s="403"/>
      <c r="E25" s="403"/>
      <c r="F25" s="403"/>
      <c r="G25" s="403"/>
      <c r="H25" s="405"/>
    </row>
    <row r="26" spans="1:8">
      <c r="A26" s="400">
        <f t="shared" si="0"/>
        <v>22</v>
      </c>
      <c r="B26" s="406" t="s">
        <v>1361</v>
      </c>
      <c r="C26" s="411">
        <f>C10</f>
        <v>9.1911375652006216E-2</v>
      </c>
      <c r="D26" s="412">
        <f>D10</f>
        <v>0.12467790540293144</v>
      </c>
      <c r="E26" s="412">
        <f>E10</f>
        <v>8.3139605172832337E-2</v>
      </c>
      <c r="F26" s="412" t="e">
        <f>F10</f>
        <v>#DIV/0!</v>
      </c>
      <c r="G26" s="412" t="e">
        <f>G10</f>
        <v>#DIV/0!</v>
      </c>
      <c r="H26" s="405" t="s">
        <v>1360</v>
      </c>
    </row>
    <row r="27" spans="1:8">
      <c r="A27" s="400">
        <f t="shared" si="0"/>
        <v>23</v>
      </c>
      <c r="B27" s="406" t="s">
        <v>1359</v>
      </c>
      <c r="C27" s="411">
        <f>C14</f>
        <v>2.577239041423213E-2</v>
      </c>
      <c r="D27" s="412">
        <f>D14</f>
        <v>2.6961435192123526E-4</v>
      </c>
      <c r="E27" s="412">
        <f>E14</f>
        <v>0</v>
      </c>
      <c r="F27" s="412" t="e">
        <f>F14</f>
        <v>#DIV/0!</v>
      </c>
      <c r="G27" s="412" t="e">
        <f>G14</f>
        <v>#DIV/0!</v>
      </c>
      <c r="H27" s="405" t="s">
        <v>1358</v>
      </c>
    </row>
    <row r="28" spans="1:8">
      <c r="A28" s="400">
        <f t="shared" si="0"/>
        <v>24</v>
      </c>
      <c r="B28" s="406" t="s">
        <v>1357</v>
      </c>
      <c r="C28" s="411">
        <f>C18</f>
        <v>4.2827089446145765E-2</v>
      </c>
      <c r="D28" s="412">
        <f>D18</f>
        <v>2.5387048982446942E-2</v>
      </c>
      <c r="E28" s="412">
        <f>E18</f>
        <v>2.688998139826897E-2</v>
      </c>
      <c r="F28" s="412" t="e">
        <f>F18</f>
        <v>#DIV/0!</v>
      </c>
      <c r="G28" s="412" t="e">
        <f>G18</f>
        <v>#DIV/0!</v>
      </c>
      <c r="H28" s="405" t="s">
        <v>1356</v>
      </c>
    </row>
    <row r="29" spans="1:8">
      <c r="A29" s="400">
        <f t="shared" si="0"/>
        <v>25</v>
      </c>
      <c r="B29" s="406" t="s">
        <v>1355</v>
      </c>
      <c r="C29" s="411">
        <v>0</v>
      </c>
      <c r="D29" s="412">
        <v>0</v>
      </c>
      <c r="E29" s="412">
        <v>0</v>
      </c>
      <c r="F29" s="412">
        <v>0</v>
      </c>
      <c r="G29" s="412">
        <v>0</v>
      </c>
      <c r="H29" s="405"/>
    </row>
    <row r="30" spans="1:8">
      <c r="A30" s="400">
        <f t="shared" si="0"/>
        <v>26</v>
      </c>
      <c r="B30" s="406" t="s">
        <v>1354</v>
      </c>
      <c r="C30" s="411">
        <v>0</v>
      </c>
      <c r="D30" s="412">
        <v>0</v>
      </c>
      <c r="E30" s="412">
        <v>0</v>
      </c>
      <c r="F30" s="412">
        <v>0</v>
      </c>
      <c r="G30" s="412">
        <v>0</v>
      </c>
      <c r="H30" s="405"/>
    </row>
    <row r="31" spans="1:8" ht="15" thickBot="1">
      <c r="A31" s="400">
        <f t="shared" si="0"/>
        <v>27</v>
      </c>
      <c r="B31" s="406" t="s">
        <v>1353</v>
      </c>
      <c r="C31" s="411">
        <f>C24</f>
        <v>4.942300168199476E-2</v>
      </c>
      <c r="D31" s="412">
        <f>D24</f>
        <v>3.4876973502109249E-2</v>
      </c>
      <c r="E31" s="412">
        <f>E24</f>
        <v>3.4876973502109249E-2</v>
      </c>
      <c r="F31" s="412">
        <f>F24</f>
        <v>4.942300168199476E-2</v>
      </c>
      <c r="G31" s="412">
        <f>G24</f>
        <v>4.942300168199476E-2</v>
      </c>
      <c r="H31" s="405" t="s">
        <v>1352</v>
      </c>
    </row>
    <row r="32" spans="1:8" ht="15" thickBot="1">
      <c r="A32" s="400">
        <f t="shared" si="0"/>
        <v>28</v>
      </c>
      <c r="B32" s="406" t="s">
        <v>1351</v>
      </c>
      <c r="C32" s="409">
        <f>SUM(C26:C31)</f>
        <v>0.20993385719437888</v>
      </c>
      <c r="D32" s="410">
        <f>SUM(D26:D31)</f>
        <v>0.18521154223940886</v>
      </c>
      <c r="E32" s="410">
        <f>SUM(E26:E31)</f>
        <v>0.14490656007321057</v>
      </c>
      <c r="F32" s="410" t="e">
        <f>SUM(F26:F31)</f>
        <v>#DIV/0!</v>
      </c>
      <c r="G32" s="410" t="e">
        <f>SUM(G26:G31)</f>
        <v>#DIV/0!</v>
      </c>
      <c r="H32" s="405"/>
    </row>
    <row r="33" spans="1:8">
      <c r="A33" s="400">
        <f t="shared" si="0"/>
        <v>29</v>
      </c>
      <c r="B33" s="401" t="s">
        <v>1350</v>
      </c>
      <c r="C33" s="411"/>
      <c r="D33" s="412"/>
      <c r="E33" s="412"/>
      <c r="F33" s="412"/>
      <c r="G33" s="412"/>
      <c r="H33" s="413"/>
    </row>
    <row r="34" spans="1:8">
      <c r="A34" s="400">
        <f t="shared" si="0"/>
        <v>30</v>
      </c>
      <c r="B34" s="406" t="s">
        <v>1349</v>
      </c>
      <c r="C34" s="411">
        <f>C32</f>
        <v>0.20993385719437888</v>
      </c>
      <c r="D34" s="412">
        <f>D32</f>
        <v>0.18521154223940886</v>
      </c>
      <c r="E34" s="412">
        <f>E32</f>
        <v>0.14490656007321057</v>
      </c>
      <c r="F34" s="412" t="e">
        <f>F32</f>
        <v>#DIV/0!</v>
      </c>
      <c r="G34" s="412" t="e">
        <f>G32</f>
        <v>#DIV/0!</v>
      </c>
      <c r="H34" s="414" t="s">
        <v>1348</v>
      </c>
    </row>
    <row r="35" spans="1:8">
      <c r="A35" s="400">
        <f t="shared" si="0"/>
        <v>31</v>
      </c>
      <c r="B35" s="406" t="s">
        <v>1347</v>
      </c>
      <c r="C35" s="415">
        <f>C9</f>
        <v>735303640.65234137</v>
      </c>
      <c r="D35" s="416">
        <f>D9</f>
        <v>700476664.44951177</v>
      </c>
      <c r="E35" s="416">
        <f>E9</f>
        <v>530092117.79723716</v>
      </c>
      <c r="F35" s="416">
        <f>F9</f>
        <v>0</v>
      </c>
      <c r="G35" s="416">
        <f>G9</f>
        <v>0</v>
      </c>
      <c r="H35" s="405" t="s">
        <v>1346</v>
      </c>
    </row>
    <row r="36" spans="1:8" ht="15" thickBot="1">
      <c r="A36" s="361">
        <f t="shared" si="0"/>
        <v>32</v>
      </c>
      <c r="B36" s="417" t="s">
        <v>1345</v>
      </c>
      <c r="C36" s="418">
        <f>C35*C34</f>
        <v>154365129.49121553</v>
      </c>
      <c r="D36" s="419">
        <f>D35*D34</f>
        <v>129736363.32541098</v>
      </c>
      <c r="E36" s="419">
        <f>E35*E34</f>
        <v>76813825.311920762</v>
      </c>
      <c r="F36" s="419" t="e">
        <f>F35*F34</f>
        <v>#DIV/0!</v>
      </c>
      <c r="G36" s="419" t="e">
        <f>G35*G34</f>
        <v>#DIV/0!</v>
      </c>
      <c r="H36" s="420" t="s">
        <v>1344</v>
      </c>
    </row>
  </sheetData>
  <pageMargins left="0.7" right="0.7" top="0.75" bottom="0.75" header="0.3" footer="0.3"/>
  <pageSetup scale="60" fitToHeight="0"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
  <sheetViews>
    <sheetView workbookViewId="0">
      <selection sqref="A1:A2"/>
    </sheetView>
  </sheetViews>
  <sheetFormatPr defaultRowHeight="14.5"/>
  <cols>
    <col min="3" max="3" width="47.81640625" bestFit="1" customWidth="1"/>
    <col min="5" max="5" width="14.81640625" bestFit="1" customWidth="1"/>
    <col min="8" max="8" width="18.26953125" bestFit="1" customWidth="1"/>
    <col min="9" max="10" width="8.54296875" customWidth="1"/>
  </cols>
  <sheetData>
    <row r="1" spans="1:10">
      <c r="A1" s="757" t="str">
        <f>'Cover Sheets'!A10:D10</f>
        <v>WAPA-UGP 2018 Rate True-up Calculation</v>
      </c>
      <c r="B1" s="818"/>
      <c r="C1" s="818"/>
      <c r="D1" s="818"/>
      <c r="E1" s="818"/>
      <c r="F1" s="818"/>
      <c r="G1" s="818"/>
      <c r="H1" s="818"/>
      <c r="I1" s="818"/>
      <c r="J1" s="819"/>
    </row>
    <row r="2" spans="1:10">
      <c r="A2" s="357" t="s">
        <v>2557</v>
      </c>
      <c r="B2" s="779"/>
      <c r="C2" s="779"/>
      <c r="D2" s="779"/>
      <c r="E2" s="779"/>
      <c r="F2" s="779"/>
      <c r="G2" s="779"/>
      <c r="H2" s="779"/>
      <c r="I2" s="779"/>
      <c r="J2" s="820"/>
    </row>
    <row r="3" spans="1:10">
      <c r="A3" s="872" t="str">
        <f>'WS1-RateBase'!A4</f>
        <v>12 Months Ending 09/30/2018 ACTUAL</v>
      </c>
      <c r="B3" s="831"/>
      <c r="C3" s="203"/>
      <c r="D3" s="203"/>
      <c r="E3" s="817"/>
      <c r="F3" s="164"/>
      <c r="G3" s="183"/>
      <c r="H3" s="685" t="s">
        <v>1213</v>
      </c>
      <c r="I3" s="183"/>
      <c r="J3" s="302"/>
    </row>
    <row r="4" spans="1:10">
      <c r="A4" s="169" t="s">
        <v>1212</v>
      </c>
      <c r="B4" s="685" t="s">
        <v>2488</v>
      </c>
      <c r="C4" s="685" t="s">
        <v>2487</v>
      </c>
      <c r="D4" s="685" t="s">
        <v>1211</v>
      </c>
      <c r="E4" s="685" t="s">
        <v>1210</v>
      </c>
      <c r="F4" s="685" t="s">
        <v>1209</v>
      </c>
      <c r="G4" s="685" t="s">
        <v>2486</v>
      </c>
      <c r="H4" s="685" t="s">
        <v>1208</v>
      </c>
      <c r="I4" s="162"/>
      <c r="J4" s="160"/>
    </row>
    <row r="5" spans="1:10" ht="15" thickBot="1">
      <c r="A5" s="174" t="s">
        <v>1207</v>
      </c>
      <c r="B5" s="202"/>
      <c r="C5" s="202" t="s">
        <v>1206</v>
      </c>
      <c r="D5" s="202" t="s">
        <v>1205</v>
      </c>
      <c r="E5" s="202" t="s">
        <v>1204</v>
      </c>
      <c r="F5" s="157"/>
      <c r="G5" s="686" t="s">
        <v>1203</v>
      </c>
      <c r="H5" s="686" t="s">
        <v>1202</v>
      </c>
      <c r="I5" s="155"/>
      <c r="J5" s="153"/>
    </row>
    <row r="6" spans="1:10">
      <c r="A6" s="246">
        <v>1</v>
      </c>
      <c r="B6" s="243" t="s">
        <v>2491</v>
      </c>
      <c r="C6" s="700">
        <v>43101</v>
      </c>
      <c r="D6" s="694" t="s">
        <v>2490</v>
      </c>
      <c r="E6" s="708">
        <f>-(27610.28+2069.555)</f>
        <v>-29679.834999999999</v>
      </c>
      <c r="F6" s="687" t="s">
        <v>487</v>
      </c>
      <c r="G6" s="706">
        <v>1</v>
      </c>
      <c r="H6" s="789">
        <f>E6</f>
        <v>-29679.834999999999</v>
      </c>
      <c r="I6" s="242"/>
      <c r="J6" s="689"/>
    </row>
    <row r="7" spans="1:10">
      <c r="A7" s="172">
        <v>2</v>
      </c>
      <c r="B7" s="164" t="s">
        <v>2491</v>
      </c>
      <c r="C7" s="701">
        <v>43132</v>
      </c>
      <c r="D7" s="695" t="s">
        <v>2490</v>
      </c>
      <c r="E7" s="709">
        <f>-(21585.68+1958.39)</f>
        <v>-23544.07</v>
      </c>
      <c r="F7" s="299" t="s">
        <v>487</v>
      </c>
      <c r="G7" s="690">
        <v>1</v>
      </c>
      <c r="H7" s="790">
        <f t="shared" ref="H7:H18" si="0">E7</f>
        <v>-23544.07</v>
      </c>
      <c r="I7" s="162"/>
      <c r="J7" s="160"/>
    </row>
    <row r="8" spans="1:10">
      <c r="A8" s="172">
        <v>3</v>
      </c>
      <c r="B8" s="164" t="s">
        <v>2491</v>
      </c>
      <c r="C8" s="701">
        <v>43160</v>
      </c>
      <c r="D8" s="294" t="s">
        <v>2490</v>
      </c>
      <c r="E8" s="709">
        <f>-(20277.52+583.58)</f>
        <v>-20861.100000000002</v>
      </c>
      <c r="F8" s="299" t="s">
        <v>487</v>
      </c>
      <c r="G8" s="690">
        <v>1</v>
      </c>
      <c r="H8" s="790">
        <f t="shared" si="0"/>
        <v>-20861.100000000002</v>
      </c>
      <c r="I8" s="162"/>
      <c r="J8" s="160"/>
    </row>
    <row r="9" spans="1:10">
      <c r="A9" s="172">
        <v>4</v>
      </c>
      <c r="B9" s="164" t="s">
        <v>2491</v>
      </c>
      <c r="C9" s="701">
        <v>43191</v>
      </c>
      <c r="D9" s="294" t="s">
        <v>2490</v>
      </c>
      <c r="E9" s="709">
        <f>-(22135.96+999.43)</f>
        <v>-23135.39</v>
      </c>
      <c r="F9" s="299" t="s">
        <v>487</v>
      </c>
      <c r="G9" s="690">
        <v>1</v>
      </c>
      <c r="H9" s="790">
        <f t="shared" si="0"/>
        <v>-23135.39</v>
      </c>
      <c r="I9" s="162"/>
      <c r="J9" s="160"/>
    </row>
    <row r="10" spans="1:10">
      <c r="A10" s="172">
        <v>5</v>
      </c>
      <c r="B10" s="164" t="s">
        <v>2491</v>
      </c>
      <c r="C10" s="701">
        <v>43221</v>
      </c>
      <c r="D10" s="294" t="s">
        <v>2490</v>
      </c>
      <c r="E10" s="709">
        <f>-(21982.63-205.04)</f>
        <v>-21777.59</v>
      </c>
      <c r="F10" s="299" t="s">
        <v>487</v>
      </c>
      <c r="G10" s="690">
        <v>1</v>
      </c>
      <c r="H10" s="790">
        <f t="shared" si="0"/>
        <v>-21777.59</v>
      </c>
      <c r="I10" s="162"/>
      <c r="J10" s="160"/>
    </row>
    <row r="11" spans="1:10">
      <c r="A11" s="172">
        <v>6</v>
      </c>
      <c r="B11" s="164" t="s">
        <v>2491</v>
      </c>
      <c r="C11" s="701">
        <v>43252</v>
      </c>
      <c r="D11" s="695" t="s">
        <v>2490</v>
      </c>
      <c r="E11" s="709">
        <f>-(20191.41+146.89)</f>
        <v>-20338.3</v>
      </c>
      <c r="F11" s="299" t="s">
        <v>487</v>
      </c>
      <c r="G11" s="690">
        <v>1</v>
      </c>
      <c r="H11" s="790">
        <f t="shared" si="0"/>
        <v>-20338.3</v>
      </c>
      <c r="I11" s="162"/>
      <c r="J11" s="160"/>
    </row>
    <row r="12" spans="1:10">
      <c r="A12" s="172">
        <v>7</v>
      </c>
      <c r="B12" s="164" t="s">
        <v>2491</v>
      </c>
      <c r="C12" s="701">
        <v>43282</v>
      </c>
      <c r="D12" s="294" t="s">
        <v>2490</v>
      </c>
      <c r="E12" s="709">
        <f>-(19944.16-1.49)</f>
        <v>-19942.669999999998</v>
      </c>
      <c r="F12" s="299" t="s">
        <v>487</v>
      </c>
      <c r="G12" s="690">
        <v>1</v>
      </c>
      <c r="H12" s="790">
        <f t="shared" si="0"/>
        <v>-19942.669999999998</v>
      </c>
      <c r="I12" s="162"/>
      <c r="J12" s="160"/>
    </row>
    <row r="13" spans="1:10">
      <c r="A13" s="172">
        <v>8</v>
      </c>
      <c r="B13" s="164" t="s">
        <v>2491</v>
      </c>
      <c r="C13" s="701">
        <v>43313</v>
      </c>
      <c r="D13" s="294" t="s">
        <v>2490</v>
      </c>
      <c r="E13" s="710">
        <f>-(22899.7-16.67)</f>
        <v>-22883.030000000002</v>
      </c>
      <c r="F13" s="310" t="s">
        <v>487</v>
      </c>
      <c r="G13" s="690">
        <f>+G12</f>
        <v>1</v>
      </c>
      <c r="H13" s="790">
        <f t="shared" si="0"/>
        <v>-22883.030000000002</v>
      </c>
      <c r="I13" s="162"/>
      <c r="J13" s="160"/>
    </row>
    <row r="14" spans="1:10">
      <c r="A14" s="172">
        <v>9</v>
      </c>
      <c r="B14" s="164" t="s">
        <v>2491</v>
      </c>
      <c r="C14" s="701">
        <v>43344</v>
      </c>
      <c r="D14" s="294" t="s">
        <v>2490</v>
      </c>
      <c r="E14" s="710">
        <f>-(20241.14-24.09)</f>
        <v>-20217.05</v>
      </c>
      <c r="F14" s="310" t="s">
        <v>487</v>
      </c>
      <c r="G14" s="690">
        <v>1</v>
      </c>
      <c r="H14" s="790">
        <f t="shared" si="0"/>
        <v>-20217.05</v>
      </c>
      <c r="I14" s="162"/>
      <c r="J14" s="160"/>
    </row>
    <row r="15" spans="1:10">
      <c r="A15" s="172">
        <v>10</v>
      </c>
      <c r="B15" s="164" t="s">
        <v>2491</v>
      </c>
      <c r="C15" s="701">
        <v>43374</v>
      </c>
      <c r="D15" s="695" t="s">
        <v>2490</v>
      </c>
      <c r="E15" s="710">
        <f>-(17947.88-2925.2)</f>
        <v>-15022.68</v>
      </c>
      <c r="F15" s="697" t="s">
        <v>487</v>
      </c>
      <c r="G15" s="690">
        <v>1</v>
      </c>
      <c r="H15" s="790">
        <f t="shared" si="0"/>
        <v>-15022.68</v>
      </c>
      <c r="I15" s="162"/>
      <c r="J15" s="160"/>
    </row>
    <row r="16" spans="1:10">
      <c r="A16" s="172">
        <v>11</v>
      </c>
      <c r="B16" s="164" t="s">
        <v>2491</v>
      </c>
      <c r="C16" s="701">
        <v>43405</v>
      </c>
      <c r="D16" s="294" t="s">
        <v>2490</v>
      </c>
      <c r="E16" s="710">
        <f>-(23519.92+2.4)</f>
        <v>-23522.32</v>
      </c>
      <c r="F16" s="697" t="s">
        <v>487</v>
      </c>
      <c r="G16" s="690">
        <v>1</v>
      </c>
      <c r="H16" s="790">
        <f t="shared" si="0"/>
        <v>-23522.32</v>
      </c>
      <c r="I16" s="162"/>
      <c r="J16" s="160"/>
    </row>
    <row r="17" spans="1:10">
      <c r="A17" s="172">
        <v>12</v>
      </c>
      <c r="B17" s="164" t="s">
        <v>2491</v>
      </c>
      <c r="C17" s="701">
        <v>43435</v>
      </c>
      <c r="D17" s="294" t="s">
        <v>2490</v>
      </c>
      <c r="E17" s="710">
        <f>-(20638.28)</f>
        <v>-20638.28</v>
      </c>
      <c r="F17" s="296" t="s">
        <v>487</v>
      </c>
      <c r="G17" s="690">
        <v>1</v>
      </c>
      <c r="H17" s="790">
        <f t="shared" si="0"/>
        <v>-20638.28</v>
      </c>
      <c r="I17" s="162"/>
      <c r="J17" s="160"/>
    </row>
    <row r="18" spans="1:10">
      <c r="A18" s="172">
        <v>13</v>
      </c>
      <c r="B18" s="164" t="s">
        <v>2491</v>
      </c>
      <c r="C18" s="684" t="s">
        <v>2489</v>
      </c>
      <c r="D18" s="707"/>
      <c r="E18" s="711">
        <v>0</v>
      </c>
      <c r="F18" s="697"/>
      <c r="G18" s="690">
        <v>1</v>
      </c>
      <c r="H18" s="791">
        <f t="shared" si="0"/>
        <v>0</v>
      </c>
      <c r="I18" s="692"/>
      <c r="J18" s="693"/>
    </row>
    <row r="19" spans="1:10" ht="15" thickBot="1">
      <c r="A19" s="180">
        <v>14</v>
      </c>
      <c r="B19" s="157"/>
      <c r="C19" s="158" t="s">
        <v>2517</v>
      </c>
      <c r="D19" s="698"/>
      <c r="E19" s="712">
        <f>SUM(E6:E18)</f>
        <v>-261562.315</v>
      </c>
      <c r="F19" s="699"/>
      <c r="G19" s="156"/>
      <c r="H19" s="792">
        <f>SUM(H6:H18)</f>
        <v>-261562.315</v>
      </c>
      <c r="I19" s="155"/>
      <c r="J19" s="153"/>
    </row>
    <row r="20" spans="1:10">
      <c r="A20" s="246">
        <v>15</v>
      </c>
      <c r="B20" s="243">
        <v>45644</v>
      </c>
      <c r="C20" s="700">
        <v>43101</v>
      </c>
      <c r="D20" s="694" t="s">
        <v>2498</v>
      </c>
      <c r="E20" s="708">
        <v>596754.27</v>
      </c>
      <c r="F20" s="687" t="s">
        <v>1097</v>
      </c>
      <c r="G20" s="706">
        <v>1</v>
      </c>
      <c r="H20" s="688">
        <f>E20</f>
        <v>596754.27</v>
      </c>
      <c r="I20" s="242"/>
      <c r="J20" s="689"/>
    </row>
    <row r="21" spans="1:10">
      <c r="A21" s="172">
        <v>16</v>
      </c>
      <c r="B21" s="164">
        <v>45644</v>
      </c>
      <c r="C21" s="701">
        <v>43132</v>
      </c>
      <c r="D21" s="695" t="s">
        <v>2498</v>
      </c>
      <c r="E21" s="709">
        <v>761096</v>
      </c>
      <c r="F21" s="299" t="s">
        <v>1097</v>
      </c>
      <c r="G21" s="690">
        <v>1</v>
      </c>
      <c r="H21" s="327">
        <f t="shared" ref="H21:H32" si="1">E21</f>
        <v>761096</v>
      </c>
      <c r="I21" s="162"/>
      <c r="J21" s="160"/>
    </row>
    <row r="22" spans="1:10">
      <c r="A22" s="172">
        <v>17</v>
      </c>
      <c r="B22" s="164">
        <v>45644</v>
      </c>
      <c r="C22" s="701">
        <v>43160</v>
      </c>
      <c r="D22" s="294" t="s">
        <v>2498</v>
      </c>
      <c r="E22" s="709">
        <v>697111.4</v>
      </c>
      <c r="F22" s="299" t="s">
        <v>1097</v>
      </c>
      <c r="G22" s="690">
        <v>1</v>
      </c>
      <c r="H22" s="327">
        <f t="shared" si="1"/>
        <v>697111.4</v>
      </c>
      <c r="I22" s="162"/>
      <c r="J22" s="160"/>
    </row>
    <row r="23" spans="1:10">
      <c r="A23" s="172">
        <v>18</v>
      </c>
      <c r="B23" s="164">
        <v>45644</v>
      </c>
      <c r="C23" s="701">
        <v>43191</v>
      </c>
      <c r="D23" s="294" t="s">
        <v>2498</v>
      </c>
      <c r="E23" s="709">
        <v>602563.02</v>
      </c>
      <c r="F23" s="299" t="s">
        <v>1097</v>
      </c>
      <c r="G23" s="690">
        <v>1</v>
      </c>
      <c r="H23" s="327">
        <f t="shared" si="1"/>
        <v>602563.02</v>
      </c>
      <c r="I23" s="162"/>
      <c r="J23" s="160"/>
    </row>
    <row r="24" spans="1:10">
      <c r="A24" s="172">
        <v>19</v>
      </c>
      <c r="B24" s="164">
        <v>45644</v>
      </c>
      <c r="C24" s="701">
        <v>43221</v>
      </c>
      <c r="D24" s="294" t="s">
        <v>2498</v>
      </c>
      <c r="E24" s="709">
        <v>650354.36</v>
      </c>
      <c r="F24" s="299" t="s">
        <v>1097</v>
      </c>
      <c r="G24" s="690">
        <v>1</v>
      </c>
      <c r="H24" s="327">
        <f t="shared" si="1"/>
        <v>650354.36</v>
      </c>
      <c r="I24" s="162"/>
      <c r="J24" s="160"/>
    </row>
    <row r="25" spans="1:10">
      <c r="A25" s="172">
        <v>20</v>
      </c>
      <c r="B25" s="164">
        <v>45644</v>
      </c>
      <c r="C25" s="701">
        <v>43252</v>
      </c>
      <c r="D25" s="294" t="s">
        <v>2498</v>
      </c>
      <c r="E25" s="709">
        <v>666902.74</v>
      </c>
      <c r="F25" s="299" t="s">
        <v>1097</v>
      </c>
      <c r="G25" s="690">
        <v>1</v>
      </c>
      <c r="H25" s="327">
        <f t="shared" si="1"/>
        <v>666902.74</v>
      </c>
      <c r="I25" s="162"/>
      <c r="J25" s="160"/>
    </row>
    <row r="26" spans="1:10">
      <c r="A26" s="172">
        <v>21</v>
      </c>
      <c r="B26" s="164">
        <v>45644</v>
      </c>
      <c r="C26" s="701">
        <v>43282</v>
      </c>
      <c r="D26" s="298" t="s">
        <v>2498</v>
      </c>
      <c r="E26" s="709">
        <v>633438.74</v>
      </c>
      <c r="F26" s="299" t="s">
        <v>1097</v>
      </c>
      <c r="G26" s="690">
        <v>1</v>
      </c>
      <c r="H26" s="327">
        <f t="shared" si="1"/>
        <v>633438.74</v>
      </c>
      <c r="I26" s="162"/>
      <c r="J26" s="160"/>
    </row>
    <row r="27" spans="1:10">
      <c r="A27" s="172">
        <v>22</v>
      </c>
      <c r="B27" s="164">
        <v>45644</v>
      </c>
      <c r="C27" s="701">
        <v>43313</v>
      </c>
      <c r="D27" s="273" t="s">
        <v>2498</v>
      </c>
      <c r="E27" s="710">
        <v>663497.80000000005</v>
      </c>
      <c r="F27" s="310" t="str">
        <f>+F26</f>
        <v>TP</v>
      </c>
      <c r="G27" s="690">
        <f>+G26</f>
        <v>1</v>
      </c>
      <c r="H27" s="327">
        <f t="shared" si="1"/>
        <v>663497.80000000005</v>
      </c>
      <c r="I27" s="162"/>
      <c r="J27" s="160"/>
    </row>
    <row r="28" spans="1:10">
      <c r="A28" s="172">
        <v>23</v>
      </c>
      <c r="B28" s="164">
        <v>45644</v>
      </c>
      <c r="C28" s="701">
        <v>43344</v>
      </c>
      <c r="D28" s="273" t="s">
        <v>2498</v>
      </c>
      <c r="E28" s="710">
        <v>651866.1</v>
      </c>
      <c r="F28" s="310" t="s">
        <v>1097</v>
      </c>
      <c r="G28" s="690">
        <v>1</v>
      </c>
      <c r="H28" s="327">
        <f t="shared" si="1"/>
        <v>651866.1</v>
      </c>
      <c r="I28" s="162"/>
      <c r="J28" s="160"/>
    </row>
    <row r="29" spans="1:10">
      <c r="A29" s="172">
        <v>24</v>
      </c>
      <c r="B29" s="164">
        <v>45644</v>
      </c>
      <c r="C29" s="701">
        <v>43374</v>
      </c>
      <c r="D29" s="325" t="s">
        <v>2498</v>
      </c>
      <c r="E29" s="710">
        <v>555940.62</v>
      </c>
      <c r="F29" s="697" t="s">
        <v>1097</v>
      </c>
      <c r="G29" s="690">
        <v>1</v>
      </c>
      <c r="H29" s="327">
        <f t="shared" si="1"/>
        <v>555940.62</v>
      </c>
      <c r="I29" s="162"/>
      <c r="J29" s="160"/>
    </row>
    <row r="30" spans="1:10">
      <c r="A30" s="172">
        <v>25</v>
      </c>
      <c r="B30" s="164">
        <v>45644</v>
      </c>
      <c r="C30" s="701">
        <v>43405</v>
      </c>
      <c r="D30" s="325" t="s">
        <v>2498</v>
      </c>
      <c r="E30" s="710">
        <v>534587.55000000005</v>
      </c>
      <c r="F30" s="697" t="s">
        <v>1097</v>
      </c>
      <c r="G30" s="690">
        <v>1</v>
      </c>
      <c r="H30" s="327">
        <f t="shared" si="1"/>
        <v>534587.55000000005</v>
      </c>
      <c r="I30" s="162"/>
      <c r="J30" s="160"/>
    </row>
    <row r="31" spans="1:10">
      <c r="A31" s="172">
        <v>26</v>
      </c>
      <c r="B31" s="164">
        <v>45644</v>
      </c>
      <c r="C31" s="701">
        <v>43435</v>
      </c>
      <c r="D31" s="325" t="s">
        <v>2498</v>
      </c>
      <c r="E31" s="710">
        <v>553858.27</v>
      </c>
      <c r="F31" s="296" t="s">
        <v>1097</v>
      </c>
      <c r="G31" s="690">
        <v>1</v>
      </c>
      <c r="H31" s="327">
        <f t="shared" si="1"/>
        <v>553858.27</v>
      </c>
      <c r="I31" s="162"/>
      <c r="J31" s="160"/>
    </row>
    <row r="32" spans="1:10">
      <c r="A32" s="172">
        <v>27</v>
      </c>
      <c r="B32" s="164">
        <v>45644</v>
      </c>
      <c r="C32" s="684" t="s">
        <v>2489</v>
      </c>
      <c r="D32" s="707"/>
      <c r="E32" s="711">
        <v>0</v>
      </c>
      <c r="F32" s="697"/>
      <c r="G32" s="690">
        <v>1</v>
      </c>
      <c r="H32" s="705">
        <f t="shared" si="1"/>
        <v>0</v>
      </c>
      <c r="I32" s="692"/>
      <c r="J32" s="693"/>
    </row>
    <row r="33" spans="1:10" ht="15" thickBot="1">
      <c r="A33" s="180">
        <v>28</v>
      </c>
      <c r="B33" s="157"/>
      <c r="C33" s="158" t="s">
        <v>2517</v>
      </c>
      <c r="D33" s="698"/>
      <c r="E33" s="712">
        <f>SUM(E20:E32)</f>
        <v>7567970.8699999992</v>
      </c>
      <c r="F33" s="699"/>
      <c r="G33" s="156"/>
      <c r="H33" s="249">
        <f>SUM(H20:H32)</f>
        <v>7567970.8699999992</v>
      </c>
      <c r="I33" s="155"/>
      <c r="J33" s="153"/>
    </row>
    <row r="34" spans="1:10">
      <c r="A34" s="246">
        <v>29</v>
      </c>
      <c r="B34" s="243">
        <v>45645</v>
      </c>
      <c r="C34" s="700">
        <v>43101</v>
      </c>
      <c r="D34" s="694" t="s">
        <v>2498</v>
      </c>
      <c r="E34" s="708">
        <v>231075.91</v>
      </c>
      <c r="F34" s="687" t="s">
        <v>1097</v>
      </c>
      <c r="G34" s="706">
        <v>1</v>
      </c>
      <c r="H34" s="688">
        <f>E34</f>
        <v>231075.91</v>
      </c>
      <c r="I34" s="242"/>
      <c r="J34" s="689"/>
    </row>
    <row r="35" spans="1:10">
      <c r="A35" s="172">
        <v>30</v>
      </c>
      <c r="B35" s="164">
        <v>45645</v>
      </c>
      <c r="C35" s="701">
        <v>43132</v>
      </c>
      <c r="D35" s="695" t="s">
        <v>2498</v>
      </c>
      <c r="E35" s="709">
        <v>145320.71</v>
      </c>
      <c r="F35" s="299" t="s">
        <v>1097</v>
      </c>
      <c r="G35" s="690">
        <v>1</v>
      </c>
      <c r="H35" s="327">
        <f t="shared" ref="H35:H45" si="2">E35</f>
        <v>145320.71</v>
      </c>
      <c r="I35" s="162"/>
      <c r="J35" s="160"/>
    </row>
    <row r="36" spans="1:10">
      <c r="A36" s="172">
        <v>31</v>
      </c>
      <c r="B36" s="164">
        <v>45645</v>
      </c>
      <c r="C36" s="701">
        <v>43160</v>
      </c>
      <c r="D36" s="695" t="s">
        <v>2498</v>
      </c>
      <c r="E36" s="709">
        <v>113872.02</v>
      </c>
      <c r="F36" s="299" t="s">
        <v>1097</v>
      </c>
      <c r="G36" s="690">
        <v>1</v>
      </c>
      <c r="H36" s="327">
        <f t="shared" si="2"/>
        <v>113872.02</v>
      </c>
      <c r="I36" s="162"/>
      <c r="J36" s="160"/>
    </row>
    <row r="37" spans="1:10">
      <c r="A37" s="172">
        <v>32</v>
      </c>
      <c r="B37" s="164">
        <v>45645</v>
      </c>
      <c r="C37" s="701">
        <v>43191</v>
      </c>
      <c r="D37" s="695" t="s">
        <v>2498</v>
      </c>
      <c r="E37" s="709">
        <v>111734.74</v>
      </c>
      <c r="F37" s="299" t="s">
        <v>1097</v>
      </c>
      <c r="G37" s="690">
        <v>1</v>
      </c>
      <c r="H37" s="327">
        <f t="shared" si="2"/>
        <v>111734.74</v>
      </c>
      <c r="I37" s="162"/>
      <c r="J37" s="160"/>
    </row>
    <row r="38" spans="1:10">
      <c r="A38" s="172">
        <v>33</v>
      </c>
      <c r="B38" s="164">
        <v>45645</v>
      </c>
      <c r="C38" s="701">
        <v>43221</v>
      </c>
      <c r="D38" s="695" t="s">
        <v>2498</v>
      </c>
      <c r="E38" s="709">
        <v>141508.89000000001</v>
      </c>
      <c r="F38" s="299" t="s">
        <v>1097</v>
      </c>
      <c r="G38" s="690">
        <v>1</v>
      </c>
      <c r="H38" s="327">
        <f t="shared" si="2"/>
        <v>141508.89000000001</v>
      </c>
      <c r="I38" s="162"/>
      <c r="J38" s="160"/>
    </row>
    <row r="39" spans="1:10">
      <c r="A39" s="172">
        <v>34</v>
      </c>
      <c r="B39" s="164">
        <v>45645</v>
      </c>
      <c r="C39" s="701">
        <v>43252</v>
      </c>
      <c r="D39" s="695" t="s">
        <v>2498</v>
      </c>
      <c r="E39" s="709">
        <v>166252.04999999999</v>
      </c>
      <c r="F39" s="299" t="s">
        <v>1097</v>
      </c>
      <c r="G39" s="690">
        <v>1</v>
      </c>
      <c r="H39" s="327">
        <f t="shared" si="2"/>
        <v>166252.04999999999</v>
      </c>
      <c r="I39" s="162"/>
      <c r="J39" s="160"/>
    </row>
    <row r="40" spans="1:10">
      <c r="A40" s="172">
        <v>35</v>
      </c>
      <c r="B40" s="164">
        <v>45645</v>
      </c>
      <c r="C40" s="701">
        <v>43282</v>
      </c>
      <c r="D40" s="695" t="s">
        <v>2498</v>
      </c>
      <c r="E40" s="709">
        <v>393047.9</v>
      </c>
      <c r="F40" s="299" t="s">
        <v>1097</v>
      </c>
      <c r="G40" s="690">
        <v>1</v>
      </c>
      <c r="H40" s="327">
        <f t="shared" si="2"/>
        <v>393047.9</v>
      </c>
      <c r="I40" s="162"/>
      <c r="J40" s="160"/>
    </row>
    <row r="41" spans="1:10">
      <c r="A41" s="172">
        <v>36</v>
      </c>
      <c r="B41" s="164">
        <v>45645</v>
      </c>
      <c r="C41" s="701">
        <v>43313</v>
      </c>
      <c r="D41" s="695" t="s">
        <v>2498</v>
      </c>
      <c r="E41" s="710">
        <v>387082.23999999999</v>
      </c>
      <c r="F41" s="310" t="str">
        <f>+F40</f>
        <v>TP</v>
      </c>
      <c r="G41" s="690">
        <f>+G40</f>
        <v>1</v>
      </c>
      <c r="H41" s="327">
        <f t="shared" si="2"/>
        <v>387082.23999999999</v>
      </c>
      <c r="I41" s="162"/>
      <c r="J41" s="160"/>
    </row>
    <row r="42" spans="1:10">
      <c r="A42" s="172">
        <v>37</v>
      </c>
      <c r="B42" s="164">
        <v>45645</v>
      </c>
      <c r="C42" s="701">
        <v>43344</v>
      </c>
      <c r="D42" s="695" t="s">
        <v>2498</v>
      </c>
      <c r="E42" s="710">
        <v>221226.88</v>
      </c>
      <c r="F42" s="310" t="s">
        <v>1097</v>
      </c>
      <c r="G42" s="690">
        <v>1</v>
      </c>
      <c r="H42" s="327">
        <f t="shared" si="2"/>
        <v>221226.88</v>
      </c>
      <c r="I42" s="162"/>
      <c r="J42" s="160"/>
    </row>
    <row r="43" spans="1:10">
      <c r="A43" s="172">
        <v>38</v>
      </c>
      <c r="B43" s="164">
        <v>45645</v>
      </c>
      <c r="C43" s="701">
        <v>43374</v>
      </c>
      <c r="D43" s="695" t="s">
        <v>2498</v>
      </c>
      <c r="E43" s="710">
        <v>251889.63</v>
      </c>
      <c r="F43" s="697" t="s">
        <v>1097</v>
      </c>
      <c r="G43" s="690">
        <v>1</v>
      </c>
      <c r="H43" s="327">
        <f t="shared" si="2"/>
        <v>251889.63</v>
      </c>
      <c r="I43" s="162"/>
      <c r="J43" s="160"/>
    </row>
    <row r="44" spans="1:10">
      <c r="A44" s="172">
        <v>39</v>
      </c>
      <c r="B44" s="164">
        <v>45645</v>
      </c>
      <c r="C44" s="701">
        <v>43405</v>
      </c>
      <c r="D44" s="695" t="s">
        <v>2498</v>
      </c>
      <c r="E44" s="710">
        <v>297692.08</v>
      </c>
      <c r="F44" s="697" t="s">
        <v>1097</v>
      </c>
      <c r="G44" s="690">
        <v>1</v>
      </c>
      <c r="H44" s="327">
        <f t="shared" si="2"/>
        <v>297692.08</v>
      </c>
      <c r="I44" s="162"/>
      <c r="J44" s="160"/>
    </row>
    <row r="45" spans="1:10">
      <c r="A45" s="172">
        <v>40</v>
      </c>
      <c r="B45" s="164">
        <v>45645</v>
      </c>
      <c r="C45" s="701">
        <v>43435</v>
      </c>
      <c r="D45" s="695" t="s">
        <v>2498</v>
      </c>
      <c r="E45" s="710">
        <v>256718.54</v>
      </c>
      <c r="F45" s="296" t="s">
        <v>1097</v>
      </c>
      <c r="G45" s="690">
        <v>1</v>
      </c>
      <c r="H45" s="327">
        <f t="shared" si="2"/>
        <v>256718.54</v>
      </c>
      <c r="I45" s="162"/>
      <c r="J45" s="160"/>
    </row>
    <row r="46" spans="1:10">
      <c r="A46" s="172">
        <v>41</v>
      </c>
      <c r="B46" s="164">
        <v>45645</v>
      </c>
      <c r="C46" s="684" t="s">
        <v>2489</v>
      </c>
      <c r="D46" s="696"/>
      <c r="E46" s="711">
        <v>0</v>
      </c>
      <c r="F46" s="697" t="s">
        <v>1097</v>
      </c>
      <c r="G46" s="690">
        <v>1</v>
      </c>
      <c r="H46" s="691">
        <f>E46</f>
        <v>0</v>
      </c>
      <c r="I46" s="692"/>
      <c r="J46" s="693"/>
    </row>
    <row r="47" spans="1:10" ht="15" thickBot="1">
      <c r="A47" s="180">
        <v>42</v>
      </c>
      <c r="B47" s="157"/>
      <c r="C47" s="158" t="s">
        <v>2517</v>
      </c>
      <c r="D47" s="698"/>
      <c r="E47" s="712">
        <f>SUM(E34:E46)</f>
        <v>2717421.5900000003</v>
      </c>
      <c r="F47" s="699"/>
      <c r="G47" s="156"/>
      <c r="H47" s="249">
        <f>SUM(H34:H46)</f>
        <v>2717421.5900000003</v>
      </c>
      <c r="I47" s="155"/>
      <c r="J47" s="153"/>
    </row>
    <row r="48" spans="1:10">
      <c r="A48" s="246">
        <v>43</v>
      </c>
      <c r="B48" s="243" t="s">
        <v>2492</v>
      </c>
      <c r="C48" s="700">
        <v>43101</v>
      </c>
      <c r="D48" s="694" t="s">
        <v>2493</v>
      </c>
      <c r="E48" s="708">
        <f>90706.15+4953.11</f>
        <v>95659.26</v>
      </c>
      <c r="F48" s="687" t="s">
        <v>1097</v>
      </c>
      <c r="G48" s="706">
        <v>1</v>
      </c>
      <c r="H48" s="688">
        <f>E48</f>
        <v>95659.26</v>
      </c>
      <c r="I48" s="242"/>
      <c r="J48" s="689"/>
    </row>
    <row r="49" spans="1:10">
      <c r="A49" s="172">
        <v>44</v>
      </c>
      <c r="B49" s="164" t="s">
        <v>2492</v>
      </c>
      <c r="C49" s="701">
        <v>43132</v>
      </c>
      <c r="D49" s="695" t="s">
        <v>2493</v>
      </c>
      <c r="E49" s="709">
        <f>70549.23+3852.42</f>
        <v>74401.649999999994</v>
      </c>
      <c r="F49" s="299" t="s">
        <v>1097</v>
      </c>
      <c r="G49" s="690">
        <v>1</v>
      </c>
      <c r="H49" s="327">
        <f t="shared" ref="H49:H60" si="3">E49</f>
        <v>74401.649999999994</v>
      </c>
      <c r="I49" s="162"/>
      <c r="J49" s="160"/>
    </row>
    <row r="50" spans="1:10">
      <c r="A50" s="172">
        <v>45</v>
      </c>
      <c r="B50" s="164" t="s">
        <v>2492</v>
      </c>
      <c r="C50" s="701">
        <v>43160</v>
      </c>
      <c r="D50" s="294" t="s">
        <v>2493</v>
      </c>
      <c r="E50" s="709">
        <f>90706.15+4953.11</f>
        <v>95659.26</v>
      </c>
      <c r="F50" s="299" t="s">
        <v>1097</v>
      </c>
      <c r="G50" s="690">
        <v>1</v>
      </c>
      <c r="H50" s="327">
        <f t="shared" si="3"/>
        <v>95659.26</v>
      </c>
      <c r="I50" s="162"/>
      <c r="J50" s="160"/>
    </row>
    <row r="51" spans="1:10">
      <c r="A51" s="172">
        <v>46</v>
      </c>
      <c r="B51" s="164" t="s">
        <v>2492</v>
      </c>
      <c r="C51" s="701">
        <v>43191</v>
      </c>
      <c r="D51" s="695" t="s">
        <v>2493</v>
      </c>
      <c r="E51" s="709">
        <f>90706.15+4953.11</f>
        <v>95659.26</v>
      </c>
      <c r="F51" s="299" t="s">
        <v>1097</v>
      </c>
      <c r="G51" s="690">
        <v>1</v>
      </c>
      <c r="H51" s="327">
        <f t="shared" si="3"/>
        <v>95659.26</v>
      </c>
      <c r="I51" s="162"/>
      <c r="J51" s="160"/>
    </row>
    <row r="52" spans="1:10">
      <c r="A52" s="172">
        <v>47</v>
      </c>
      <c r="B52" s="164" t="s">
        <v>2492</v>
      </c>
      <c r="C52" s="701">
        <v>43221</v>
      </c>
      <c r="D52" s="294" t="s">
        <v>2493</v>
      </c>
      <c r="E52" s="709">
        <f>90706.15+4953.11</f>
        <v>95659.26</v>
      </c>
      <c r="F52" s="299" t="s">
        <v>1097</v>
      </c>
      <c r="G52" s="690">
        <v>1</v>
      </c>
      <c r="H52" s="327">
        <f t="shared" si="3"/>
        <v>95659.26</v>
      </c>
      <c r="I52" s="162"/>
      <c r="J52" s="160"/>
    </row>
    <row r="53" spans="1:10">
      <c r="A53" s="172">
        <v>48</v>
      </c>
      <c r="B53" s="164" t="s">
        <v>2492</v>
      </c>
      <c r="C53" s="701">
        <v>43252</v>
      </c>
      <c r="D53" s="695" t="s">
        <v>2493</v>
      </c>
      <c r="E53" s="709">
        <f>93878.29+5126.33</f>
        <v>99004.62</v>
      </c>
      <c r="F53" s="299" t="s">
        <v>1097</v>
      </c>
      <c r="G53" s="690">
        <v>1</v>
      </c>
      <c r="H53" s="327">
        <f t="shared" si="3"/>
        <v>99004.62</v>
      </c>
      <c r="I53" s="162"/>
      <c r="J53" s="160"/>
    </row>
    <row r="54" spans="1:10">
      <c r="A54" s="172">
        <v>49</v>
      </c>
      <c r="B54" s="164" t="s">
        <v>2492</v>
      </c>
      <c r="C54" s="701">
        <v>43282</v>
      </c>
      <c r="D54" s="294" t="s">
        <v>2493</v>
      </c>
      <c r="E54" s="709">
        <f>88.97+45999.41+60906.03</f>
        <v>106994.41</v>
      </c>
      <c r="F54" s="299" t="s">
        <v>1097</v>
      </c>
      <c r="G54" s="690">
        <v>1</v>
      </c>
      <c r="H54" s="327">
        <f t="shared" si="3"/>
        <v>106994.41</v>
      </c>
      <c r="I54" s="162"/>
      <c r="J54" s="160"/>
    </row>
    <row r="55" spans="1:10">
      <c r="A55" s="172">
        <v>50</v>
      </c>
      <c r="B55" s="164" t="s">
        <v>2492</v>
      </c>
      <c r="C55" s="701">
        <v>43313</v>
      </c>
      <c r="D55" s="695" t="s">
        <v>2493</v>
      </c>
      <c r="E55" s="710">
        <f>14.29+77514.82+13613.08</f>
        <v>91142.19</v>
      </c>
      <c r="F55" s="310" t="str">
        <f>+F54</f>
        <v>TP</v>
      </c>
      <c r="G55" s="690">
        <f>+G54</f>
        <v>1</v>
      </c>
      <c r="H55" s="327">
        <f t="shared" si="3"/>
        <v>91142.19</v>
      </c>
      <c r="I55" s="162"/>
      <c r="J55" s="160"/>
    </row>
    <row r="56" spans="1:10">
      <c r="A56" s="172">
        <v>51</v>
      </c>
      <c r="B56" s="164" t="s">
        <v>2492</v>
      </c>
      <c r="C56" s="701">
        <v>43344</v>
      </c>
      <c r="D56" s="294" t="s">
        <v>2493</v>
      </c>
      <c r="E56" s="710">
        <f>15.4+83517.47+14667.25</f>
        <v>98200.12</v>
      </c>
      <c r="F56" s="310" t="s">
        <v>1097</v>
      </c>
      <c r="G56" s="690">
        <v>1</v>
      </c>
      <c r="H56" s="327">
        <f t="shared" si="3"/>
        <v>98200.12</v>
      </c>
      <c r="I56" s="162"/>
      <c r="J56" s="160"/>
    </row>
    <row r="57" spans="1:10">
      <c r="A57" s="172">
        <v>52</v>
      </c>
      <c r="B57" s="164" t="s">
        <v>2492</v>
      </c>
      <c r="C57" s="701">
        <v>43374</v>
      </c>
      <c r="D57" s="695" t="s">
        <v>2493</v>
      </c>
      <c r="E57" s="710">
        <f>15.4+83517.47+14667.25</f>
        <v>98200.12</v>
      </c>
      <c r="F57" s="697" t="s">
        <v>1097</v>
      </c>
      <c r="G57" s="690">
        <v>1</v>
      </c>
      <c r="H57" s="327">
        <f t="shared" si="3"/>
        <v>98200.12</v>
      </c>
      <c r="I57" s="162"/>
      <c r="J57" s="160"/>
    </row>
    <row r="58" spans="1:10">
      <c r="A58" s="172">
        <v>53</v>
      </c>
      <c r="B58" s="164" t="s">
        <v>2492</v>
      </c>
      <c r="C58" s="701">
        <v>43405</v>
      </c>
      <c r="D58" s="695" t="s">
        <v>2493</v>
      </c>
      <c r="E58" s="710">
        <f>15.4+83517.47+14667.25</f>
        <v>98200.12</v>
      </c>
      <c r="F58" s="697" t="s">
        <v>1097</v>
      </c>
      <c r="G58" s="690">
        <v>1</v>
      </c>
      <c r="H58" s="327">
        <f t="shared" si="3"/>
        <v>98200.12</v>
      </c>
      <c r="I58" s="162"/>
      <c r="J58" s="160"/>
    </row>
    <row r="59" spans="1:10">
      <c r="A59" s="172">
        <v>54</v>
      </c>
      <c r="B59" s="164" t="s">
        <v>2492</v>
      </c>
      <c r="C59" s="701">
        <v>43435</v>
      </c>
      <c r="D59" s="294" t="s">
        <v>2493</v>
      </c>
      <c r="E59" s="710">
        <f>15.4+83517.47+14667.25</f>
        <v>98200.12</v>
      </c>
      <c r="F59" s="296" t="s">
        <v>1097</v>
      </c>
      <c r="G59" s="690">
        <v>1</v>
      </c>
      <c r="H59" s="327">
        <f t="shared" si="3"/>
        <v>98200.12</v>
      </c>
      <c r="I59" s="162"/>
      <c r="J59" s="160"/>
    </row>
    <row r="60" spans="1:10">
      <c r="A60" s="172">
        <v>55</v>
      </c>
      <c r="B60" s="164" t="s">
        <v>2492</v>
      </c>
      <c r="C60" s="684" t="s">
        <v>2489</v>
      </c>
      <c r="D60" s="329"/>
      <c r="E60" s="711">
        <v>0</v>
      </c>
      <c r="F60" s="697" t="s">
        <v>1097</v>
      </c>
      <c r="G60" s="690">
        <v>1</v>
      </c>
      <c r="H60" s="705">
        <f t="shared" si="3"/>
        <v>0</v>
      </c>
      <c r="I60" s="692"/>
      <c r="J60" s="693"/>
    </row>
    <row r="61" spans="1:10" ht="15" thickBot="1">
      <c r="A61" s="180">
        <v>56</v>
      </c>
      <c r="B61" s="157"/>
      <c r="C61" s="158" t="s">
        <v>2517</v>
      </c>
      <c r="D61" s="698"/>
      <c r="E61" s="712">
        <f>SUM(E48:E60)</f>
        <v>1146980.3900000001</v>
      </c>
      <c r="F61" s="699"/>
      <c r="G61" s="156"/>
      <c r="H61" s="249">
        <f>SUM(H48:H60)</f>
        <v>1146980.3900000001</v>
      </c>
      <c r="I61" s="155"/>
      <c r="J61" s="153"/>
    </row>
    <row r="62" spans="1:10">
      <c r="A62" s="246">
        <v>57</v>
      </c>
      <c r="B62" s="243">
        <v>7088</v>
      </c>
      <c r="C62" s="700">
        <v>43132</v>
      </c>
      <c r="D62" s="694" t="s">
        <v>1461</v>
      </c>
      <c r="E62" s="708">
        <v>754621.25</v>
      </c>
      <c r="F62" s="687" t="s">
        <v>487</v>
      </c>
      <c r="G62" s="706">
        <v>1</v>
      </c>
      <c r="H62" s="688">
        <f>E62</f>
        <v>754621.25</v>
      </c>
      <c r="I62" s="242"/>
      <c r="J62" s="689"/>
    </row>
    <row r="63" spans="1:10">
      <c r="A63" s="172">
        <v>58</v>
      </c>
      <c r="B63" s="164">
        <v>7088</v>
      </c>
      <c r="C63" s="701">
        <v>43160</v>
      </c>
      <c r="D63" s="695" t="s">
        <v>1461</v>
      </c>
      <c r="E63" s="709">
        <v>803445.15</v>
      </c>
      <c r="F63" s="299" t="s">
        <v>487</v>
      </c>
      <c r="G63" s="690">
        <v>1</v>
      </c>
      <c r="H63" s="327">
        <f t="shared" ref="H63:H74" si="4">E63</f>
        <v>803445.15</v>
      </c>
      <c r="I63" s="162"/>
      <c r="J63" s="160"/>
    </row>
    <row r="64" spans="1:10">
      <c r="A64" s="172">
        <v>59</v>
      </c>
      <c r="B64" s="164">
        <v>7088</v>
      </c>
      <c r="C64" s="701">
        <v>43191</v>
      </c>
      <c r="D64" s="294" t="s">
        <v>1461</v>
      </c>
      <c r="E64" s="709">
        <v>747764.87</v>
      </c>
      <c r="F64" s="299" t="s">
        <v>487</v>
      </c>
      <c r="G64" s="690">
        <v>1</v>
      </c>
      <c r="H64" s="327">
        <f t="shared" si="4"/>
        <v>747764.87</v>
      </c>
      <c r="I64" s="162"/>
      <c r="J64" s="160"/>
    </row>
    <row r="65" spans="1:10">
      <c r="A65" s="172">
        <v>60</v>
      </c>
      <c r="B65" s="164">
        <v>7088</v>
      </c>
      <c r="C65" s="701">
        <v>43221</v>
      </c>
      <c r="D65" s="294" t="s">
        <v>1461</v>
      </c>
      <c r="E65" s="709">
        <v>772327.11</v>
      </c>
      <c r="F65" s="299" t="s">
        <v>487</v>
      </c>
      <c r="G65" s="690">
        <v>1</v>
      </c>
      <c r="H65" s="327">
        <f t="shared" si="4"/>
        <v>772327.11</v>
      </c>
      <c r="I65" s="162"/>
      <c r="J65" s="160"/>
    </row>
    <row r="66" spans="1:10">
      <c r="A66" s="172">
        <v>61</v>
      </c>
      <c r="B66" s="164">
        <v>7088</v>
      </c>
      <c r="C66" s="701">
        <v>43252</v>
      </c>
      <c r="D66" s="294" t="s">
        <v>1461</v>
      </c>
      <c r="E66" s="709">
        <v>707077.26</v>
      </c>
      <c r="F66" s="299" t="s">
        <v>487</v>
      </c>
      <c r="G66" s="690">
        <v>1</v>
      </c>
      <c r="H66" s="327">
        <f t="shared" si="4"/>
        <v>707077.26</v>
      </c>
      <c r="I66" s="162"/>
      <c r="J66" s="160"/>
    </row>
    <row r="67" spans="1:10">
      <c r="A67" s="172">
        <v>62</v>
      </c>
      <c r="B67" s="164">
        <v>7088</v>
      </c>
      <c r="C67" s="701">
        <v>43282</v>
      </c>
      <c r="D67" s="695" t="s">
        <v>1461</v>
      </c>
      <c r="E67" s="709">
        <v>746727.33</v>
      </c>
      <c r="F67" s="299" t="s">
        <v>487</v>
      </c>
      <c r="G67" s="690">
        <v>1</v>
      </c>
      <c r="H67" s="327">
        <f t="shared" si="4"/>
        <v>746727.33</v>
      </c>
      <c r="I67" s="162"/>
      <c r="J67" s="160"/>
    </row>
    <row r="68" spans="1:10">
      <c r="A68" s="172">
        <v>63</v>
      </c>
      <c r="B68" s="164">
        <v>7088</v>
      </c>
      <c r="C68" s="701">
        <v>43313</v>
      </c>
      <c r="D68" s="294" t="s">
        <v>1461</v>
      </c>
      <c r="E68" s="709">
        <v>809595.43</v>
      </c>
      <c r="F68" s="299" t="s">
        <v>487</v>
      </c>
      <c r="G68" s="690">
        <v>1</v>
      </c>
      <c r="H68" s="327">
        <f t="shared" si="4"/>
        <v>809595.43</v>
      </c>
      <c r="I68" s="162"/>
      <c r="J68" s="160"/>
    </row>
    <row r="69" spans="1:10">
      <c r="A69" s="172">
        <v>64</v>
      </c>
      <c r="B69" s="164">
        <v>7088</v>
      </c>
      <c r="C69" s="701">
        <v>43344</v>
      </c>
      <c r="D69" s="294" t="s">
        <v>1461</v>
      </c>
      <c r="E69" s="710">
        <v>785830.27</v>
      </c>
      <c r="F69" s="310" t="s">
        <v>487</v>
      </c>
      <c r="G69" s="690">
        <f>+G68</f>
        <v>1</v>
      </c>
      <c r="H69" s="327">
        <f t="shared" si="4"/>
        <v>785830.27</v>
      </c>
      <c r="I69" s="162"/>
      <c r="J69" s="160"/>
    </row>
    <row r="70" spans="1:10">
      <c r="A70" s="172">
        <v>65</v>
      </c>
      <c r="B70" s="164">
        <v>7088</v>
      </c>
      <c r="C70" s="701">
        <v>43374</v>
      </c>
      <c r="D70" s="294" t="s">
        <v>1461</v>
      </c>
      <c r="E70" s="710">
        <v>707631.73</v>
      </c>
      <c r="F70" s="310" t="s">
        <v>487</v>
      </c>
      <c r="G70" s="690">
        <v>1</v>
      </c>
      <c r="H70" s="327">
        <f t="shared" si="4"/>
        <v>707631.73</v>
      </c>
      <c r="I70" s="162"/>
      <c r="J70" s="160"/>
    </row>
    <row r="71" spans="1:10">
      <c r="A71" s="172">
        <v>66</v>
      </c>
      <c r="B71" s="164">
        <v>7088</v>
      </c>
      <c r="C71" s="701">
        <v>43405</v>
      </c>
      <c r="D71" s="695" t="s">
        <v>1461</v>
      </c>
      <c r="E71" s="710">
        <v>726302.78</v>
      </c>
      <c r="F71" s="697" t="s">
        <v>487</v>
      </c>
      <c r="G71" s="690">
        <v>1</v>
      </c>
      <c r="H71" s="327">
        <f t="shared" si="4"/>
        <v>726302.78</v>
      </c>
      <c r="I71" s="162"/>
      <c r="J71" s="160"/>
    </row>
    <row r="72" spans="1:10">
      <c r="A72" s="172">
        <v>67</v>
      </c>
      <c r="B72" s="164">
        <v>7088</v>
      </c>
      <c r="C72" s="701">
        <v>43435</v>
      </c>
      <c r="D72" s="294" t="s">
        <v>1461</v>
      </c>
      <c r="E72" s="710">
        <v>794057.71</v>
      </c>
      <c r="F72" s="697" t="s">
        <v>487</v>
      </c>
      <c r="G72" s="690">
        <v>1</v>
      </c>
      <c r="H72" s="327">
        <f t="shared" si="4"/>
        <v>794057.71</v>
      </c>
      <c r="I72" s="162"/>
      <c r="J72" s="160"/>
    </row>
    <row r="73" spans="1:10">
      <c r="A73" s="172">
        <v>68</v>
      </c>
      <c r="B73" s="164">
        <v>7088</v>
      </c>
      <c r="C73" s="701">
        <v>43466</v>
      </c>
      <c r="D73" s="294" t="s">
        <v>1461</v>
      </c>
      <c r="E73" s="710">
        <v>829310.46</v>
      </c>
      <c r="F73" s="296" t="s">
        <v>487</v>
      </c>
      <c r="G73" s="690">
        <v>1</v>
      </c>
      <c r="H73" s="327">
        <f t="shared" si="4"/>
        <v>829310.46</v>
      </c>
      <c r="I73" s="162"/>
      <c r="J73" s="160"/>
    </row>
    <row r="74" spans="1:10">
      <c r="A74" s="172">
        <v>69</v>
      </c>
      <c r="B74" s="164">
        <v>7088</v>
      </c>
      <c r="C74" s="684" t="s">
        <v>2489</v>
      </c>
      <c r="D74" s="707">
        <v>43070</v>
      </c>
      <c r="E74" s="711">
        <v>63905</v>
      </c>
      <c r="F74" s="697" t="s">
        <v>487</v>
      </c>
      <c r="G74" s="690">
        <v>1</v>
      </c>
      <c r="H74" s="705">
        <f t="shared" si="4"/>
        <v>63905</v>
      </c>
      <c r="I74" s="692"/>
      <c r="J74" s="693"/>
    </row>
    <row r="75" spans="1:10" ht="15" thickBot="1">
      <c r="A75" s="180">
        <v>70</v>
      </c>
      <c r="B75" s="157"/>
      <c r="C75" s="158" t="s">
        <v>2517</v>
      </c>
      <c r="D75" s="698"/>
      <c r="E75" s="712">
        <f>SUM(E62:E74)</f>
        <v>9248596.3500000015</v>
      </c>
      <c r="F75" s="699"/>
      <c r="G75" s="156"/>
      <c r="H75" s="249">
        <f>SUM(H62:H74)</f>
        <v>9248596.3500000015</v>
      </c>
      <c r="I75" s="155"/>
      <c r="J75" s="153"/>
    </row>
    <row r="76" spans="1:10">
      <c r="A76" s="246">
        <v>71</v>
      </c>
      <c r="B76" s="243">
        <v>45420</v>
      </c>
      <c r="C76" s="700">
        <v>43101</v>
      </c>
      <c r="D76" s="694" t="s">
        <v>2496</v>
      </c>
      <c r="E76" s="708">
        <v>6208.19</v>
      </c>
      <c r="F76" s="687" t="s">
        <v>1097</v>
      </c>
      <c r="G76" s="706">
        <v>1</v>
      </c>
      <c r="H76" s="688">
        <f>E76</f>
        <v>6208.19</v>
      </c>
      <c r="I76" s="242"/>
      <c r="J76" s="689"/>
    </row>
    <row r="77" spans="1:10">
      <c r="A77" s="172">
        <v>72</v>
      </c>
      <c r="B77" s="164">
        <v>45420</v>
      </c>
      <c r="C77" s="701">
        <v>43132</v>
      </c>
      <c r="D77" s="695" t="s">
        <v>2496</v>
      </c>
      <c r="E77" s="709">
        <v>6208.19</v>
      </c>
      <c r="F77" s="299" t="s">
        <v>1097</v>
      </c>
      <c r="G77" s="690">
        <v>1</v>
      </c>
      <c r="H77" s="327">
        <f t="shared" ref="H77:H88" si="5">E77</f>
        <v>6208.19</v>
      </c>
      <c r="I77" s="162"/>
      <c r="J77" s="160"/>
    </row>
    <row r="78" spans="1:10">
      <c r="A78" s="172">
        <v>73</v>
      </c>
      <c r="B78" s="164">
        <v>45420</v>
      </c>
      <c r="C78" s="701">
        <v>43160</v>
      </c>
      <c r="D78" s="294" t="s">
        <v>2496</v>
      </c>
      <c r="E78" s="709">
        <v>6208.19</v>
      </c>
      <c r="F78" s="299" t="s">
        <v>1097</v>
      </c>
      <c r="G78" s="690">
        <v>1</v>
      </c>
      <c r="H78" s="327">
        <f t="shared" si="5"/>
        <v>6208.19</v>
      </c>
      <c r="I78" s="162"/>
      <c r="J78" s="160"/>
    </row>
    <row r="79" spans="1:10">
      <c r="A79" s="172">
        <v>74</v>
      </c>
      <c r="B79" s="164">
        <v>45420</v>
      </c>
      <c r="C79" s="701">
        <v>43191</v>
      </c>
      <c r="D79" s="294" t="s">
        <v>2496</v>
      </c>
      <c r="E79" s="709">
        <v>6208.19</v>
      </c>
      <c r="F79" s="299" t="s">
        <v>1097</v>
      </c>
      <c r="G79" s="690">
        <v>1</v>
      </c>
      <c r="H79" s="327">
        <f t="shared" si="5"/>
        <v>6208.19</v>
      </c>
      <c r="I79" s="162"/>
      <c r="J79" s="160"/>
    </row>
    <row r="80" spans="1:10">
      <c r="A80" s="172">
        <v>75</v>
      </c>
      <c r="B80" s="164">
        <v>45420</v>
      </c>
      <c r="C80" s="701">
        <v>43221</v>
      </c>
      <c r="D80" s="294" t="s">
        <v>2496</v>
      </c>
      <c r="E80" s="709">
        <v>6208.19</v>
      </c>
      <c r="F80" s="299" t="s">
        <v>1097</v>
      </c>
      <c r="G80" s="690">
        <v>1</v>
      </c>
      <c r="H80" s="327">
        <f t="shared" si="5"/>
        <v>6208.19</v>
      </c>
      <c r="I80" s="162"/>
      <c r="J80" s="160"/>
    </row>
    <row r="81" spans="1:10">
      <c r="A81" s="172">
        <v>76</v>
      </c>
      <c r="B81" s="164">
        <v>45420</v>
      </c>
      <c r="C81" s="701">
        <v>43252</v>
      </c>
      <c r="D81" s="294" t="s">
        <v>2496</v>
      </c>
      <c r="E81" s="709">
        <v>6208.19</v>
      </c>
      <c r="F81" s="299" t="s">
        <v>1097</v>
      </c>
      <c r="G81" s="690">
        <v>1</v>
      </c>
      <c r="H81" s="327">
        <f t="shared" si="5"/>
        <v>6208.19</v>
      </c>
      <c r="I81" s="162"/>
      <c r="J81" s="160"/>
    </row>
    <row r="82" spans="1:10">
      <c r="A82" s="172">
        <v>77</v>
      </c>
      <c r="B82" s="164">
        <v>45420</v>
      </c>
      <c r="C82" s="701">
        <v>43282</v>
      </c>
      <c r="D82" s="298" t="s">
        <v>2496</v>
      </c>
      <c r="E82" s="709">
        <v>6208.19</v>
      </c>
      <c r="F82" s="299" t="s">
        <v>1097</v>
      </c>
      <c r="G82" s="690">
        <v>1</v>
      </c>
      <c r="H82" s="327">
        <f t="shared" si="5"/>
        <v>6208.19</v>
      </c>
      <c r="I82" s="162"/>
      <c r="J82" s="160"/>
    </row>
    <row r="83" spans="1:10">
      <c r="A83" s="172">
        <v>78</v>
      </c>
      <c r="B83" s="164">
        <v>45420</v>
      </c>
      <c r="C83" s="701">
        <v>43313</v>
      </c>
      <c r="D83" s="273" t="s">
        <v>2496</v>
      </c>
      <c r="E83" s="710">
        <v>6208.19</v>
      </c>
      <c r="F83" s="310" t="str">
        <f>+F82</f>
        <v>TP</v>
      </c>
      <c r="G83" s="690">
        <f>+G82</f>
        <v>1</v>
      </c>
      <c r="H83" s="327">
        <f t="shared" si="5"/>
        <v>6208.19</v>
      </c>
      <c r="I83" s="162"/>
      <c r="J83" s="160"/>
    </row>
    <row r="84" spans="1:10">
      <c r="A84" s="172">
        <v>79</v>
      </c>
      <c r="B84" s="164">
        <v>45420</v>
      </c>
      <c r="C84" s="701">
        <v>43344</v>
      </c>
      <c r="D84" s="273" t="s">
        <v>2496</v>
      </c>
      <c r="E84" s="710">
        <v>9277.19</v>
      </c>
      <c r="F84" s="310" t="s">
        <v>1097</v>
      </c>
      <c r="G84" s="690">
        <v>1</v>
      </c>
      <c r="H84" s="327">
        <f t="shared" si="5"/>
        <v>9277.19</v>
      </c>
      <c r="I84" s="162"/>
      <c r="J84" s="160"/>
    </row>
    <row r="85" spans="1:10">
      <c r="A85" s="172">
        <v>80</v>
      </c>
      <c r="B85" s="164">
        <v>45420</v>
      </c>
      <c r="C85" s="701">
        <v>43374</v>
      </c>
      <c r="D85" s="325" t="s">
        <v>2496</v>
      </c>
      <c r="E85" s="710">
        <v>8208.19</v>
      </c>
      <c r="F85" s="697" t="s">
        <v>1097</v>
      </c>
      <c r="G85" s="690">
        <v>1</v>
      </c>
      <c r="H85" s="327">
        <f t="shared" si="5"/>
        <v>8208.19</v>
      </c>
      <c r="I85" s="162"/>
      <c r="J85" s="160"/>
    </row>
    <row r="86" spans="1:10">
      <c r="A86" s="172">
        <v>81</v>
      </c>
      <c r="B86" s="164">
        <v>45420</v>
      </c>
      <c r="C86" s="701">
        <v>43405</v>
      </c>
      <c r="D86" s="294" t="s">
        <v>2496</v>
      </c>
      <c r="E86" s="710">
        <v>6208.19</v>
      </c>
      <c r="F86" s="697" t="s">
        <v>1097</v>
      </c>
      <c r="G86" s="690">
        <v>1</v>
      </c>
      <c r="H86" s="327">
        <f t="shared" si="5"/>
        <v>6208.19</v>
      </c>
      <c r="I86" s="162"/>
      <c r="J86" s="160"/>
    </row>
    <row r="87" spans="1:10">
      <c r="A87" s="172">
        <v>82</v>
      </c>
      <c r="B87" s="164">
        <v>45420</v>
      </c>
      <c r="C87" s="701">
        <v>43435</v>
      </c>
      <c r="D87" s="298" t="s">
        <v>2496</v>
      </c>
      <c r="E87" s="710">
        <v>6208.19</v>
      </c>
      <c r="F87" s="296" t="s">
        <v>1097</v>
      </c>
      <c r="G87" s="690">
        <v>1</v>
      </c>
      <c r="H87" s="327">
        <f t="shared" si="5"/>
        <v>6208.19</v>
      </c>
      <c r="I87" s="162"/>
      <c r="J87" s="160"/>
    </row>
    <row r="88" spans="1:10">
      <c r="A88" s="172">
        <v>83</v>
      </c>
      <c r="B88" s="164">
        <v>45420</v>
      </c>
      <c r="C88" s="684" t="s">
        <v>2489</v>
      </c>
      <c r="D88" s="707"/>
      <c r="E88" s="711"/>
      <c r="F88" s="697" t="s">
        <v>1097</v>
      </c>
      <c r="G88" s="690">
        <v>1</v>
      </c>
      <c r="H88" s="705">
        <f t="shared" si="5"/>
        <v>0</v>
      </c>
      <c r="I88" s="692"/>
      <c r="J88" s="693"/>
    </row>
    <row r="89" spans="1:10" ht="15" thickBot="1">
      <c r="A89" s="180">
        <v>84</v>
      </c>
      <c r="B89" s="157"/>
      <c r="C89" s="158" t="s">
        <v>2517</v>
      </c>
      <c r="D89" s="698"/>
      <c r="E89" s="712">
        <f>SUM(E76:E88)</f>
        <v>79567.280000000013</v>
      </c>
      <c r="F89" s="699"/>
      <c r="G89" s="156"/>
      <c r="H89" s="249">
        <f>SUM(H76:H88)</f>
        <v>79567.280000000013</v>
      </c>
      <c r="I89" s="155"/>
      <c r="J89" s="153"/>
    </row>
    <row r="90" spans="1:10">
      <c r="A90" s="246">
        <v>85</v>
      </c>
      <c r="B90" s="243">
        <v>45643</v>
      </c>
      <c r="C90" s="700">
        <v>43132</v>
      </c>
      <c r="D90" s="694" t="s">
        <v>2497</v>
      </c>
      <c r="E90" s="708">
        <v>11317569.859999999</v>
      </c>
      <c r="F90" s="687" t="s">
        <v>1097</v>
      </c>
      <c r="G90" s="706">
        <v>1</v>
      </c>
      <c r="H90" s="688">
        <f>E90</f>
        <v>11317569.859999999</v>
      </c>
      <c r="I90" s="242"/>
      <c r="J90" s="689"/>
    </row>
    <row r="91" spans="1:10">
      <c r="A91" s="172">
        <v>86</v>
      </c>
      <c r="B91" s="164">
        <v>45643</v>
      </c>
      <c r="C91" s="701">
        <v>43160</v>
      </c>
      <c r="D91" s="695" t="s">
        <v>2497</v>
      </c>
      <c r="E91" s="709">
        <v>11038740.550000001</v>
      </c>
      <c r="F91" s="299" t="s">
        <v>1097</v>
      </c>
      <c r="G91" s="690">
        <v>1</v>
      </c>
      <c r="H91" s="327">
        <f t="shared" ref="H91:H101" si="6">E91</f>
        <v>11038740.550000001</v>
      </c>
      <c r="I91" s="162"/>
      <c r="J91" s="160"/>
    </row>
    <row r="92" spans="1:10">
      <c r="A92" s="172">
        <v>87</v>
      </c>
      <c r="B92" s="164">
        <v>45643</v>
      </c>
      <c r="C92" s="701">
        <v>43191</v>
      </c>
      <c r="D92" s="294" t="s">
        <v>2497</v>
      </c>
      <c r="E92" s="709">
        <v>11106665.869999999</v>
      </c>
      <c r="F92" s="299" t="s">
        <v>1097</v>
      </c>
      <c r="G92" s="690">
        <v>1</v>
      </c>
      <c r="H92" s="327">
        <f t="shared" si="6"/>
        <v>11106665.869999999</v>
      </c>
      <c r="I92" s="162"/>
      <c r="J92" s="160"/>
    </row>
    <row r="93" spans="1:10">
      <c r="A93" s="172">
        <v>88</v>
      </c>
      <c r="B93" s="164">
        <v>45643</v>
      </c>
      <c r="C93" s="701">
        <v>43221</v>
      </c>
      <c r="D93" s="294" t="s">
        <v>2497</v>
      </c>
      <c r="E93" s="709">
        <v>11106665.880000001</v>
      </c>
      <c r="F93" s="299" t="s">
        <v>1097</v>
      </c>
      <c r="G93" s="690">
        <v>1</v>
      </c>
      <c r="H93" s="327">
        <f t="shared" si="6"/>
        <v>11106665.880000001</v>
      </c>
      <c r="I93" s="162"/>
      <c r="J93" s="160"/>
    </row>
    <row r="94" spans="1:10">
      <c r="A94" s="172">
        <v>89</v>
      </c>
      <c r="B94" s="164">
        <v>45643</v>
      </c>
      <c r="C94" s="701">
        <v>43252</v>
      </c>
      <c r="D94" s="294" t="s">
        <v>2497</v>
      </c>
      <c r="E94" s="709">
        <v>11106665.77</v>
      </c>
      <c r="F94" s="299" t="s">
        <v>1097</v>
      </c>
      <c r="G94" s="690">
        <v>1</v>
      </c>
      <c r="H94" s="327">
        <f t="shared" si="6"/>
        <v>11106665.77</v>
      </c>
      <c r="I94" s="162"/>
      <c r="J94" s="160"/>
    </row>
    <row r="95" spans="1:10">
      <c r="A95" s="172">
        <v>90</v>
      </c>
      <c r="B95" s="164">
        <v>45643</v>
      </c>
      <c r="C95" s="701">
        <v>43282</v>
      </c>
      <c r="D95" s="294" t="s">
        <v>2497</v>
      </c>
      <c r="E95" s="709">
        <v>11106665.73</v>
      </c>
      <c r="F95" s="299" t="s">
        <v>1097</v>
      </c>
      <c r="G95" s="690">
        <v>1</v>
      </c>
      <c r="H95" s="327">
        <f t="shared" si="6"/>
        <v>11106665.73</v>
      </c>
      <c r="I95" s="162"/>
      <c r="J95" s="160"/>
    </row>
    <row r="96" spans="1:10">
      <c r="A96" s="172">
        <v>91</v>
      </c>
      <c r="B96" s="164">
        <v>45643</v>
      </c>
      <c r="C96" s="701">
        <v>43313</v>
      </c>
      <c r="D96" s="298" t="s">
        <v>2497</v>
      </c>
      <c r="E96" s="709">
        <v>11106663.300000001</v>
      </c>
      <c r="F96" s="299" t="s">
        <v>1097</v>
      </c>
      <c r="G96" s="690">
        <v>1</v>
      </c>
      <c r="H96" s="327">
        <f t="shared" si="6"/>
        <v>11106663.300000001</v>
      </c>
      <c r="I96" s="162"/>
      <c r="J96" s="160"/>
    </row>
    <row r="97" spans="1:10">
      <c r="A97" s="172">
        <v>92</v>
      </c>
      <c r="B97" s="164">
        <v>45643</v>
      </c>
      <c r="C97" s="701">
        <v>43344</v>
      </c>
      <c r="D97" s="273" t="s">
        <v>2497</v>
      </c>
      <c r="E97" s="710">
        <v>11106661.1</v>
      </c>
      <c r="F97" s="310" t="str">
        <f>+F96</f>
        <v>TP</v>
      </c>
      <c r="G97" s="690">
        <f>+G96</f>
        <v>1</v>
      </c>
      <c r="H97" s="327">
        <f t="shared" si="6"/>
        <v>11106661.1</v>
      </c>
      <c r="I97" s="162"/>
      <c r="J97" s="160"/>
    </row>
    <row r="98" spans="1:10">
      <c r="A98" s="172">
        <v>93</v>
      </c>
      <c r="B98" s="164">
        <v>45643</v>
      </c>
      <c r="C98" s="701">
        <v>43374</v>
      </c>
      <c r="D98" s="273" t="s">
        <v>2497</v>
      </c>
      <c r="E98" s="710">
        <v>11106658.65</v>
      </c>
      <c r="F98" s="310" t="s">
        <v>1097</v>
      </c>
      <c r="G98" s="690">
        <v>1</v>
      </c>
      <c r="H98" s="327">
        <f t="shared" si="6"/>
        <v>11106658.65</v>
      </c>
      <c r="I98" s="162"/>
      <c r="J98" s="160"/>
    </row>
    <row r="99" spans="1:10">
      <c r="A99" s="172">
        <v>94</v>
      </c>
      <c r="B99" s="164">
        <v>45643</v>
      </c>
      <c r="C99" s="701">
        <v>43405</v>
      </c>
      <c r="D99" s="325" t="s">
        <v>2497</v>
      </c>
      <c r="E99" s="710">
        <v>11106658.67</v>
      </c>
      <c r="F99" s="697" t="s">
        <v>1097</v>
      </c>
      <c r="G99" s="690">
        <v>1</v>
      </c>
      <c r="H99" s="327">
        <f t="shared" si="6"/>
        <v>11106658.67</v>
      </c>
      <c r="I99" s="162"/>
      <c r="J99" s="160"/>
    </row>
    <row r="100" spans="1:10">
      <c r="A100" s="172">
        <v>95</v>
      </c>
      <c r="B100" s="164">
        <v>45643</v>
      </c>
      <c r="C100" s="701">
        <v>43435</v>
      </c>
      <c r="D100" s="325" t="s">
        <v>2497</v>
      </c>
      <c r="E100" s="710">
        <v>11106661.09</v>
      </c>
      <c r="F100" s="697" t="s">
        <v>1097</v>
      </c>
      <c r="G100" s="690">
        <v>1</v>
      </c>
      <c r="H100" s="327">
        <f t="shared" si="6"/>
        <v>11106661.09</v>
      </c>
      <c r="I100" s="162"/>
      <c r="J100" s="160"/>
    </row>
    <row r="101" spans="1:10">
      <c r="A101" s="172">
        <v>96</v>
      </c>
      <c r="B101" s="164">
        <v>45643</v>
      </c>
      <c r="C101" s="701">
        <v>43466</v>
      </c>
      <c r="D101" s="325" t="s">
        <v>2497</v>
      </c>
      <c r="E101" s="710">
        <v>11106663.449999999</v>
      </c>
      <c r="F101" s="296" t="s">
        <v>1097</v>
      </c>
      <c r="G101" s="690">
        <v>1</v>
      </c>
      <c r="H101" s="327">
        <f t="shared" si="6"/>
        <v>11106663.449999999</v>
      </c>
      <c r="I101" s="162"/>
      <c r="J101" s="160"/>
    </row>
    <row r="102" spans="1:10">
      <c r="A102" s="172">
        <v>97</v>
      </c>
      <c r="B102" s="164"/>
      <c r="C102" s="684" t="s">
        <v>2489</v>
      </c>
      <c r="D102" s="696" t="s">
        <v>2497</v>
      </c>
      <c r="E102" s="711">
        <v>0</v>
      </c>
      <c r="F102" s="697" t="s">
        <v>1097</v>
      </c>
      <c r="G102" s="690">
        <v>1</v>
      </c>
      <c r="H102" s="691">
        <f>E102</f>
        <v>0</v>
      </c>
      <c r="I102" s="692"/>
      <c r="J102" s="693"/>
    </row>
    <row r="103" spans="1:10" ht="15" thickBot="1">
      <c r="A103" s="180">
        <v>98</v>
      </c>
      <c r="B103" s="157"/>
      <c r="C103" s="158" t="s">
        <v>2517</v>
      </c>
      <c r="D103" s="698"/>
      <c r="E103" s="712">
        <f>SUM(E90:E102)</f>
        <v>133422939.92000002</v>
      </c>
      <c r="F103" s="699"/>
      <c r="G103" s="156"/>
      <c r="H103" s="249">
        <f>SUM(H90:H102)</f>
        <v>133422939.92000002</v>
      </c>
      <c r="I103" s="155"/>
      <c r="J103" s="153"/>
    </row>
    <row r="104" spans="1:10">
      <c r="A104" s="246">
        <v>99</v>
      </c>
      <c r="B104" s="243">
        <v>7080</v>
      </c>
      <c r="C104" s="700">
        <v>43132</v>
      </c>
      <c r="D104" s="694" t="s">
        <v>2499</v>
      </c>
      <c r="E104" s="708">
        <v>7276.17</v>
      </c>
      <c r="F104" s="687" t="s">
        <v>487</v>
      </c>
      <c r="G104" s="706">
        <v>1</v>
      </c>
      <c r="H104" s="688">
        <f>E104</f>
        <v>7276.17</v>
      </c>
      <c r="I104" s="242"/>
      <c r="J104" s="689"/>
    </row>
    <row r="105" spans="1:10">
      <c r="A105" s="172">
        <v>100</v>
      </c>
      <c r="B105" s="164">
        <v>7080</v>
      </c>
      <c r="C105" s="701">
        <v>43160</v>
      </c>
      <c r="D105" s="695" t="s">
        <v>2499</v>
      </c>
      <c r="E105" s="709">
        <v>7276.17</v>
      </c>
      <c r="F105" s="299" t="s">
        <v>487</v>
      </c>
      <c r="G105" s="690">
        <v>1</v>
      </c>
      <c r="H105" s="327">
        <f t="shared" ref="H105:H115" si="7">E105</f>
        <v>7276.17</v>
      </c>
      <c r="I105" s="162"/>
      <c r="J105" s="160"/>
    </row>
    <row r="106" spans="1:10">
      <c r="A106" s="172">
        <v>101</v>
      </c>
      <c r="B106" s="164">
        <v>7080</v>
      </c>
      <c r="C106" s="701">
        <v>43191</v>
      </c>
      <c r="D106" s="294" t="s">
        <v>2499</v>
      </c>
      <c r="E106" s="709">
        <v>7276.17</v>
      </c>
      <c r="F106" s="299" t="s">
        <v>487</v>
      </c>
      <c r="G106" s="690">
        <v>1</v>
      </c>
      <c r="H106" s="327">
        <f t="shared" si="7"/>
        <v>7276.17</v>
      </c>
      <c r="I106" s="162"/>
      <c r="J106" s="160"/>
    </row>
    <row r="107" spans="1:10">
      <c r="A107" s="172">
        <v>102</v>
      </c>
      <c r="B107" s="164">
        <v>7080</v>
      </c>
      <c r="C107" s="701">
        <v>43221</v>
      </c>
      <c r="D107" s="695" t="s">
        <v>2499</v>
      </c>
      <c r="E107" s="709">
        <v>7276.17</v>
      </c>
      <c r="F107" s="299" t="s">
        <v>487</v>
      </c>
      <c r="G107" s="690">
        <v>1</v>
      </c>
      <c r="H107" s="327">
        <f t="shared" si="7"/>
        <v>7276.17</v>
      </c>
      <c r="I107" s="162"/>
      <c r="J107" s="160"/>
    </row>
    <row r="108" spans="1:10">
      <c r="A108" s="172">
        <v>103</v>
      </c>
      <c r="B108" s="164">
        <v>7080</v>
      </c>
      <c r="C108" s="701">
        <v>43252</v>
      </c>
      <c r="D108" s="294" t="s">
        <v>2499</v>
      </c>
      <c r="E108" s="709">
        <v>7276.17</v>
      </c>
      <c r="F108" s="299" t="s">
        <v>487</v>
      </c>
      <c r="G108" s="690">
        <v>1</v>
      </c>
      <c r="H108" s="327">
        <f t="shared" si="7"/>
        <v>7276.17</v>
      </c>
      <c r="I108" s="162"/>
      <c r="J108" s="160"/>
    </row>
    <row r="109" spans="1:10">
      <c r="A109" s="172">
        <v>104</v>
      </c>
      <c r="B109" s="164">
        <v>7080</v>
      </c>
      <c r="C109" s="701">
        <v>43282</v>
      </c>
      <c r="D109" s="695" t="s">
        <v>2499</v>
      </c>
      <c r="E109" s="709">
        <v>7276.17</v>
      </c>
      <c r="F109" s="299" t="s">
        <v>487</v>
      </c>
      <c r="G109" s="690">
        <v>1</v>
      </c>
      <c r="H109" s="327">
        <f t="shared" si="7"/>
        <v>7276.17</v>
      </c>
      <c r="I109" s="162"/>
      <c r="J109" s="160"/>
    </row>
    <row r="110" spans="1:10">
      <c r="A110" s="172">
        <v>105</v>
      </c>
      <c r="B110" s="164">
        <v>7080</v>
      </c>
      <c r="C110" s="701">
        <v>43313</v>
      </c>
      <c r="D110" s="294" t="s">
        <v>2499</v>
      </c>
      <c r="E110" s="709">
        <v>7276.17</v>
      </c>
      <c r="F110" s="299" t="s">
        <v>487</v>
      </c>
      <c r="G110" s="690">
        <v>1</v>
      </c>
      <c r="H110" s="327">
        <f t="shared" si="7"/>
        <v>7276.17</v>
      </c>
      <c r="I110" s="162"/>
      <c r="J110" s="160"/>
    </row>
    <row r="111" spans="1:10">
      <c r="A111" s="172">
        <v>106</v>
      </c>
      <c r="B111" s="164">
        <v>7080</v>
      </c>
      <c r="C111" s="701">
        <v>43344</v>
      </c>
      <c r="D111" s="695" t="s">
        <v>2499</v>
      </c>
      <c r="E111" s="710">
        <v>7276.17</v>
      </c>
      <c r="F111" s="310" t="s">
        <v>487</v>
      </c>
      <c r="G111" s="690">
        <f>+G110</f>
        <v>1</v>
      </c>
      <c r="H111" s="327">
        <f t="shared" si="7"/>
        <v>7276.17</v>
      </c>
      <c r="I111" s="162"/>
      <c r="J111" s="160"/>
    </row>
    <row r="112" spans="1:10">
      <c r="A112" s="172">
        <v>107</v>
      </c>
      <c r="B112" s="164">
        <v>7080</v>
      </c>
      <c r="C112" s="701">
        <v>43374</v>
      </c>
      <c r="D112" s="294" t="s">
        <v>2499</v>
      </c>
      <c r="E112" s="710">
        <v>7276.17</v>
      </c>
      <c r="F112" s="310" t="s">
        <v>487</v>
      </c>
      <c r="G112" s="690">
        <v>1</v>
      </c>
      <c r="H112" s="327">
        <f t="shared" si="7"/>
        <v>7276.17</v>
      </c>
      <c r="I112" s="162"/>
      <c r="J112" s="160"/>
    </row>
    <row r="113" spans="1:10">
      <c r="A113" s="172">
        <v>108</v>
      </c>
      <c r="B113" s="164">
        <v>7080</v>
      </c>
      <c r="C113" s="701">
        <v>43405</v>
      </c>
      <c r="D113" s="695" t="s">
        <v>2499</v>
      </c>
      <c r="E113" s="710">
        <v>7276.17</v>
      </c>
      <c r="F113" s="697" t="s">
        <v>487</v>
      </c>
      <c r="G113" s="690">
        <v>1</v>
      </c>
      <c r="H113" s="327">
        <f t="shared" si="7"/>
        <v>7276.17</v>
      </c>
      <c r="I113" s="162"/>
      <c r="J113" s="160"/>
    </row>
    <row r="114" spans="1:10">
      <c r="A114" s="172">
        <v>109</v>
      </c>
      <c r="B114" s="164">
        <v>7080</v>
      </c>
      <c r="C114" s="701">
        <v>43435</v>
      </c>
      <c r="D114" s="294" t="s">
        <v>2499</v>
      </c>
      <c r="E114" s="710">
        <v>7276.17</v>
      </c>
      <c r="F114" s="697" t="s">
        <v>487</v>
      </c>
      <c r="G114" s="690">
        <v>1</v>
      </c>
      <c r="H114" s="327">
        <f t="shared" si="7"/>
        <v>7276.17</v>
      </c>
      <c r="I114" s="162"/>
      <c r="J114" s="160"/>
    </row>
    <row r="115" spans="1:10">
      <c r="A115" s="172">
        <v>110</v>
      </c>
      <c r="B115" s="164">
        <v>7080</v>
      </c>
      <c r="C115" s="701">
        <v>43466</v>
      </c>
      <c r="D115" s="695" t="s">
        <v>2499</v>
      </c>
      <c r="E115" s="710">
        <v>7276.17</v>
      </c>
      <c r="F115" s="296" t="s">
        <v>487</v>
      </c>
      <c r="G115" s="690">
        <v>1</v>
      </c>
      <c r="H115" s="327">
        <f t="shared" si="7"/>
        <v>7276.17</v>
      </c>
      <c r="I115" s="162"/>
      <c r="J115" s="160"/>
    </row>
    <row r="116" spans="1:10">
      <c r="A116" s="172">
        <v>111</v>
      </c>
      <c r="B116" s="164"/>
      <c r="C116" s="684" t="s">
        <v>2489</v>
      </c>
      <c r="D116" s="696"/>
      <c r="E116" s="711">
        <v>0</v>
      </c>
      <c r="F116" s="697" t="s">
        <v>487</v>
      </c>
      <c r="G116" s="690">
        <v>1</v>
      </c>
      <c r="H116" s="691">
        <f>E116</f>
        <v>0</v>
      </c>
      <c r="I116" s="692"/>
      <c r="J116" s="693"/>
    </row>
    <row r="117" spans="1:10" ht="15" thickBot="1">
      <c r="A117" s="180">
        <v>112</v>
      </c>
      <c r="B117" s="157"/>
      <c r="C117" s="158" t="s">
        <v>2517</v>
      </c>
      <c r="D117" s="698"/>
      <c r="E117" s="712">
        <f>SUM(E104:E116)</f>
        <v>87314.04</v>
      </c>
      <c r="F117" s="699"/>
      <c r="G117" s="156"/>
      <c r="H117" s="249">
        <f>SUM(H104:H116)</f>
        <v>87314.04</v>
      </c>
      <c r="I117" s="155"/>
      <c r="J117" s="153"/>
    </row>
    <row r="118" spans="1:10">
      <c r="A118" s="246">
        <v>113</v>
      </c>
      <c r="B118" s="243">
        <v>7089</v>
      </c>
      <c r="C118" s="700">
        <v>43132</v>
      </c>
      <c r="D118" s="694" t="s">
        <v>2500</v>
      </c>
      <c r="E118" s="708">
        <v>7276.17</v>
      </c>
      <c r="F118" s="687" t="s">
        <v>487</v>
      </c>
      <c r="G118" s="706">
        <v>1</v>
      </c>
      <c r="H118" s="688">
        <f>E118</f>
        <v>7276.17</v>
      </c>
      <c r="I118" s="242"/>
      <c r="J118" s="689"/>
    </row>
    <row r="119" spans="1:10">
      <c r="A119" s="172">
        <v>114</v>
      </c>
      <c r="B119" s="164">
        <v>7089</v>
      </c>
      <c r="C119" s="701">
        <v>43160</v>
      </c>
      <c r="D119" s="695" t="s">
        <v>2500</v>
      </c>
      <c r="E119" s="709">
        <v>7276.17</v>
      </c>
      <c r="F119" s="299" t="s">
        <v>487</v>
      </c>
      <c r="G119" s="690">
        <v>1</v>
      </c>
      <c r="H119" s="327">
        <f t="shared" ref="H119:H129" si="8">E119</f>
        <v>7276.17</v>
      </c>
      <c r="I119" s="162"/>
      <c r="J119" s="160"/>
    </row>
    <row r="120" spans="1:10">
      <c r="A120" s="172">
        <v>115</v>
      </c>
      <c r="B120" s="164">
        <v>7089</v>
      </c>
      <c r="C120" s="701">
        <v>43191</v>
      </c>
      <c r="D120" s="695" t="s">
        <v>2500</v>
      </c>
      <c r="E120" s="709">
        <v>7276.17</v>
      </c>
      <c r="F120" s="299" t="s">
        <v>487</v>
      </c>
      <c r="G120" s="690">
        <v>1</v>
      </c>
      <c r="H120" s="327">
        <f t="shared" si="8"/>
        <v>7276.17</v>
      </c>
      <c r="I120" s="162"/>
      <c r="J120" s="160"/>
    </row>
    <row r="121" spans="1:10">
      <c r="A121" s="172">
        <v>116</v>
      </c>
      <c r="B121" s="164">
        <v>7089</v>
      </c>
      <c r="C121" s="701">
        <v>43221</v>
      </c>
      <c r="D121" s="695" t="s">
        <v>2500</v>
      </c>
      <c r="E121" s="709">
        <v>7276.17</v>
      </c>
      <c r="F121" s="299" t="s">
        <v>487</v>
      </c>
      <c r="G121" s="690">
        <v>1</v>
      </c>
      <c r="H121" s="327">
        <f t="shared" si="8"/>
        <v>7276.17</v>
      </c>
      <c r="I121" s="162"/>
      <c r="J121" s="160"/>
    </row>
    <row r="122" spans="1:10">
      <c r="A122" s="172">
        <v>117</v>
      </c>
      <c r="B122" s="164">
        <v>7089</v>
      </c>
      <c r="C122" s="701">
        <v>43252</v>
      </c>
      <c r="D122" s="695" t="s">
        <v>2500</v>
      </c>
      <c r="E122" s="709">
        <v>7276.17</v>
      </c>
      <c r="F122" s="299" t="s">
        <v>487</v>
      </c>
      <c r="G122" s="690">
        <v>1</v>
      </c>
      <c r="H122" s="327">
        <f t="shared" si="8"/>
        <v>7276.17</v>
      </c>
      <c r="I122" s="162"/>
      <c r="J122" s="160"/>
    </row>
    <row r="123" spans="1:10">
      <c r="A123" s="172">
        <v>118</v>
      </c>
      <c r="B123" s="164">
        <v>7089</v>
      </c>
      <c r="C123" s="701">
        <v>43282</v>
      </c>
      <c r="D123" s="695" t="s">
        <v>2500</v>
      </c>
      <c r="E123" s="709">
        <v>7276.17</v>
      </c>
      <c r="F123" s="299" t="s">
        <v>487</v>
      </c>
      <c r="G123" s="690">
        <v>1</v>
      </c>
      <c r="H123" s="327">
        <f t="shared" si="8"/>
        <v>7276.17</v>
      </c>
      <c r="I123" s="162"/>
      <c r="J123" s="160"/>
    </row>
    <row r="124" spans="1:10">
      <c r="A124" s="172">
        <v>119</v>
      </c>
      <c r="B124" s="164">
        <v>7089</v>
      </c>
      <c r="C124" s="701">
        <v>43313</v>
      </c>
      <c r="D124" s="695" t="s">
        <v>2500</v>
      </c>
      <c r="E124" s="709">
        <v>7276.17</v>
      </c>
      <c r="F124" s="299" t="s">
        <v>487</v>
      </c>
      <c r="G124" s="690">
        <v>1</v>
      </c>
      <c r="H124" s="327">
        <f t="shared" si="8"/>
        <v>7276.17</v>
      </c>
      <c r="I124" s="162"/>
      <c r="J124" s="160"/>
    </row>
    <row r="125" spans="1:10">
      <c r="A125" s="172">
        <v>120</v>
      </c>
      <c r="B125" s="164">
        <v>7089</v>
      </c>
      <c r="C125" s="701">
        <v>43344</v>
      </c>
      <c r="D125" s="695" t="s">
        <v>2500</v>
      </c>
      <c r="E125" s="710">
        <v>7276.17</v>
      </c>
      <c r="F125" s="310" t="s">
        <v>487</v>
      </c>
      <c r="G125" s="690">
        <f>+G124</f>
        <v>1</v>
      </c>
      <c r="H125" s="327">
        <f t="shared" si="8"/>
        <v>7276.17</v>
      </c>
      <c r="I125" s="162"/>
      <c r="J125" s="160"/>
    </row>
    <row r="126" spans="1:10">
      <c r="A126" s="172">
        <v>121</v>
      </c>
      <c r="B126" s="164">
        <v>7089</v>
      </c>
      <c r="C126" s="701">
        <v>43374</v>
      </c>
      <c r="D126" s="695" t="s">
        <v>2500</v>
      </c>
      <c r="E126" s="710">
        <v>7276.17</v>
      </c>
      <c r="F126" s="310" t="s">
        <v>487</v>
      </c>
      <c r="G126" s="690">
        <v>1</v>
      </c>
      <c r="H126" s="327">
        <f t="shared" si="8"/>
        <v>7276.17</v>
      </c>
      <c r="I126" s="162"/>
      <c r="J126" s="160"/>
    </row>
    <row r="127" spans="1:10">
      <c r="A127" s="172">
        <v>122</v>
      </c>
      <c r="B127" s="164">
        <v>7089</v>
      </c>
      <c r="C127" s="701">
        <v>43405</v>
      </c>
      <c r="D127" s="695" t="s">
        <v>2500</v>
      </c>
      <c r="E127" s="710">
        <v>7276.17</v>
      </c>
      <c r="F127" s="697" t="s">
        <v>487</v>
      </c>
      <c r="G127" s="690">
        <v>1</v>
      </c>
      <c r="H127" s="327">
        <f t="shared" si="8"/>
        <v>7276.17</v>
      </c>
      <c r="I127" s="162"/>
      <c r="J127" s="160"/>
    </row>
    <row r="128" spans="1:10">
      <c r="A128" s="172">
        <v>123</v>
      </c>
      <c r="B128" s="164">
        <v>7089</v>
      </c>
      <c r="C128" s="701">
        <v>43435</v>
      </c>
      <c r="D128" s="695" t="s">
        <v>2500</v>
      </c>
      <c r="E128" s="710">
        <v>7276.17</v>
      </c>
      <c r="F128" s="697" t="s">
        <v>487</v>
      </c>
      <c r="G128" s="690">
        <v>1</v>
      </c>
      <c r="H128" s="327">
        <f t="shared" si="8"/>
        <v>7276.17</v>
      </c>
      <c r="I128" s="162"/>
      <c r="J128" s="160"/>
    </row>
    <row r="129" spans="1:10">
      <c r="A129" s="172">
        <v>124</v>
      </c>
      <c r="B129" s="164">
        <v>7089</v>
      </c>
      <c r="C129" s="701">
        <v>43466</v>
      </c>
      <c r="D129" s="695" t="s">
        <v>2500</v>
      </c>
      <c r="E129" s="710">
        <v>7276.17</v>
      </c>
      <c r="F129" s="296" t="s">
        <v>487</v>
      </c>
      <c r="G129" s="690">
        <v>1</v>
      </c>
      <c r="H129" s="327">
        <f t="shared" si="8"/>
        <v>7276.17</v>
      </c>
      <c r="I129" s="162"/>
      <c r="J129" s="160"/>
    </row>
    <row r="130" spans="1:10">
      <c r="A130" s="172">
        <v>125</v>
      </c>
      <c r="B130" s="164"/>
      <c r="C130" s="684" t="s">
        <v>2489</v>
      </c>
      <c r="D130" s="696"/>
      <c r="E130" s="711">
        <v>0</v>
      </c>
      <c r="F130" s="697" t="s">
        <v>487</v>
      </c>
      <c r="G130" s="690">
        <v>1</v>
      </c>
      <c r="H130" s="691">
        <f>E130</f>
        <v>0</v>
      </c>
      <c r="I130" s="692"/>
      <c r="J130" s="693"/>
    </row>
    <row r="131" spans="1:10" ht="15" thickBot="1">
      <c r="A131" s="180">
        <v>126</v>
      </c>
      <c r="B131" s="157"/>
      <c r="C131" s="158" t="s">
        <v>2517</v>
      </c>
      <c r="D131" s="698"/>
      <c r="E131" s="712">
        <f>SUM(E118:E130)</f>
        <v>87314.04</v>
      </c>
      <c r="F131" s="699"/>
      <c r="G131" s="156"/>
      <c r="H131" s="249">
        <f>SUM(H118:H130)</f>
        <v>87314.04</v>
      </c>
      <c r="I131" s="155"/>
      <c r="J131" s="153"/>
    </row>
    <row r="132" spans="1:10">
      <c r="A132" s="246">
        <v>127</v>
      </c>
      <c r="B132" s="243">
        <v>7091</v>
      </c>
      <c r="C132" s="700">
        <v>43132</v>
      </c>
      <c r="D132" s="694" t="s">
        <v>2501</v>
      </c>
      <c r="E132" s="708">
        <v>15732.58</v>
      </c>
      <c r="F132" s="687" t="s">
        <v>487</v>
      </c>
      <c r="G132" s="706">
        <v>1</v>
      </c>
      <c r="H132" s="688">
        <f>E132</f>
        <v>15732.58</v>
      </c>
      <c r="I132" s="242"/>
      <c r="J132" s="689"/>
    </row>
    <row r="133" spans="1:10">
      <c r="A133" s="172">
        <v>128</v>
      </c>
      <c r="B133" s="164">
        <v>7091</v>
      </c>
      <c r="C133" s="701">
        <v>43160</v>
      </c>
      <c r="D133" s="695" t="s">
        <v>2501</v>
      </c>
      <c r="E133" s="709">
        <v>15732.58</v>
      </c>
      <c r="F133" s="299" t="s">
        <v>487</v>
      </c>
      <c r="G133" s="690">
        <v>1</v>
      </c>
      <c r="H133" s="327">
        <f t="shared" ref="H133:H143" si="9">E133</f>
        <v>15732.58</v>
      </c>
      <c r="I133" s="162"/>
      <c r="J133" s="160"/>
    </row>
    <row r="134" spans="1:10">
      <c r="A134" s="172">
        <v>129</v>
      </c>
      <c r="B134" s="164">
        <v>7091</v>
      </c>
      <c r="C134" s="701">
        <v>43191</v>
      </c>
      <c r="D134" s="294" t="s">
        <v>2501</v>
      </c>
      <c r="E134" s="709">
        <v>15732.58</v>
      </c>
      <c r="F134" s="299" t="s">
        <v>487</v>
      </c>
      <c r="G134" s="690">
        <v>1</v>
      </c>
      <c r="H134" s="327">
        <f t="shared" si="9"/>
        <v>15732.58</v>
      </c>
      <c r="I134" s="162"/>
      <c r="J134" s="160"/>
    </row>
    <row r="135" spans="1:10">
      <c r="A135" s="172">
        <v>130</v>
      </c>
      <c r="B135" s="164">
        <v>7091</v>
      </c>
      <c r="C135" s="701">
        <v>43221</v>
      </c>
      <c r="D135" s="695" t="s">
        <v>2501</v>
      </c>
      <c r="E135" s="709">
        <v>15732.58</v>
      </c>
      <c r="F135" s="299" t="s">
        <v>487</v>
      </c>
      <c r="G135" s="690">
        <v>1</v>
      </c>
      <c r="H135" s="327">
        <f t="shared" si="9"/>
        <v>15732.58</v>
      </c>
      <c r="I135" s="162"/>
      <c r="J135" s="160"/>
    </row>
    <row r="136" spans="1:10">
      <c r="A136" s="172">
        <v>131</v>
      </c>
      <c r="B136" s="164">
        <v>7091</v>
      </c>
      <c r="C136" s="701">
        <v>43252</v>
      </c>
      <c r="D136" s="294" t="s">
        <v>2501</v>
      </c>
      <c r="E136" s="709">
        <v>15732.58</v>
      </c>
      <c r="F136" s="299" t="s">
        <v>487</v>
      </c>
      <c r="G136" s="690">
        <v>1</v>
      </c>
      <c r="H136" s="327">
        <f t="shared" si="9"/>
        <v>15732.58</v>
      </c>
      <c r="I136" s="162"/>
      <c r="J136" s="160"/>
    </row>
    <row r="137" spans="1:10">
      <c r="A137" s="172">
        <v>132</v>
      </c>
      <c r="B137" s="164">
        <v>7091</v>
      </c>
      <c r="C137" s="701">
        <v>43282</v>
      </c>
      <c r="D137" s="695" t="s">
        <v>2501</v>
      </c>
      <c r="E137" s="709">
        <v>15732.58</v>
      </c>
      <c r="F137" s="299" t="s">
        <v>487</v>
      </c>
      <c r="G137" s="690">
        <v>1</v>
      </c>
      <c r="H137" s="327">
        <f t="shared" si="9"/>
        <v>15732.58</v>
      </c>
      <c r="I137" s="162"/>
      <c r="J137" s="160"/>
    </row>
    <row r="138" spans="1:10">
      <c r="A138" s="172">
        <v>133</v>
      </c>
      <c r="B138" s="164">
        <v>7091</v>
      </c>
      <c r="C138" s="701">
        <v>43313</v>
      </c>
      <c r="D138" s="294" t="s">
        <v>2501</v>
      </c>
      <c r="E138" s="709">
        <v>15732.58</v>
      </c>
      <c r="F138" s="299" t="s">
        <v>487</v>
      </c>
      <c r="G138" s="690">
        <v>1</v>
      </c>
      <c r="H138" s="327">
        <f t="shared" si="9"/>
        <v>15732.58</v>
      </c>
      <c r="I138" s="162"/>
      <c r="J138" s="160"/>
    </row>
    <row r="139" spans="1:10">
      <c r="A139" s="172">
        <v>134</v>
      </c>
      <c r="B139" s="164">
        <v>7091</v>
      </c>
      <c r="C139" s="701">
        <v>43344</v>
      </c>
      <c r="D139" s="695" t="s">
        <v>2501</v>
      </c>
      <c r="E139" s="710">
        <v>15732.58</v>
      </c>
      <c r="F139" s="310" t="s">
        <v>487</v>
      </c>
      <c r="G139" s="690">
        <f>+G138</f>
        <v>1</v>
      </c>
      <c r="H139" s="327">
        <f t="shared" si="9"/>
        <v>15732.58</v>
      </c>
      <c r="I139" s="162"/>
      <c r="J139" s="160"/>
    </row>
    <row r="140" spans="1:10">
      <c r="A140" s="172">
        <v>135</v>
      </c>
      <c r="B140" s="164">
        <v>7091</v>
      </c>
      <c r="C140" s="701">
        <v>43374</v>
      </c>
      <c r="D140" s="294" t="s">
        <v>2501</v>
      </c>
      <c r="E140" s="710">
        <v>15732.58</v>
      </c>
      <c r="F140" s="310" t="s">
        <v>487</v>
      </c>
      <c r="G140" s="690">
        <v>1</v>
      </c>
      <c r="H140" s="327">
        <f t="shared" si="9"/>
        <v>15732.58</v>
      </c>
      <c r="I140" s="162"/>
      <c r="J140" s="160"/>
    </row>
    <row r="141" spans="1:10">
      <c r="A141" s="172">
        <v>136</v>
      </c>
      <c r="B141" s="164">
        <v>7091</v>
      </c>
      <c r="C141" s="701">
        <v>43405</v>
      </c>
      <c r="D141" s="695" t="s">
        <v>2501</v>
      </c>
      <c r="E141" s="710">
        <v>15732.58</v>
      </c>
      <c r="F141" s="697" t="s">
        <v>487</v>
      </c>
      <c r="G141" s="690">
        <v>1</v>
      </c>
      <c r="H141" s="327">
        <f t="shared" si="9"/>
        <v>15732.58</v>
      </c>
      <c r="I141" s="162"/>
      <c r="J141" s="160"/>
    </row>
    <row r="142" spans="1:10">
      <c r="A142" s="172">
        <v>137</v>
      </c>
      <c r="B142" s="164">
        <v>7091</v>
      </c>
      <c r="C142" s="701">
        <v>43435</v>
      </c>
      <c r="D142" s="294" t="s">
        <v>2501</v>
      </c>
      <c r="E142" s="710">
        <v>15732.58</v>
      </c>
      <c r="F142" s="697" t="s">
        <v>487</v>
      </c>
      <c r="G142" s="690">
        <v>1</v>
      </c>
      <c r="H142" s="327">
        <f t="shared" si="9"/>
        <v>15732.58</v>
      </c>
      <c r="I142" s="162"/>
      <c r="J142" s="160"/>
    </row>
    <row r="143" spans="1:10">
      <c r="A143" s="172">
        <v>138</v>
      </c>
      <c r="B143" s="164">
        <v>7091</v>
      </c>
      <c r="C143" s="701">
        <v>43466</v>
      </c>
      <c r="D143" s="695" t="s">
        <v>2501</v>
      </c>
      <c r="E143" s="710">
        <v>15732.58</v>
      </c>
      <c r="F143" s="296" t="s">
        <v>487</v>
      </c>
      <c r="G143" s="690">
        <v>1</v>
      </c>
      <c r="H143" s="327">
        <f t="shared" si="9"/>
        <v>15732.58</v>
      </c>
      <c r="I143" s="162"/>
      <c r="J143" s="160"/>
    </row>
    <row r="144" spans="1:10">
      <c r="A144" s="172">
        <v>139</v>
      </c>
      <c r="B144" s="164"/>
      <c r="C144" s="684" t="s">
        <v>2489</v>
      </c>
      <c r="D144" s="696"/>
      <c r="E144" s="711">
        <v>0</v>
      </c>
      <c r="F144" s="697" t="s">
        <v>487</v>
      </c>
      <c r="G144" s="690">
        <v>1</v>
      </c>
      <c r="H144" s="691">
        <f>E144</f>
        <v>0</v>
      </c>
      <c r="I144" s="692"/>
      <c r="J144" s="693"/>
    </row>
    <row r="145" spans="1:10" ht="15" thickBot="1">
      <c r="A145" s="180">
        <v>140</v>
      </c>
      <c r="B145" s="157"/>
      <c r="C145" s="158" t="s">
        <v>2517</v>
      </c>
      <c r="D145" s="698"/>
      <c r="E145" s="712">
        <f>SUM(E132:E144)</f>
        <v>188790.95999999996</v>
      </c>
      <c r="F145" s="699"/>
      <c r="G145" s="156"/>
      <c r="H145" s="249">
        <f>SUM(H132:H144)</f>
        <v>188790.95999999996</v>
      </c>
      <c r="I145" s="155"/>
      <c r="J145" s="153"/>
    </row>
    <row r="146" spans="1:10">
      <c r="A146" s="498">
        <v>141</v>
      </c>
      <c r="B146" s="355" t="s">
        <v>2494</v>
      </c>
      <c r="C146" s="355" t="s">
        <v>2495</v>
      </c>
      <c r="D146" s="355"/>
      <c r="E146" s="355"/>
      <c r="F146" s="355"/>
      <c r="G146" s="355"/>
      <c r="H146" s="355"/>
      <c r="I146" s="355"/>
      <c r="J146" s="380"/>
    </row>
    <row r="147" spans="1:10">
      <c r="A147" s="444">
        <v>142</v>
      </c>
      <c r="B147" s="356"/>
      <c r="C147" s="356" t="s">
        <v>2526</v>
      </c>
      <c r="D147" s="356"/>
      <c r="E147" s="356"/>
      <c r="F147" s="356"/>
      <c r="G147" s="356"/>
      <c r="H147" s="356"/>
      <c r="I147" s="356"/>
      <c r="J147" s="381"/>
    </row>
    <row r="148" spans="1:10">
      <c r="A148" s="444">
        <v>143</v>
      </c>
      <c r="B148" s="356"/>
      <c r="C148" s="356"/>
      <c r="D148" s="356"/>
      <c r="E148" s="356"/>
      <c r="F148" s="356"/>
      <c r="G148" s="356"/>
      <c r="H148" s="356"/>
      <c r="I148" s="356"/>
      <c r="J148" s="381"/>
    </row>
    <row r="149" spans="1:10">
      <c r="A149" s="444">
        <v>144</v>
      </c>
      <c r="B149" s="356"/>
      <c r="C149" s="356"/>
      <c r="D149" s="356"/>
      <c r="E149" s="356"/>
      <c r="F149" s="356"/>
      <c r="G149" s="356"/>
      <c r="H149" s="356"/>
      <c r="I149" s="356"/>
      <c r="J149" s="381"/>
    </row>
    <row r="150" spans="1:10">
      <c r="A150" s="444">
        <v>145</v>
      </c>
      <c r="B150" s="356"/>
      <c r="C150" s="356"/>
      <c r="D150" s="356"/>
      <c r="E150" s="356"/>
      <c r="F150" s="356"/>
      <c r="G150" s="356"/>
      <c r="H150" s="356"/>
      <c r="I150" s="356"/>
      <c r="J150" s="381"/>
    </row>
    <row r="151" spans="1:10">
      <c r="A151" s="444">
        <v>146</v>
      </c>
      <c r="B151" s="356"/>
      <c r="C151" s="356"/>
      <c r="D151" s="356"/>
      <c r="E151" s="356"/>
      <c r="F151" s="356"/>
      <c r="G151" s="356"/>
      <c r="H151" s="356"/>
      <c r="I151" s="356"/>
      <c r="J151" s="381"/>
    </row>
    <row r="152" spans="1:10" ht="15" thickBot="1">
      <c r="A152" s="713"/>
      <c r="B152" s="379"/>
      <c r="C152" s="379"/>
      <c r="D152" s="379"/>
      <c r="E152" s="379"/>
      <c r="F152" s="379"/>
      <c r="G152" s="379"/>
      <c r="H152" s="379"/>
      <c r="I152" s="379"/>
      <c r="J152" s="383"/>
    </row>
  </sheetData>
  <pageMargins left="0.7" right="0.7" top="0.75" bottom="0.75" header="0.3" footer="0.3"/>
  <pageSetup scale="62" fitToHeight="0"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8"/>
  <sheetViews>
    <sheetView view="pageBreakPreview" zoomScale="120" zoomScaleNormal="100" zoomScaleSheetLayoutView="120" workbookViewId="0">
      <selection activeCell="A3" sqref="A3"/>
    </sheetView>
  </sheetViews>
  <sheetFormatPr defaultColWidth="12.7265625" defaultRowHeight="13"/>
  <cols>
    <col min="1" max="1" width="12.7265625" style="349"/>
    <col min="2" max="2" width="32.81640625" style="348" customWidth="1"/>
    <col min="3" max="3" width="15.54296875" style="348" bestFit="1" customWidth="1"/>
    <col min="4" max="4" width="5.81640625" style="348" customWidth="1"/>
    <col min="5" max="5" width="12.7265625" style="348"/>
    <col min="6" max="6" width="5.54296875" style="348" customWidth="1"/>
    <col min="7" max="7" width="20.453125" style="348" bestFit="1" customWidth="1"/>
    <col min="8" max="8" width="8.453125" style="348" customWidth="1"/>
    <col min="9" max="9" width="12.7265625" style="348"/>
    <col min="10" max="10" width="7" style="348" customWidth="1"/>
    <col min="11" max="11" width="12.7265625" style="348"/>
    <col min="12" max="12" width="16.26953125" style="348" customWidth="1"/>
    <col min="13" max="16384" width="12.7265625" style="348"/>
  </cols>
  <sheetData>
    <row r="1" spans="1:12">
      <c r="A1" s="354" t="str">
        <f>'Cover Sheets'!A10:D10</f>
        <v>WAPA-UGP 2018 Rate True-up Calculation</v>
      </c>
      <c r="B1" s="443"/>
      <c r="C1" s="355"/>
      <c r="D1" s="355"/>
      <c r="E1" s="355"/>
      <c r="F1" s="355"/>
      <c r="G1" s="355"/>
      <c r="H1" s="355"/>
      <c r="I1" s="355"/>
      <c r="J1" s="355"/>
      <c r="K1" s="355"/>
      <c r="L1" s="380"/>
    </row>
    <row r="2" spans="1:12">
      <c r="A2" s="821" t="s">
        <v>2558</v>
      </c>
      <c r="B2" s="816"/>
      <c r="C2" s="356"/>
      <c r="D2" s="356"/>
      <c r="E2" s="356"/>
      <c r="F2" s="356"/>
      <c r="G2" s="356"/>
      <c r="H2" s="356"/>
      <c r="I2" s="356"/>
      <c r="J2" s="356"/>
      <c r="K2" s="356"/>
      <c r="L2" s="381"/>
    </row>
    <row r="3" spans="1:12">
      <c r="A3" s="821" t="str">
        <f>'Summary-TrueUp'!A3</f>
        <v>12 Months Ending 09/30/2018 True-up</v>
      </c>
      <c r="B3" s="816"/>
      <c r="C3" s="356"/>
      <c r="D3" s="356"/>
      <c r="E3" s="356"/>
      <c r="F3" s="356"/>
      <c r="G3" s="356"/>
      <c r="H3" s="356"/>
      <c r="I3" s="356"/>
      <c r="J3" s="356"/>
      <c r="K3" s="356"/>
      <c r="L3" s="381"/>
    </row>
    <row r="4" spans="1:12">
      <c r="A4" s="444"/>
      <c r="B4" s="445"/>
      <c r="C4" s="445" t="s">
        <v>1243</v>
      </c>
      <c r="D4" s="446"/>
      <c r="E4" s="445" t="s">
        <v>1295</v>
      </c>
      <c r="F4" s="446"/>
      <c r="G4" s="445" t="s">
        <v>957</v>
      </c>
      <c r="H4" s="447"/>
      <c r="I4" s="445" t="s">
        <v>1241</v>
      </c>
      <c r="J4" s="447"/>
      <c r="K4" s="445" t="s">
        <v>961</v>
      </c>
      <c r="L4" s="381"/>
    </row>
    <row r="5" spans="1:12" s="349" customFormat="1" ht="13.5" thickBot="1">
      <c r="A5" s="448" t="s">
        <v>0</v>
      </c>
      <c r="B5" s="362">
        <v>-1</v>
      </c>
      <c r="C5" s="449">
        <v>-2</v>
      </c>
      <c r="D5" s="450"/>
      <c r="E5" s="449">
        <v>-3</v>
      </c>
      <c r="F5" s="450"/>
      <c r="G5" s="362">
        <v>-4</v>
      </c>
      <c r="H5" s="451"/>
      <c r="I5" s="362">
        <v>-5</v>
      </c>
      <c r="J5" s="451"/>
      <c r="K5" s="362">
        <v>-6</v>
      </c>
      <c r="L5" s="452"/>
    </row>
    <row r="6" spans="1:12">
      <c r="A6" s="444">
        <v>1</v>
      </c>
      <c r="B6" s="453" t="s">
        <v>1216</v>
      </c>
      <c r="C6" s="454"/>
      <c r="D6" s="454"/>
      <c r="E6" s="454"/>
      <c r="F6" s="454"/>
      <c r="G6" s="454"/>
      <c r="H6" s="454"/>
      <c r="I6" s="454"/>
      <c r="J6" s="454"/>
      <c r="K6" s="454"/>
      <c r="L6" s="381"/>
    </row>
    <row r="7" spans="1:12">
      <c r="A7" s="444">
        <f t="shared" ref="A7:A20" si="0">A6+1</f>
        <v>2</v>
      </c>
      <c r="B7" s="455" t="s">
        <v>1343</v>
      </c>
      <c r="C7" s="456">
        <f>'WS8-TranFac'!$E$503</f>
        <v>1418477171.8700001</v>
      </c>
      <c r="D7" s="457" t="s">
        <v>1292</v>
      </c>
      <c r="E7" s="456">
        <v>805173862.79999995</v>
      </c>
      <c r="F7" s="457" t="s">
        <v>1289</v>
      </c>
      <c r="G7" s="456">
        <f>152529637+167937303+170713339+352781503+69731078+262772127</f>
        <v>1176464987</v>
      </c>
      <c r="H7" s="457" t="s">
        <v>1285</v>
      </c>
      <c r="I7" s="456">
        <f>560546286-5033104-12362438-276278-12764736</f>
        <v>530109730</v>
      </c>
      <c r="J7" s="457" t="s">
        <v>1273</v>
      </c>
      <c r="K7" s="455">
        <f>C7+E7+G7+I7</f>
        <v>3930225751.6700001</v>
      </c>
      <c r="L7" s="381"/>
    </row>
    <row r="8" spans="1:12">
      <c r="A8" s="444">
        <f t="shared" si="0"/>
        <v>3</v>
      </c>
      <c r="B8" s="455" t="s">
        <v>1342</v>
      </c>
      <c r="C8" s="456">
        <f>'WS8-TranFac'!$I$503</f>
        <v>1351360274.4842072</v>
      </c>
      <c r="D8" s="457" t="s">
        <v>1284</v>
      </c>
      <c r="E8" s="455">
        <f>'WS8-TranFac'!$I$494</f>
        <v>10034426.5875</v>
      </c>
      <c r="F8" s="457" t="s">
        <v>1283</v>
      </c>
      <c r="G8" s="455">
        <f>'WS8-TranFac'!$I$501</f>
        <v>67247253.260000005</v>
      </c>
      <c r="H8" s="457" t="s">
        <v>1282</v>
      </c>
      <c r="I8" s="455">
        <v>0</v>
      </c>
      <c r="J8" s="457"/>
      <c r="K8" s="455">
        <f>C8+E8+G8+I8</f>
        <v>1428641954.3317072</v>
      </c>
      <c r="L8" s="381"/>
    </row>
    <row r="9" spans="1:12">
      <c r="A9" s="444">
        <f t="shared" si="0"/>
        <v>4</v>
      </c>
      <c r="B9" s="455" t="s">
        <v>1341</v>
      </c>
      <c r="C9" s="456">
        <f>'WS8-TranFac'!$G$503</f>
        <v>13555863.331200004</v>
      </c>
      <c r="D9" s="457" t="s">
        <v>1280</v>
      </c>
      <c r="E9" s="455">
        <v>0</v>
      </c>
      <c r="F9" s="457"/>
      <c r="G9" s="456">
        <f>G7-G8</f>
        <v>1109217733.74</v>
      </c>
      <c r="H9" s="457" t="s">
        <v>1340</v>
      </c>
      <c r="I9" s="456">
        <f>I7-I8</f>
        <v>530109730</v>
      </c>
      <c r="J9" s="457" t="s">
        <v>1340</v>
      </c>
      <c r="K9" s="455">
        <f>C9+E9+G9+I9</f>
        <v>1652883327.0711999</v>
      </c>
      <c r="L9" s="381"/>
    </row>
    <row r="10" spans="1:12">
      <c r="A10" s="444">
        <f t="shared" si="0"/>
        <v>5</v>
      </c>
      <c r="B10" s="455" t="s">
        <v>1339</v>
      </c>
      <c r="C10" s="456">
        <f>'WS13-SSCDFac'!$G$41+'WS13-SSCDFac'!$G$48+'WS13-SSCDFac'!$G$53+'WS13-SSCDFac'!$G$97+'WS13-SSCDFac'!$G$130</f>
        <v>13438519.724710001</v>
      </c>
      <c r="D10" s="457" t="s">
        <v>1278</v>
      </c>
      <c r="E10" s="455"/>
      <c r="F10" s="457"/>
      <c r="G10" s="456"/>
      <c r="H10" s="457"/>
      <c r="I10" s="456"/>
      <c r="J10" s="457"/>
      <c r="K10" s="455"/>
      <c r="L10" s="381"/>
    </row>
    <row r="11" spans="1:12">
      <c r="A11" s="444">
        <f t="shared" si="0"/>
        <v>6</v>
      </c>
      <c r="B11" s="455" t="s">
        <v>1338</v>
      </c>
      <c r="C11" s="458">
        <f>C9/C7</f>
        <v>9.5566312944811802E-3</v>
      </c>
      <c r="D11" s="459" t="s">
        <v>1337</v>
      </c>
      <c r="E11" s="458">
        <f>E9/E7</f>
        <v>0</v>
      </c>
      <c r="F11" s="459" t="s">
        <v>1337</v>
      </c>
      <c r="G11" s="458">
        <f>G9/G7</f>
        <v>0.94283956258529944</v>
      </c>
      <c r="H11" s="459" t="s">
        <v>1337</v>
      </c>
      <c r="I11" s="458">
        <f>I9/I7</f>
        <v>1</v>
      </c>
      <c r="J11" s="459" t="s">
        <v>1337</v>
      </c>
      <c r="K11" s="455"/>
      <c r="L11" s="381"/>
    </row>
    <row r="12" spans="1:12">
      <c r="A12" s="444">
        <f t="shared" si="0"/>
        <v>7</v>
      </c>
      <c r="B12" s="455" t="s">
        <v>1336</v>
      </c>
      <c r="C12" s="458">
        <f>C8/C7</f>
        <v>0.95268383678158763</v>
      </c>
      <c r="D12" s="459" t="s">
        <v>1335</v>
      </c>
      <c r="E12" s="458">
        <f>E8/E7</f>
        <v>1.2462434576061851E-2</v>
      </c>
      <c r="F12" s="459" t="s">
        <v>1335</v>
      </c>
      <c r="G12" s="458">
        <f>G8/G7</f>
        <v>5.716043741470056E-2</v>
      </c>
      <c r="H12" s="459" t="s">
        <v>1335</v>
      </c>
      <c r="I12" s="458">
        <f>I8/I7</f>
        <v>0</v>
      </c>
      <c r="J12" s="459" t="s">
        <v>1335</v>
      </c>
      <c r="K12" s="455"/>
      <c r="L12" s="381"/>
    </row>
    <row r="13" spans="1:12">
      <c r="A13" s="444">
        <f t="shared" si="0"/>
        <v>8</v>
      </c>
      <c r="B13" s="455" t="s">
        <v>1334</v>
      </c>
      <c r="C13" s="458">
        <f>C10/C7</f>
        <v>9.4739062363575401E-3</v>
      </c>
      <c r="D13" s="459" t="s">
        <v>1333</v>
      </c>
      <c r="E13" s="458"/>
      <c r="F13" s="459"/>
      <c r="G13" s="458"/>
      <c r="H13" s="459"/>
      <c r="I13" s="458"/>
      <c r="J13" s="459"/>
      <c r="K13" s="455"/>
      <c r="L13" s="381"/>
    </row>
    <row r="14" spans="1:12">
      <c r="A14" s="444">
        <f t="shared" si="0"/>
        <v>9</v>
      </c>
      <c r="B14" s="455" t="s">
        <v>1332</v>
      </c>
      <c r="C14" s="456">
        <f>592635037.67+93127238.49</f>
        <v>685762276.15999997</v>
      </c>
      <c r="D14" s="457" t="s">
        <v>1277</v>
      </c>
      <c r="E14" s="680">
        <f>394281086.89</f>
        <v>394281086.88999999</v>
      </c>
      <c r="F14" s="460" t="s">
        <v>1276</v>
      </c>
      <c r="G14" s="455">
        <f>76278565+100915759+114662499+142004192+35213919+145160657</f>
        <v>614235591</v>
      </c>
      <c r="H14" s="457" t="s">
        <v>1275</v>
      </c>
      <c r="I14" s="456">
        <v>366727469.44999999</v>
      </c>
      <c r="J14" s="457" t="s">
        <v>1290</v>
      </c>
      <c r="K14" s="455">
        <f t="shared" ref="K14:K20" si="1">C14+E14+G14+I14</f>
        <v>2061006423.5</v>
      </c>
      <c r="L14" s="381"/>
    </row>
    <row r="15" spans="1:12">
      <c r="A15" s="444">
        <f t="shared" si="0"/>
        <v>10</v>
      </c>
      <c r="B15" s="455" t="s">
        <v>1331</v>
      </c>
      <c r="C15" s="455">
        <f>C14*C12</f>
        <v>653314636.37218344</v>
      </c>
      <c r="D15" s="457" t="s">
        <v>1330</v>
      </c>
      <c r="E15" s="455">
        <f>E14*E12</f>
        <v>4913702.2499451824</v>
      </c>
      <c r="F15" s="457" t="s">
        <v>1330</v>
      </c>
      <c r="G15" s="455">
        <f>G14*G12</f>
        <v>35109975.057237111</v>
      </c>
      <c r="H15" s="457" t="s">
        <v>1330</v>
      </c>
      <c r="I15" s="455">
        <f>I14*I12</f>
        <v>0</v>
      </c>
      <c r="J15" s="457" t="s">
        <v>1330</v>
      </c>
      <c r="K15" s="455">
        <f t="shared" si="1"/>
        <v>693338313.67936575</v>
      </c>
      <c r="L15" s="381"/>
    </row>
    <row r="16" spans="1:12">
      <c r="A16" s="444">
        <f t="shared" si="0"/>
        <v>11</v>
      </c>
      <c r="B16" s="455" t="s">
        <v>1329</v>
      </c>
      <c r="C16" s="455">
        <f>C14*C$11</f>
        <v>6553577.2289253008</v>
      </c>
      <c r="D16" s="457" t="s">
        <v>1327</v>
      </c>
      <c r="E16" s="455">
        <f>E14*E$11</f>
        <v>0</v>
      </c>
      <c r="F16" s="457" t="s">
        <v>1327</v>
      </c>
      <c r="G16" s="456">
        <f>G14-G15</f>
        <v>579125615.94276285</v>
      </c>
      <c r="H16" s="457" t="s">
        <v>1328</v>
      </c>
      <c r="I16" s="455">
        <f>I11*I14</f>
        <v>366727469.44999999</v>
      </c>
      <c r="J16" s="457" t="s">
        <v>1327</v>
      </c>
      <c r="K16" s="455">
        <f t="shared" si="1"/>
        <v>952406662.62168813</v>
      </c>
      <c r="L16" s="381"/>
    </row>
    <row r="17" spans="1:12">
      <c r="A17" s="444">
        <f t="shared" si="0"/>
        <v>12</v>
      </c>
      <c r="B17" s="461" t="s">
        <v>1326</v>
      </c>
      <c r="C17" s="461">
        <f>C14*C$13</f>
        <v>6496847.5047709653</v>
      </c>
      <c r="D17" s="462"/>
      <c r="E17" s="461"/>
      <c r="F17" s="462"/>
      <c r="G17" s="463"/>
      <c r="H17" s="462"/>
      <c r="I17" s="461"/>
      <c r="J17" s="462"/>
      <c r="K17" s="455">
        <f t="shared" si="1"/>
        <v>6496847.5047709653</v>
      </c>
      <c r="L17" s="381"/>
    </row>
    <row r="18" spans="1:12">
      <c r="A18" s="444">
        <f t="shared" si="0"/>
        <v>13</v>
      </c>
      <c r="B18" s="455" t="s">
        <v>1325</v>
      </c>
      <c r="C18" s="455">
        <f>C8-C15</f>
        <v>698045638.11202371</v>
      </c>
      <c r="D18" s="457" t="s">
        <v>1323</v>
      </c>
      <c r="E18" s="455">
        <f>E8-E15</f>
        <v>5120724.337554818</v>
      </c>
      <c r="F18" s="457" t="s">
        <v>1324</v>
      </c>
      <c r="G18" s="455">
        <f>G8-G15</f>
        <v>32137278.202762894</v>
      </c>
      <c r="H18" s="457" t="s">
        <v>1323</v>
      </c>
      <c r="I18" s="455">
        <f>I8-I15</f>
        <v>0</v>
      </c>
      <c r="J18" s="457" t="s">
        <v>1323</v>
      </c>
      <c r="K18" s="455">
        <f t="shared" si="1"/>
        <v>735303640.65234137</v>
      </c>
      <c r="L18" s="381"/>
    </row>
    <row r="19" spans="1:12">
      <c r="A19" s="444">
        <f t="shared" si="0"/>
        <v>14</v>
      </c>
      <c r="B19" s="455" t="s">
        <v>1322</v>
      </c>
      <c r="C19" s="455">
        <f>C9-C16</f>
        <v>7002286.1022747029</v>
      </c>
      <c r="D19" s="457" t="s">
        <v>1320</v>
      </c>
      <c r="E19" s="455">
        <v>0</v>
      </c>
      <c r="F19" s="457" t="s">
        <v>1321</v>
      </c>
      <c r="G19" s="456">
        <f>G9-G16</f>
        <v>530092117.79723716</v>
      </c>
      <c r="H19" s="457" t="s">
        <v>1320</v>
      </c>
      <c r="I19" s="455">
        <f>I9-I16</f>
        <v>163382260.55000001</v>
      </c>
      <c r="J19" s="457" t="s">
        <v>1320</v>
      </c>
      <c r="K19" s="455">
        <f t="shared" si="1"/>
        <v>700476664.44951177</v>
      </c>
      <c r="L19" s="381"/>
    </row>
    <row r="20" spans="1:12">
      <c r="A20" s="444">
        <f t="shared" si="0"/>
        <v>15</v>
      </c>
      <c r="B20" s="455" t="s">
        <v>1319</v>
      </c>
      <c r="C20" s="455">
        <f>C10-C17</f>
        <v>6941672.2199390354</v>
      </c>
      <c r="D20" s="457" t="s">
        <v>1318</v>
      </c>
      <c r="E20" s="455"/>
      <c r="F20" s="457"/>
      <c r="G20" s="456"/>
      <c r="H20" s="457"/>
      <c r="I20" s="455"/>
      <c r="J20" s="457"/>
      <c r="K20" s="455">
        <f t="shared" si="1"/>
        <v>6941672.2199390354</v>
      </c>
      <c r="L20" s="381"/>
    </row>
    <row r="21" spans="1:12">
      <c r="A21" s="444">
        <f>A19+1</f>
        <v>15</v>
      </c>
      <c r="B21" s="455" t="s">
        <v>2419</v>
      </c>
      <c r="C21" s="455"/>
      <c r="D21" s="455"/>
      <c r="E21" s="455"/>
      <c r="F21" s="455"/>
      <c r="G21" s="455"/>
      <c r="H21" s="455"/>
      <c r="I21" s="455"/>
      <c r="J21" s="455"/>
      <c r="K21" s="455"/>
      <c r="L21" s="381"/>
    </row>
    <row r="22" spans="1:12">
      <c r="A22" s="444">
        <f t="shared" ref="A22:A33" si="2">A21+1</f>
        <v>16</v>
      </c>
      <c r="B22" s="464" t="s">
        <v>1317</v>
      </c>
      <c r="C22" s="455"/>
      <c r="D22" s="455"/>
      <c r="E22" s="455"/>
      <c r="F22" s="455"/>
      <c r="G22" s="455"/>
      <c r="H22" s="455"/>
      <c r="I22" s="455"/>
      <c r="J22" s="455"/>
      <c r="K22" s="455"/>
      <c r="L22" s="381"/>
    </row>
    <row r="23" spans="1:12">
      <c r="A23" s="444">
        <f t="shared" si="2"/>
        <v>17</v>
      </c>
      <c r="B23" s="455" t="s">
        <v>1316</v>
      </c>
      <c r="C23" s="455"/>
      <c r="D23" s="455"/>
      <c r="E23" s="455"/>
      <c r="F23" s="455"/>
      <c r="G23" s="455"/>
      <c r="H23" s="455"/>
      <c r="I23" s="455"/>
      <c r="J23" s="455"/>
      <c r="K23" s="455"/>
      <c r="L23" s="381"/>
    </row>
    <row r="24" spans="1:12">
      <c r="A24" s="444">
        <f t="shared" si="2"/>
        <v>18</v>
      </c>
      <c r="B24" s="455" t="s">
        <v>2421</v>
      </c>
      <c r="C24" s="455"/>
      <c r="D24" s="455"/>
      <c r="E24" s="455"/>
      <c r="F24" s="455"/>
      <c r="G24" s="455"/>
      <c r="H24" s="455"/>
      <c r="I24" s="455"/>
      <c r="J24" s="455"/>
      <c r="K24" s="455"/>
      <c r="L24" s="381"/>
    </row>
    <row r="25" spans="1:12">
      <c r="A25" s="444">
        <f t="shared" si="2"/>
        <v>19</v>
      </c>
      <c r="B25" s="455" t="s">
        <v>2420</v>
      </c>
      <c r="C25" s="455"/>
      <c r="D25" s="455"/>
      <c r="E25" s="455"/>
      <c r="F25" s="455"/>
      <c r="G25" s="455"/>
      <c r="H25" s="455"/>
      <c r="I25" s="455"/>
      <c r="J25" s="455"/>
      <c r="K25" s="465"/>
      <c r="L25" s="381"/>
    </row>
    <row r="26" spans="1:12">
      <c r="A26" s="444">
        <f t="shared" si="2"/>
        <v>20</v>
      </c>
      <c r="B26" s="455" t="s">
        <v>2422</v>
      </c>
      <c r="C26" s="455"/>
      <c r="D26" s="455"/>
      <c r="E26" s="455"/>
      <c r="F26" s="455"/>
      <c r="G26" s="455"/>
      <c r="H26" s="455"/>
      <c r="I26" s="455"/>
      <c r="J26" s="455"/>
      <c r="K26" s="455"/>
      <c r="L26" s="381"/>
    </row>
    <row r="27" spans="1:12">
      <c r="A27" s="444">
        <f t="shared" si="2"/>
        <v>21</v>
      </c>
      <c r="B27" s="455" t="s">
        <v>2423</v>
      </c>
      <c r="C27" s="455"/>
      <c r="D27" s="455"/>
      <c r="E27" s="455"/>
      <c r="F27" s="455"/>
      <c r="G27" s="455"/>
      <c r="H27" s="455"/>
      <c r="I27" s="455"/>
      <c r="J27" s="455"/>
      <c r="K27" s="455"/>
      <c r="L27" s="381"/>
    </row>
    <row r="28" spans="1:12">
      <c r="A28" s="444">
        <f t="shared" si="2"/>
        <v>22</v>
      </c>
      <c r="B28" s="356" t="s">
        <v>1315</v>
      </c>
      <c r="C28" s="455"/>
      <c r="D28" s="455"/>
      <c r="E28" s="455"/>
      <c r="F28" s="455"/>
      <c r="G28" s="455"/>
      <c r="H28" s="455"/>
      <c r="I28" s="455"/>
      <c r="J28" s="455"/>
      <c r="K28" s="455"/>
      <c r="L28" s="381"/>
    </row>
    <row r="29" spans="1:12">
      <c r="A29" s="444">
        <f t="shared" si="2"/>
        <v>23</v>
      </c>
      <c r="B29" s="464" t="s">
        <v>1314</v>
      </c>
      <c r="C29" s="455"/>
      <c r="D29" s="455"/>
      <c r="E29" s="455"/>
      <c r="F29" s="455"/>
      <c r="G29" s="455"/>
      <c r="H29" s="455"/>
      <c r="I29" s="455"/>
      <c r="J29" s="455"/>
      <c r="K29" s="455"/>
      <c r="L29" s="381"/>
    </row>
    <row r="30" spans="1:12">
      <c r="A30" s="444">
        <f t="shared" si="2"/>
        <v>24</v>
      </c>
      <c r="B30" s="464" t="s">
        <v>1313</v>
      </c>
      <c r="C30" s="455"/>
      <c r="D30" s="455"/>
      <c r="E30" s="455"/>
      <c r="F30" s="455"/>
      <c r="G30" s="455"/>
      <c r="H30" s="455"/>
      <c r="I30" s="455"/>
      <c r="J30" s="455"/>
      <c r="K30" s="455"/>
      <c r="L30" s="381"/>
    </row>
    <row r="31" spans="1:12">
      <c r="A31" s="444">
        <f t="shared" si="2"/>
        <v>25</v>
      </c>
      <c r="B31" s="455" t="s">
        <v>1312</v>
      </c>
      <c r="C31" s="455"/>
      <c r="D31" s="455"/>
      <c r="E31" s="455"/>
      <c r="F31" s="455"/>
      <c r="G31" s="455"/>
      <c r="H31" s="455"/>
      <c r="I31" s="455"/>
      <c r="J31" s="455"/>
      <c r="K31" s="455"/>
      <c r="L31" s="381"/>
    </row>
    <row r="32" spans="1:12">
      <c r="A32" s="444">
        <f t="shared" si="2"/>
        <v>26</v>
      </c>
      <c r="B32" s="455" t="s">
        <v>1311</v>
      </c>
      <c r="C32" s="455"/>
      <c r="D32" s="455"/>
      <c r="E32" s="455"/>
      <c r="F32" s="455"/>
      <c r="G32" s="455"/>
      <c r="H32" s="455"/>
      <c r="I32" s="455"/>
      <c r="J32" s="455"/>
      <c r="K32" s="455"/>
      <c r="L32" s="381"/>
    </row>
    <row r="33" spans="1:12" ht="13.5" thickBot="1">
      <c r="A33" s="448">
        <f t="shared" si="2"/>
        <v>27</v>
      </c>
      <c r="B33" s="466" t="s">
        <v>2522</v>
      </c>
      <c r="C33" s="466"/>
      <c r="D33" s="466"/>
      <c r="E33" s="466"/>
      <c r="F33" s="466"/>
      <c r="G33" s="466"/>
      <c r="H33" s="466"/>
      <c r="I33" s="466"/>
      <c r="J33" s="466"/>
      <c r="K33" s="466"/>
      <c r="L33" s="383"/>
    </row>
    <row r="34" spans="1:12">
      <c r="A34" s="354" t="str">
        <f>A1</f>
        <v>WAPA-UGP 2018 Rate True-up Calculation</v>
      </c>
      <c r="B34" s="443"/>
      <c r="C34" s="355"/>
      <c r="D34" s="355"/>
      <c r="E34" s="355"/>
      <c r="F34" s="355"/>
      <c r="G34" s="355"/>
      <c r="H34" s="355"/>
      <c r="I34" s="355"/>
      <c r="J34" s="355"/>
      <c r="K34" s="355"/>
      <c r="L34" s="380"/>
    </row>
    <row r="35" spans="1:12">
      <c r="A35" s="444"/>
      <c r="B35" s="445"/>
      <c r="C35" s="445" t="s">
        <v>1243</v>
      </c>
      <c r="D35" s="446"/>
      <c r="E35" s="445" t="s">
        <v>1295</v>
      </c>
      <c r="F35" s="446"/>
      <c r="G35" s="445" t="s">
        <v>957</v>
      </c>
      <c r="H35" s="447"/>
      <c r="I35" s="445" t="s">
        <v>1241</v>
      </c>
      <c r="J35" s="447"/>
      <c r="K35" s="445" t="s">
        <v>961</v>
      </c>
      <c r="L35" s="381"/>
    </row>
    <row r="36" spans="1:12" s="349" customFormat="1" ht="13.5" thickBot="1">
      <c r="A36" s="448" t="s">
        <v>0</v>
      </c>
      <c r="B36" s="362">
        <v>-1</v>
      </c>
      <c r="C36" s="449">
        <v>-2</v>
      </c>
      <c r="D36" s="450"/>
      <c r="E36" s="449">
        <v>-3</v>
      </c>
      <c r="F36" s="450"/>
      <c r="G36" s="362">
        <v>-4</v>
      </c>
      <c r="H36" s="451"/>
      <c r="I36" s="362">
        <v>-5</v>
      </c>
      <c r="J36" s="451"/>
      <c r="K36" s="362">
        <v>-6</v>
      </c>
      <c r="L36" s="452"/>
    </row>
    <row r="37" spans="1:12">
      <c r="A37" s="444">
        <v>1</v>
      </c>
      <c r="B37" s="453" t="s">
        <v>1310</v>
      </c>
      <c r="C37" s="454"/>
      <c r="D37" s="454"/>
      <c r="E37" s="454"/>
      <c r="F37" s="454"/>
      <c r="G37" s="454"/>
      <c r="H37" s="454"/>
      <c r="I37" s="454"/>
      <c r="J37" s="454"/>
      <c r="K37" s="454"/>
      <c r="L37" s="381"/>
    </row>
    <row r="38" spans="1:12">
      <c r="A38" s="444">
        <f>A37+1</f>
        <v>2</v>
      </c>
      <c r="B38" s="461" t="s">
        <v>1309</v>
      </c>
      <c r="C38" s="461">
        <f>24747584.55+7150216.58</f>
        <v>31897801.130000003</v>
      </c>
      <c r="D38" s="462" t="s">
        <v>1292</v>
      </c>
      <c r="E38" s="467">
        <f>19115399.03</f>
        <v>19115399.030000001</v>
      </c>
      <c r="F38" s="468" t="s">
        <v>1289</v>
      </c>
      <c r="G38" s="463">
        <f>2139553+1456929+6120290+1165689+2501715+1734162</f>
        <v>15118338</v>
      </c>
      <c r="H38" s="468" t="s">
        <v>1285</v>
      </c>
      <c r="I38" s="467">
        <v>3224032.68</v>
      </c>
      <c r="J38" s="468" t="s">
        <v>1284</v>
      </c>
      <c r="K38" s="461">
        <f>SUM(C38:I38)</f>
        <v>69355570.840000004</v>
      </c>
      <c r="L38" s="469"/>
    </row>
    <row r="39" spans="1:12">
      <c r="A39" s="444">
        <f>A38+1</f>
        <v>3</v>
      </c>
      <c r="B39" s="455" t="s">
        <v>1308</v>
      </c>
      <c r="C39" s="455">
        <f>C38*C12</f>
        <v>30388519.565424465</v>
      </c>
      <c r="D39" s="457"/>
      <c r="E39" s="455">
        <f>E38*E12</f>
        <v>238224.40980669117</v>
      </c>
      <c r="F39" s="457"/>
      <c r="G39" s="430">
        <f>G38*G12</f>
        <v>864170.81306328927</v>
      </c>
      <c r="H39" s="457"/>
      <c r="I39" s="455">
        <f>I38*I12</f>
        <v>0</v>
      </c>
      <c r="J39" s="457"/>
      <c r="K39" s="455">
        <f>SUM(C39:I39)</f>
        <v>31490914.788294446</v>
      </c>
      <c r="L39" s="469"/>
    </row>
    <row r="40" spans="1:12">
      <c r="A40" s="444">
        <f>A39+1</f>
        <v>4</v>
      </c>
      <c r="B40" s="455" t="s">
        <v>1307</v>
      </c>
      <c r="C40" s="455">
        <f>C38*C11</f>
        <v>304835.5245040952</v>
      </c>
      <c r="D40" s="457"/>
      <c r="E40" s="455">
        <v>0</v>
      </c>
      <c r="F40" s="457"/>
      <c r="G40" s="456">
        <f>G38-G39</f>
        <v>14254167.18693671</v>
      </c>
      <c r="H40" s="457"/>
      <c r="I40" s="455">
        <f>I38*I11</f>
        <v>3224032.68</v>
      </c>
      <c r="J40" s="457"/>
      <c r="K40" s="455">
        <f>SUM(C40:I40)</f>
        <v>17783035.391440805</v>
      </c>
      <c r="L40" s="469"/>
    </row>
    <row r="41" spans="1:12">
      <c r="A41" s="444">
        <f>A40+1</f>
        <v>5</v>
      </c>
      <c r="B41" s="455" t="s">
        <v>1306</v>
      </c>
      <c r="C41" s="455">
        <f>C38*C13</f>
        <v>302196.77705159964</v>
      </c>
      <c r="D41" s="457"/>
      <c r="E41" s="455"/>
      <c r="F41" s="457"/>
      <c r="G41" s="456"/>
      <c r="H41" s="457"/>
      <c r="I41" s="455"/>
      <c r="J41" s="457"/>
      <c r="K41" s="455">
        <f>SUM(C41:I41)</f>
        <v>302196.77705159964</v>
      </c>
      <c r="L41" s="469"/>
    </row>
    <row r="42" spans="1:12">
      <c r="A42" s="444">
        <f>A40+1</f>
        <v>5</v>
      </c>
      <c r="B42" s="470" t="s">
        <v>1305</v>
      </c>
      <c r="C42" s="455"/>
      <c r="D42" s="455"/>
      <c r="E42" s="455"/>
      <c r="F42" s="455"/>
      <c r="G42" s="455"/>
      <c r="H42" s="455"/>
      <c r="I42" s="455"/>
      <c r="J42" s="455"/>
      <c r="K42" s="455"/>
      <c r="L42" s="469"/>
    </row>
    <row r="43" spans="1:12">
      <c r="A43" s="444">
        <f t="shared" ref="A43:A51" si="3">A42+1</f>
        <v>6</v>
      </c>
      <c r="B43" s="470" t="s">
        <v>1304</v>
      </c>
      <c r="C43" s="455"/>
      <c r="D43" s="455"/>
      <c r="E43" s="455"/>
      <c r="F43" s="455"/>
      <c r="G43" s="455"/>
      <c r="H43" s="455"/>
      <c r="I43" s="455"/>
      <c r="J43" s="455"/>
      <c r="K43" s="455"/>
      <c r="L43" s="469"/>
    </row>
    <row r="44" spans="1:12">
      <c r="A44" s="444">
        <f t="shared" si="3"/>
        <v>7</v>
      </c>
      <c r="B44" s="455" t="s">
        <v>1303</v>
      </c>
      <c r="C44" s="455"/>
      <c r="D44" s="455"/>
      <c r="E44" s="455"/>
      <c r="F44" s="455"/>
      <c r="G44" s="455"/>
      <c r="H44" s="455"/>
      <c r="I44" s="455"/>
      <c r="J44" s="455"/>
      <c r="K44" s="455"/>
      <c r="L44" s="469"/>
    </row>
    <row r="45" spans="1:12">
      <c r="A45" s="444">
        <f t="shared" si="3"/>
        <v>8</v>
      </c>
      <c r="B45" s="455" t="s">
        <v>1302</v>
      </c>
      <c r="C45" s="455"/>
      <c r="D45" s="455"/>
      <c r="E45" s="455"/>
      <c r="F45" s="455"/>
      <c r="G45" s="455"/>
      <c r="H45" s="455"/>
      <c r="I45" s="455"/>
      <c r="J45" s="455"/>
      <c r="K45" s="455"/>
      <c r="L45" s="469"/>
    </row>
    <row r="46" spans="1:12">
      <c r="A46" s="444">
        <f t="shared" si="3"/>
        <v>9</v>
      </c>
      <c r="B46" s="470" t="s">
        <v>1301</v>
      </c>
      <c r="C46" s="455"/>
      <c r="D46" s="455"/>
      <c r="E46" s="455"/>
      <c r="F46" s="455"/>
      <c r="G46" s="455"/>
      <c r="H46" s="455"/>
      <c r="I46" s="455"/>
      <c r="J46" s="455"/>
      <c r="K46" s="455"/>
      <c r="L46" s="469"/>
    </row>
    <row r="47" spans="1:12">
      <c r="A47" s="444">
        <f t="shared" si="3"/>
        <v>10</v>
      </c>
      <c r="B47" s="470" t="s">
        <v>1300</v>
      </c>
      <c r="C47" s="455"/>
      <c r="D47" s="455"/>
      <c r="E47" s="455"/>
      <c r="F47" s="455"/>
      <c r="G47" s="455"/>
      <c r="H47" s="455"/>
      <c r="I47" s="455"/>
      <c r="J47" s="455"/>
      <c r="K47" s="455"/>
      <c r="L47" s="469"/>
    </row>
    <row r="48" spans="1:12">
      <c r="A48" s="444">
        <f t="shared" si="3"/>
        <v>11</v>
      </c>
      <c r="B48" s="470" t="s">
        <v>1299</v>
      </c>
      <c r="C48" s="455"/>
      <c r="D48" s="455"/>
      <c r="E48" s="455"/>
      <c r="F48" s="455"/>
      <c r="G48" s="455"/>
      <c r="H48" s="455"/>
      <c r="I48" s="455"/>
      <c r="J48" s="455"/>
      <c r="K48" s="455"/>
      <c r="L48" s="469"/>
    </row>
    <row r="49" spans="1:12">
      <c r="A49" s="444">
        <f t="shared" si="3"/>
        <v>12</v>
      </c>
      <c r="B49" s="470" t="s">
        <v>1298</v>
      </c>
      <c r="C49" s="455"/>
      <c r="D49" s="455"/>
      <c r="E49" s="455"/>
      <c r="F49" s="455"/>
      <c r="G49" s="455"/>
      <c r="H49" s="455"/>
      <c r="I49" s="455"/>
      <c r="J49" s="455"/>
      <c r="K49" s="455"/>
      <c r="L49" s="469"/>
    </row>
    <row r="50" spans="1:12">
      <c r="A50" s="444">
        <f t="shared" si="3"/>
        <v>13</v>
      </c>
      <c r="B50" s="470" t="s">
        <v>1297</v>
      </c>
      <c r="C50" s="455"/>
      <c r="D50" s="455"/>
      <c r="E50" s="455"/>
      <c r="F50" s="455"/>
      <c r="G50" s="455"/>
      <c r="H50" s="455"/>
      <c r="I50" s="455"/>
      <c r="J50" s="455"/>
      <c r="K50" s="455"/>
      <c r="L50" s="469"/>
    </row>
    <row r="51" spans="1:12" ht="13.5" thickBot="1">
      <c r="A51" s="448">
        <f t="shared" si="3"/>
        <v>14</v>
      </c>
      <c r="B51" s="471" t="s">
        <v>1296</v>
      </c>
      <c r="C51" s="466"/>
      <c r="D51" s="466"/>
      <c r="E51" s="466"/>
      <c r="F51" s="466"/>
      <c r="G51" s="466"/>
      <c r="H51" s="466"/>
      <c r="I51" s="466"/>
      <c r="J51" s="466"/>
      <c r="K51" s="466"/>
      <c r="L51" s="472"/>
    </row>
    <row r="52" spans="1:12">
      <c r="A52" s="354" t="str">
        <f>A1</f>
        <v>WAPA-UGP 2018 Rate True-up Calculation</v>
      </c>
      <c r="B52" s="443"/>
      <c r="C52" s="355"/>
      <c r="D52" s="355"/>
      <c r="E52" s="355"/>
      <c r="F52" s="355"/>
      <c r="G52" s="355"/>
      <c r="H52" s="355"/>
      <c r="I52" s="355"/>
      <c r="J52" s="355"/>
      <c r="K52" s="355"/>
      <c r="L52" s="380"/>
    </row>
    <row r="53" spans="1:12">
      <c r="A53" s="444"/>
      <c r="B53" s="445"/>
      <c r="C53" s="445" t="s">
        <v>1243</v>
      </c>
      <c r="D53" s="446"/>
      <c r="E53" s="445" t="s">
        <v>1295</v>
      </c>
      <c r="F53" s="446"/>
      <c r="G53" s="445" t="s">
        <v>957</v>
      </c>
      <c r="H53" s="447"/>
      <c r="I53" s="445" t="s">
        <v>1241</v>
      </c>
      <c r="J53" s="447"/>
      <c r="K53" s="445" t="s">
        <v>961</v>
      </c>
      <c r="L53" s="381"/>
    </row>
    <row r="54" spans="1:12" s="349" customFormat="1" ht="13.5" thickBot="1">
      <c r="A54" s="448" t="s">
        <v>0</v>
      </c>
      <c r="B54" s="362">
        <v>-1</v>
      </c>
      <c r="C54" s="449">
        <v>-2</v>
      </c>
      <c r="D54" s="450"/>
      <c r="E54" s="449">
        <v>-3</v>
      </c>
      <c r="F54" s="450"/>
      <c r="G54" s="362">
        <v>-4</v>
      </c>
      <c r="H54" s="451"/>
      <c r="I54" s="362">
        <v>-5</v>
      </c>
      <c r="J54" s="451"/>
      <c r="K54" s="362">
        <v>-6</v>
      </c>
      <c r="L54" s="452"/>
    </row>
    <row r="55" spans="1:12">
      <c r="A55" s="444">
        <v>1</v>
      </c>
      <c r="B55" s="453" t="s">
        <v>1294</v>
      </c>
      <c r="C55" s="454"/>
      <c r="D55" s="454"/>
      <c r="E55" s="454"/>
      <c r="F55" s="454"/>
      <c r="G55" s="454"/>
      <c r="H55" s="454"/>
      <c r="I55" s="454"/>
      <c r="J55" s="454"/>
      <c r="K55" s="454"/>
      <c r="L55" s="469"/>
    </row>
    <row r="56" spans="1:12">
      <c r="A56" s="444">
        <f t="shared" ref="A56:A77" si="4">A55+1</f>
        <v>2</v>
      </c>
      <c r="B56" s="473" t="s">
        <v>1293</v>
      </c>
      <c r="C56" s="455"/>
      <c r="D56" s="455"/>
      <c r="E56" s="455"/>
      <c r="F56" s="455"/>
      <c r="G56" s="455"/>
      <c r="H56" s="455"/>
      <c r="I56" s="455"/>
      <c r="J56" s="455"/>
      <c r="K56" s="455"/>
      <c r="L56" s="469"/>
    </row>
    <row r="57" spans="1:12">
      <c r="A57" s="444">
        <f t="shared" si="4"/>
        <v>3</v>
      </c>
      <c r="B57" s="455" t="s">
        <v>2332</v>
      </c>
      <c r="C57" s="455">
        <f>363576829+71842675+602173+339381810+112882562+2582544</f>
        <v>890868593</v>
      </c>
      <c r="D57" s="457" t="s">
        <v>1292</v>
      </c>
      <c r="E57" s="455">
        <f>262341710+8786658+141709127+1660014</f>
        <v>414497509</v>
      </c>
      <c r="F57" s="457" t="s">
        <v>1292</v>
      </c>
      <c r="G57" s="455">
        <f>521555771+107661984</f>
        <v>629217755</v>
      </c>
      <c r="H57" s="457" t="s">
        <v>1292</v>
      </c>
      <c r="I57" s="455">
        <f>154441912+65126585</f>
        <v>219568497</v>
      </c>
      <c r="J57" s="457" t="s">
        <v>1292</v>
      </c>
      <c r="K57" s="455">
        <f>SUM(C57:I57)</f>
        <v>2154152354</v>
      </c>
      <c r="L57" s="469"/>
    </row>
    <row r="58" spans="1:12">
      <c r="A58" s="444">
        <f t="shared" si="4"/>
        <v>4</v>
      </c>
      <c r="B58" s="473" t="s">
        <v>1291</v>
      </c>
      <c r="C58" s="455"/>
      <c r="D58" s="457"/>
      <c r="E58" s="455"/>
      <c r="F58" s="457"/>
      <c r="G58" s="455"/>
      <c r="H58" s="457"/>
      <c r="I58" s="455"/>
      <c r="J58" s="457"/>
      <c r="K58" s="455"/>
      <c r="L58" s="469"/>
    </row>
    <row r="59" spans="1:12">
      <c r="A59" s="444">
        <f t="shared" si="4"/>
        <v>5</v>
      </c>
      <c r="B59" s="455" t="s">
        <v>2333</v>
      </c>
      <c r="C59" s="455">
        <f>18993530+15664221+1517427-1303614+2821.86+4578197+5730700-348643-181473.76</f>
        <v>44653166.100000001</v>
      </c>
      <c r="D59" s="457" t="s">
        <v>1290</v>
      </c>
      <c r="E59" s="455">
        <f>19197702+8321295-902450.64</f>
        <v>26616546.359999999</v>
      </c>
      <c r="F59" s="457" t="s">
        <v>1290</v>
      </c>
      <c r="G59" s="455">
        <f>18849555+3010530-1004292</f>
        <v>20855793</v>
      </c>
      <c r="H59" s="457" t="s">
        <v>1289</v>
      </c>
      <c r="I59" s="455">
        <f>5448769+3290371-371406</f>
        <v>8367734</v>
      </c>
      <c r="J59" s="457" t="s">
        <v>1289</v>
      </c>
      <c r="K59" s="455">
        <f>SUM(C59:I59)</f>
        <v>100493239.46000001</v>
      </c>
      <c r="L59" s="469"/>
    </row>
    <row r="60" spans="1:12">
      <c r="A60" s="444">
        <f t="shared" si="4"/>
        <v>6</v>
      </c>
      <c r="B60" s="455" t="s">
        <v>1288</v>
      </c>
      <c r="C60" s="474">
        <f>C59/C57</f>
        <v>5.0123179165661752E-2</v>
      </c>
      <c r="D60" s="475" t="s">
        <v>1287</v>
      </c>
      <c r="E60" s="474">
        <f>E59/E57</f>
        <v>6.421400800263917E-2</v>
      </c>
      <c r="F60" s="475" t="s">
        <v>1287</v>
      </c>
      <c r="G60" s="474">
        <f>G59/G57</f>
        <v>3.3145588843086604E-2</v>
      </c>
      <c r="H60" s="475" t="s">
        <v>1287</v>
      </c>
      <c r="I60" s="474">
        <f>I59/I57</f>
        <v>3.810990244197008E-2</v>
      </c>
      <c r="J60" s="475" t="s">
        <v>1287</v>
      </c>
      <c r="K60" s="476"/>
      <c r="L60" s="469"/>
    </row>
    <row r="61" spans="1:12">
      <c r="A61" s="444">
        <f t="shared" si="4"/>
        <v>7</v>
      </c>
      <c r="B61" s="455" t="s">
        <v>1286</v>
      </c>
      <c r="C61" s="477">
        <f>C8/(C8+E8+G8)</f>
        <v>0.9459054946460318</v>
      </c>
      <c r="D61" s="459" t="s">
        <v>1285</v>
      </c>
      <c r="E61" s="477">
        <f>E8/(C8+E8+G8)</f>
        <v>7.0237518624419251E-3</v>
      </c>
      <c r="F61" s="459" t="s">
        <v>1284</v>
      </c>
      <c r="G61" s="477">
        <f>G8/(C8+E8+G8)</f>
        <v>4.7070753491526188E-2</v>
      </c>
      <c r="H61" s="459" t="s">
        <v>1283</v>
      </c>
      <c r="I61" s="477">
        <v>0</v>
      </c>
      <c r="J61" s="459" t="s">
        <v>1282</v>
      </c>
      <c r="K61" s="476"/>
      <c r="L61" s="469"/>
    </row>
    <row r="62" spans="1:12">
      <c r="A62" s="444">
        <f t="shared" si="4"/>
        <v>8</v>
      </c>
      <c r="B62" s="455" t="s">
        <v>1281</v>
      </c>
      <c r="C62" s="476"/>
      <c r="D62" s="475"/>
      <c r="E62" s="476"/>
      <c r="F62" s="475"/>
      <c r="G62" s="476"/>
      <c r="H62" s="475"/>
      <c r="I62" s="476"/>
      <c r="J62" s="475"/>
      <c r="K62" s="474">
        <f>C60*C61+E60*E61+G60*G61+I60*I61</f>
        <v>4.942300168199476E-2</v>
      </c>
      <c r="L62" s="478" t="s">
        <v>1280</v>
      </c>
    </row>
    <row r="63" spans="1:12">
      <c r="A63" s="444">
        <f t="shared" si="4"/>
        <v>9</v>
      </c>
      <c r="B63" s="455" t="s">
        <v>1279</v>
      </c>
      <c r="C63" s="477">
        <f>C9/(C9+E9+G9+I9)</f>
        <v>8.2013431372800517E-3</v>
      </c>
      <c r="D63" s="459" t="s">
        <v>1278</v>
      </c>
      <c r="E63" s="477">
        <v>0</v>
      </c>
      <c r="F63" s="475" t="s">
        <v>1277</v>
      </c>
      <c r="G63" s="477">
        <f>G9/(C9+G9+I9)</f>
        <v>0.67108047832115325</v>
      </c>
      <c r="H63" s="459" t="s">
        <v>1276</v>
      </c>
      <c r="I63" s="477">
        <f>I9/(C9+G9+I9)</f>
        <v>0.32071817854156676</v>
      </c>
      <c r="J63" s="459" t="s">
        <v>1275</v>
      </c>
      <c r="K63" s="476"/>
      <c r="L63" s="469"/>
    </row>
    <row r="64" spans="1:12">
      <c r="A64" s="444">
        <f t="shared" si="4"/>
        <v>10</v>
      </c>
      <c r="B64" s="455" t="s">
        <v>1274</v>
      </c>
      <c r="C64" s="476"/>
      <c r="D64" s="475"/>
      <c r="E64" s="476"/>
      <c r="F64" s="476"/>
      <c r="G64" s="479"/>
      <c r="H64" s="479"/>
      <c r="I64" s="479"/>
      <c r="J64" s="475"/>
      <c r="K64" s="474">
        <f>C60*C63+E60*E63+G60*G63+I60*I63</f>
        <v>3.4876973502109249E-2</v>
      </c>
      <c r="L64" s="478" t="s">
        <v>1273</v>
      </c>
    </row>
    <row r="65" spans="1:12">
      <c r="A65" s="444">
        <f t="shared" si="4"/>
        <v>11</v>
      </c>
      <c r="B65" s="455" t="s">
        <v>1272</v>
      </c>
      <c r="C65" s="455"/>
      <c r="D65" s="455"/>
      <c r="E65" s="455"/>
      <c r="F65" s="455"/>
      <c r="G65" s="455"/>
      <c r="H65" s="455"/>
      <c r="I65" s="455"/>
      <c r="J65" s="455"/>
      <c r="K65" s="455"/>
      <c r="L65" s="469"/>
    </row>
    <row r="66" spans="1:12">
      <c r="A66" s="444">
        <f t="shared" si="4"/>
        <v>12</v>
      </c>
      <c r="B66" s="455" t="s">
        <v>1271</v>
      </c>
      <c r="C66" s="455"/>
      <c r="D66" s="455"/>
      <c r="E66" s="455"/>
      <c r="F66" s="455"/>
      <c r="G66" s="455"/>
      <c r="H66" s="455"/>
      <c r="I66" s="455"/>
      <c r="J66" s="455"/>
      <c r="K66" s="455"/>
      <c r="L66" s="469"/>
    </row>
    <row r="67" spans="1:12">
      <c r="A67" s="444">
        <f t="shared" si="4"/>
        <v>13</v>
      </c>
      <c r="B67" s="455" t="s">
        <v>1270</v>
      </c>
      <c r="C67" s="455"/>
      <c r="D67" s="455"/>
      <c r="E67" s="455"/>
      <c r="F67" s="455"/>
      <c r="G67" s="455"/>
      <c r="H67" s="455"/>
      <c r="I67" s="455"/>
      <c r="J67" s="455"/>
      <c r="K67" s="455"/>
      <c r="L67" s="469"/>
    </row>
    <row r="68" spans="1:12">
      <c r="A68" s="444">
        <f t="shared" si="4"/>
        <v>14</v>
      </c>
      <c r="B68" s="455" t="s">
        <v>1269</v>
      </c>
      <c r="C68" s="455"/>
      <c r="D68" s="455"/>
      <c r="E68" s="455"/>
      <c r="F68" s="455"/>
      <c r="G68" s="455"/>
      <c r="H68" s="455"/>
      <c r="I68" s="455"/>
      <c r="J68" s="455"/>
      <c r="K68" s="455"/>
      <c r="L68" s="469"/>
    </row>
    <row r="69" spans="1:12">
      <c r="A69" s="444">
        <f t="shared" si="4"/>
        <v>15</v>
      </c>
      <c r="B69" s="455" t="s">
        <v>1268</v>
      </c>
      <c r="C69" s="455"/>
      <c r="D69" s="455"/>
      <c r="E69" s="455"/>
      <c r="F69" s="455"/>
      <c r="G69" s="455"/>
      <c r="H69" s="455"/>
      <c r="I69" s="455"/>
      <c r="J69" s="455"/>
      <c r="K69" s="455"/>
      <c r="L69" s="469"/>
    </row>
    <row r="70" spans="1:12">
      <c r="A70" s="444">
        <f t="shared" si="4"/>
        <v>16</v>
      </c>
      <c r="B70" s="455" t="s">
        <v>1267</v>
      </c>
      <c r="C70" s="455"/>
      <c r="D70" s="455"/>
      <c r="E70" s="455"/>
      <c r="F70" s="455"/>
      <c r="G70" s="455"/>
      <c r="H70" s="455"/>
      <c r="I70" s="455"/>
      <c r="J70" s="455"/>
      <c r="K70" s="455"/>
      <c r="L70" s="469"/>
    </row>
    <row r="71" spans="1:12">
      <c r="A71" s="444">
        <f t="shared" si="4"/>
        <v>17</v>
      </c>
      <c r="B71" s="455" t="s">
        <v>1266</v>
      </c>
      <c r="C71" s="455"/>
      <c r="D71" s="455"/>
      <c r="E71" s="455"/>
      <c r="F71" s="455"/>
      <c r="G71" s="455"/>
      <c r="H71" s="455"/>
      <c r="I71" s="455"/>
      <c r="J71" s="455"/>
      <c r="K71" s="455"/>
      <c r="L71" s="469"/>
    </row>
    <row r="72" spans="1:12">
      <c r="A72" s="444">
        <f t="shared" si="4"/>
        <v>18</v>
      </c>
      <c r="B72" s="455" t="s">
        <v>1265</v>
      </c>
      <c r="C72" s="455"/>
      <c r="D72" s="455"/>
      <c r="E72" s="455"/>
      <c r="F72" s="455"/>
      <c r="G72" s="455"/>
      <c r="H72" s="455"/>
      <c r="I72" s="455"/>
      <c r="J72" s="455"/>
      <c r="K72" s="455"/>
      <c r="L72" s="469"/>
    </row>
    <row r="73" spans="1:12">
      <c r="A73" s="444">
        <f t="shared" si="4"/>
        <v>19</v>
      </c>
      <c r="B73" s="455" t="s">
        <v>1264</v>
      </c>
      <c r="C73" s="455"/>
      <c r="D73" s="455"/>
      <c r="E73" s="455"/>
      <c r="F73" s="455"/>
      <c r="G73" s="455"/>
      <c r="H73" s="455"/>
      <c r="I73" s="455"/>
      <c r="J73" s="455"/>
      <c r="K73" s="455"/>
      <c r="L73" s="469"/>
    </row>
    <row r="74" spans="1:12">
      <c r="A74" s="444">
        <f t="shared" si="4"/>
        <v>20</v>
      </c>
      <c r="B74" s="455" t="s">
        <v>1263</v>
      </c>
      <c r="C74" s="455"/>
      <c r="D74" s="455"/>
      <c r="E74" s="455"/>
      <c r="F74" s="455"/>
      <c r="G74" s="455"/>
      <c r="H74" s="455"/>
      <c r="I74" s="455"/>
      <c r="J74" s="455"/>
      <c r="K74" s="455"/>
      <c r="L74" s="469"/>
    </row>
    <row r="75" spans="1:12">
      <c r="A75" s="444">
        <f t="shared" si="4"/>
        <v>21</v>
      </c>
      <c r="B75" s="455" t="s">
        <v>1262</v>
      </c>
      <c r="C75" s="455"/>
      <c r="D75" s="455"/>
      <c r="E75" s="455"/>
      <c r="F75" s="455"/>
      <c r="G75" s="455"/>
      <c r="H75" s="455"/>
      <c r="I75" s="455"/>
      <c r="J75" s="455"/>
      <c r="K75" s="455"/>
      <c r="L75" s="469"/>
    </row>
    <row r="76" spans="1:12">
      <c r="A76" s="444">
        <f t="shared" si="4"/>
        <v>22</v>
      </c>
      <c r="B76" s="455" t="s">
        <v>1261</v>
      </c>
      <c r="C76" s="455"/>
      <c r="D76" s="455"/>
      <c r="E76" s="455"/>
      <c r="F76" s="455"/>
      <c r="G76" s="455"/>
      <c r="H76" s="455"/>
      <c r="I76" s="455"/>
      <c r="J76" s="455"/>
      <c r="K76" s="455"/>
      <c r="L76" s="469"/>
    </row>
    <row r="77" spans="1:12" ht="13.5" thickBot="1">
      <c r="A77" s="448">
        <f t="shared" si="4"/>
        <v>23</v>
      </c>
      <c r="B77" s="466" t="s">
        <v>1260</v>
      </c>
      <c r="C77" s="466"/>
      <c r="D77" s="466"/>
      <c r="E77" s="466"/>
      <c r="F77" s="466"/>
      <c r="G77" s="466"/>
      <c r="H77" s="466"/>
      <c r="I77" s="466"/>
      <c r="J77" s="466"/>
      <c r="K77" s="466"/>
      <c r="L77" s="472"/>
    </row>
    <row r="78" spans="1:12">
      <c r="A78" s="354" t="str">
        <f>A1</f>
        <v>WAPA-UGP 2018 Rate True-up Calculation</v>
      </c>
      <c r="B78" s="443"/>
      <c r="C78" s="355"/>
      <c r="D78" s="355"/>
      <c r="E78" s="355"/>
      <c r="F78" s="355"/>
      <c r="G78" s="355"/>
      <c r="H78" s="355"/>
      <c r="I78" s="355"/>
      <c r="J78" s="355"/>
      <c r="K78" s="355"/>
      <c r="L78" s="380"/>
    </row>
    <row r="79" spans="1:12">
      <c r="A79" s="444"/>
      <c r="B79" s="445"/>
      <c r="C79" s="445" t="s">
        <v>1243</v>
      </c>
      <c r="D79" s="446"/>
      <c r="E79" s="445" t="s">
        <v>1242</v>
      </c>
      <c r="F79" s="446"/>
      <c r="G79" s="445" t="s">
        <v>957</v>
      </c>
      <c r="H79" s="447"/>
      <c r="I79" s="445" t="s">
        <v>1241</v>
      </c>
      <c r="J79" s="447"/>
      <c r="K79" s="445" t="s">
        <v>961</v>
      </c>
      <c r="L79" s="381"/>
    </row>
    <row r="80" spans="1:12" s="349" customFormat="1" ht="13.5" thickBot="1">
      <c r="A80" s="448" t="s">
        <v>0</v>
      </c>
      <c r="B80" s="362">
        <v>-1</v>
      </c>
      <c r="C80" s="449">
        <v>-2</v>
      </c>
      <c r="D80" s="450"/>
      <c r="E80" s="449">
        <v>-3</v>
      </c>
      <c r="F80" s="450"/>
      <c r="G80" s="362">
        <v>-4</v>
      </c>
      <c r="H80" s="451"/>
      <c r="I80" s="362">
        <v>-5</v>
      </c>
      <c r="J80" s="451"/>
      <c r="K80" s="362">
        <v>-6</v>
      </c>
      <c r="L80" s="452"/>
    </row>
    <row r="81" spans="1:12">
      <c r="A81" s="444">
        <v>1</v>
      </c>
      <c r="B81" s="453" t="s">
        <v>1259</v>
      </c>
      <c r="C81" s="480"/>
      <c r="D81" s="480"/>
      <c r="E81" s="480"/>
      <c r="F81" s="480"/>
      <c r="G81" s="480"/>
      <c r="H81" s="455"/>
      <c r="I81" s="455"/>
      <c r="J81" s="455"/>
      <c r="K81" s="455"/>
      <c r="L81" s="469"/>
    </row>
    <row r="82" spans="1:12">
      <c r="A82" s="444">
        <f t="shared" ref="A82:A106" si="5">A81+1</f>
        <v>2</v>
      </c>
      <c r="B82" s="481" t="s">
        <v>1258</v>
      </c>
      <c r="C82" s="481" t="s">
        <v>1257</v>
      </c>
      <c r="D82" s="356"/>
      <c r="E82" s="481" t="s">
        <v>1256</v>
      </c>
      <c r="F82" s="482"/>
      <c r="G82" s="481" t="s">
        <v>1239</v>
      </c>
      <c r="H82" s="356"/>
      <c r="I82" s="481" t="s">
        <v>1255</v>
      </c>
      <c r="J82" s="356"/>
      <c r="K82" s="481" t="s">
        <v>980</v>
      </c>
      <c r="L82" s="381"/>
    </row>
    <row r="83" spans="1:12">
      <c r="A83" s="444">
        <f t="shared" si="5"/>
        <v>3</v>
      </c>
      <c r="B83" s="483">
        <v>1411</v>
      </c>
      <c r="C83" s="430">
        <f>2501555.58+401627.16</f>
        <v>2903182.74</v>
      </c>
      <c r="D83" s="356"/>
      <c r="E83" s="430">
        <f>1888410.63</f>
        <v>1888410.63</v>
      </c>
      <c r="F83" s="356"/>
      <c r="G83" s="430">
        <v>0</v>
      </c>
      <c r="H83" s="356"/>
      <c r="I83" s="430">
        <v>0</v>
      </c>
      <c r="J83" s="356"/>
      <c r="K83" s="430">
        <f t="shared" ref="K83:K96" si="6">SUM(C83:I83)</f>
        <v>4791593.37</v>
      </c>
      <c r="L83" s="381"/>
    </row>
    <row r="84" spans="1:12">
      <c r="A84" s="444">
        <f t="shared" si="5"/>
        <v>4</v>
      </c>
      <c r="B84" s="483">
        <v>1412</v>
      </c>
      <c r="C84" s="430">
        <f>12317638.27+2046920.02</f>
        <v>14364558.289999999</v>
      </c>
      <c r="D84" s="356"/>
      <c r="E84" s="430">
        <f>4504781.74</f>
        <v>4504781.74</v>
      </c>
      <c r="F84" s="356"/>
      <c r="G84" s="430">
        <v>0</v>
      </c>
      <c r="H84" s="356"/>
      <c r="I84" s="430">
        <v>0</v>
      </c>
      <c r="J84" s="356"/>
      <c r="K84" s="430">
        <f t="shared" si="6"/>
        <v>18869340.030000001</v>
      </c>
      <c r="L84" s="381"/>
    </row>
    <row r="85" spans="1:12">
      <c r="A85" s="444">
        <f t="shared" si="5"/>
        <v>5</v>
      </c>
      <c r="B85" s="483">
        <v>1415</v>
      </c>
      <c r="C85" s="430">
        <f>-377.23-4254.69</f>
        <v>-4631.92</v>
      </c>
      <c r="D85" s="356"/>
      <c r="E85" s="430">
        <f>-12908.94</f>
        <v>-12908.94</v>
      </c>
      <c r="F85" s="356"/>
      <c r="G85" s="430">
        <v>0</v>
      </c>
      <c r="H85" s="356"/>
      <c r="I85" s="430">
        <v>0</v>
      </c>
      <c r="J85" s="356"/>
      <c r="K85" s="430">
        <f t="shared" si="6"/>
        <v>-17540.86</v>
      </c>
      <c r="L85" s="381"/>
    </row>
    <row r="86" spans="1:12">
      <c r="A86" s="444">
        <f t="shared" si="5"/>
        <v>6</v>
      </c>
      <c r="B86" s="483">
        <v>1416</v>
      </c>
      <c r="C86" s="430">
        <f>338131.43+36549.88</f>
        <v>374681.31</v>
      </c>
      <c r="D86" s="356"/>
      <c r="E86" s="430">
        <f>186521.88</f>
        <v>186521.88</v>
      </c>
      <c r="F86" s="356"/>
      <c r="G86" s="430">
        <v>0</v>
      </c>
      <c r="H86" s="356"/>
      <c r="I86" s="430">
        <v>0</v>
      </c>
      <c r="J86" s="356"/>
      <c r="K86" s="430">
        <f t="shared" si="6"/>
        <v>561203.18999999994</v>
      </c>
      <c r="L86" s="381"/>
    </row>
    <row r="87" spans="1:12">
      <c r="A87" s="444">
        <f t="shared" si="5"/>
        <v>7</v>
      </c>
      <c r="B87" s="483">
        <v>1421</v>
      </c>
      <c r="C87" s="430">
        <f>1155009.93+179726.06</f>
        <v>1334735.99</v>
      </c>
      <c r="D87" s="356"/>
      <c r="E87" s="430">
        <f>873141.88</f>
        <v>873141.88</v>
      </c>
      <c r="F87" s="356"/>
      <c r="G87" s="430">
        <v>0</v>
      </c>
      <c r="H87" s="356"/>
      <c r="I87" s="430">
        <v>0</v>
      </c>
      <c r="J87" s="356"/>
      <c r="K87" s="430">
        <f t="shared" si="6"/>
        <v>2207877.87</v>
      </c>
      <c r="L87" s="381"/>
    </row>
    <row r="88" spans="1:12">
      <c r="A88" s="444">
        <f t="shared" si="5"/>
        <v>8</v>
      </c>
      <c r="B88" s="483">
        <v>1422</v>
      </c>
      <c r="C88" s="430">
        <f>678912.43+115570.64</f>
        <v>794483.07000000007</v>
      </c>
      <c r="D88" s="356"/>
      <c r="E88" s="430">
        <f>1298.09</f>
        <v>1298.0899999999999</v>
      </c>
      <c r="F88" s="356"/>
      <c r="G88" s="430">
        <v>0</v>
      </c>
      <c r="H88" s="356"/>
      <c r="I88" s="430">
        <v>0</v>
      </c>
      <c r="J88" s="356"/>
      <c r="K88" s="430">
        <f t="shared" si="6"/>
        <v>795781.16</v>
      </c>
      <c r="L88" s="381"/>
    </row>
    <row r="89" spans="1:12">
      <c r="A89" s="444">
        <f t="shared" si="5"/>
        <v>9</v>
      </c>
      <c r="B89" s="483">
        <v>1425</v>
      </c>
      <c r="C89" s="430">
        <f>-10267.81-3268.27</f>
        <v>-13536.08</v>
      </c>
      <c r="D89" s="356"/>
      <c r="E89" s="430">
        <f>-13851.95</f>
        <v>-13851.95</v>
      </c>
      <c r="F89" s="356"/>
      <c r="G89" s="430">
        <v>0</v>
      </c>
      <c r="H89" s="356"/>
      <c r="I89" s="430">
        <v>0</v>
      </c>
      <c r="J89" s="356"/>
      <c r="K89" s="430">
        <f t="shared" si="6"/>
        <v>-27388.03</v>
      </c>
      <c r="L89" s="381"/>
    </row>
    <row r="90" spans="1:12">
      <c r="A90" s="444">
        <f t="shared" si="5"/>
        <v>10</v>
      </c>
      <c r="B90" s="483">
        <v>1426</v>
      </c>
      <c r="C90" s="430">
        <f>8434.23+135.72</f>
        <v>8569.9499999999989</v>
      </c>
      <c r="D90" s="356"/>
      <c r="E90" s="430">
        <v>0</v>
      </c>
      <c r="F90" s="356"/>
      <c r="G90" s="430">
        <v>0</v>
      </c>
      <c r="H90" s="356"/>
      <c r="I90" s="430">
        <v>0</v>
      </c>
      <c r="J90" s="356"/>
      <c r="K90" s="430">
        <f t="shared" si="6"/>
        <v>8569.9499999999989</v>
      </c>
      <c r="L90" s="381"/>
    </row>
    <row r="91" spans="1:12">
      <c r="A91" s="444">
        <f t="shared" si="5"/>
        <v>11</v>
      </c>
      <c r="B91" s="483">
        <v>1431</v>
      </c>
      <c r="C91" s="430">
        <v>0</v>
      </c>
      <c r="D91" s="356"/>
      <c r="E91" s="430">
        <v>0</v>
      </c>
      <c r="F91" s="356"/>
      <c r="G91" s="430">
        <v>0</v>
      </c>
      <c r="H91" s="356"/>
      <c r="I91" s="430">
        <v>0</v>
      </c>
      <c r="J91" s="356"/>
      <c r="K91" s="430">
        <f>SUM(C91:I91)</f>
        <v>0</v>
      </c>
      <c r="L91" s="381"/>
    </row>
    <row r="92" spans="1:12">
      <c r="A92" s="444">
        <f t="shared" si="5"/>
        <v>12</v>
      </c>
      <c r="B92" s="483">
        <v>1432</v>
      </c>
      <c r="C92" s="430">
        <v>0</v>
      </c>
      <c r="D92" s="356"/>
      <c r="E92" s="430">
        <v>0</v>
      </c>
      <c r="F92" s="356"/>
      <c r="G92" s="430">
        <v>0</v>
      </c>
      <c r="H92" s="356"/>
      <c r="I92" s="430">
        <v>0</v>
      </c>
      <c r="J92" s="356"/>
      <c r="K92" s="430">
        <f t="shared" si="6"/>
        <v>0</v>
      </c>
      <c r="L92" s="381"/>
    </row>
    <row r="93" spans="1:12">
      <c r="A93" s="444">
        <f t="shared" si="5"/>
        <v>13</v>
      </c>
      <c r="B93" s="483">
        <v>1441</v>
      </c>
      <c r="C93" s="430">
        <v>0</v>
      </c>
      <c r="D93" s="356"/>
      <c r="E93" s="430">
        <f>2374139.55</f>
        <v>2374139.5499999998</v>
      </c>
      <c r="F93" s="356"/>
      <c r="G93" s="430">
        <v>0</v>
      </c>
      <c r="H93" s="356"/>
      <c r="I93" s="430">
        <v>0</v>
      </c>
      <c r="J93" s="356"/>
      <c r="K93" s="430">
        <f t="shared" si="6"/>
        <v>2374139.5499999998</v>
      </c>
      <c r="L93" s="381"/>
    </row>
    <row r="94" spans="1:12">
      <c r="A94" s="444">
        <f t="shared" si="5"/>
        <v>14</v>
      </c>
      <c r="B94" s="484">
        <v>1442</v>
      </c>
      <c r="C94" s="467">
        <v>0</v>
      </c>
      <c r="D94" s="485"/>
      <c r="E94" s="467">
        <f>112518.65</f>
        <v>112518.65</v>
      </c>
      <c r="F94" s="485"/>
      <c r="G94" s="467">
        <v>0</v>
      </c>
      <c r="H94" s="485"/>
      <c r="I94" s="467">
        <v>0</v>
      </c>
      <c r="J94" s="485"/>
      <c r="K94" s="467">
        <f t="shared" si="6"/>
        <v>112518.65</v>
      </c>
      <c r="L94" s="381"/>
    </row>
    <row r="95" spans="1:12">
      <c r="A95" s="444">
        <f t="shared" si="5"/>
        <v>15</v>
      </c>
      <c r="B95" s="486" t="s">
        <v>1254</v>
      </c>
      <c r="C95" s="487">
        <f>SUM(C83:C94)</f>
        <v>19762043.349999998</v>
      </c>
      <c r="D95" s="356"/>
      <c r="E95" s="487">
        <f>SUM(E83:E94)</f>
        <v>9914051.5299999993</v>
      </c>
      <c r="F95" s="356"/>
      <c r="G95" s="487">
        <f>SUM(G83:G94)</f>
        <v>0</v>
      </c>
      <c r="H95" s="356"/>
      <c r="I95" s="487">
        <f>SUM(I83:I94)</f>
        <v>0</v>
      </c>
      <c r="J95" s="356"/>
      <c r="K95" s="487">
        <f t="shared" si="6"/>
        <v>29676094.879999995</v>
      </c>
      <c r="L95" s="381"/>
    </row>
    <row r="96" spans="1:12">
      <c r="A96" s="444">
        <f t="shared" si="5"/>
        <v>16</v>
      </c>
      <c r="B96" s="486" t="s">
        <v>1253</v>
      </c>
      <c r="C96" s="487">
        <f>C95*C12</f>
        <v>18826979.281322058</v>
      </c>
      <c r="D96" s="356"/>
      <c r="E96" s="487">
        <f>E95*E12</f>
        <v>123553.21857633088</v>
      </c>
      <c r="F96" s="356"/>
      <c r="G96" s="487">
        <v>0</v>
      </c>
      <c r="H96" s="356"/>
      <c r="I96" s="487">
        <v>0</v>
      </c>
      <c r="J96" s="356"/>
      <c r="K96" s="487">
        <f t="shared" si="6"/>
        <v>18950532.499898389</v>
      </c>
      <c r="L96" s="381"/>
    </row>
    <row r="97" spans="1:12">
      <c r="A97" s="444">
        <f t="shared" si="5"/>
        <v>17</v>
      </c>
      <c r="B97" s="486" t="s">
        <v>1252</v>
      </c>
      <c r="C97" s="487">
        <f>C95*C11</f>
        <v>188858.56192150369</v>
      </c>
      <c r="D97" s="356"/>
      <c r="E97" s="487">
        <v>0</v>
      </c>
      <c r="F97" s="487"/>
      <c r="G97" s="487">
        <f>I95-I96</f>
        <v>0</v>
      </c>
      <c r="H97" s="356"/>
      <c r="I97" s="356">
        <v>0</v>
      </c>
      <c r="J97" s="356"/>
      <c r="K97" s="487">
        <f>SUM(C97:G97)</f>
        <v>188858.56192150369</v>
      </c>
      <c r="L97" s="381"/>
    </row>
    <row r="98" spans="1:12">
      <c r="A98" s="444">
        <f t="shared" si="5"/>
        <v>18</v>
      </c>
      <c r="B98" s="486" t="s">
        <v>1251</v>
      </c>
      <c r="C98" s="487">
        <f>C95*C13</f>
        <v>187223.74573673302</v>
      </c>
      <c r="D98" s="356"/>
      <c r="E98" s="487">
        <v>0</v>
      </c>
      <c r="F98" s="487"/>
      <c r="G98" s="487">
        <v>0</v>
      </c>
      <c r="H98" s="356"/>
      <c r="I98" s="356">
        <v>0</v>
      </c>
      <c r="J98" s="356"/>
      <c r="K98" s="487">
        <f>SUM(C98:G98)</f>
        <v>187223.74573673302</v>
      </c>
      <c r="L98" s="381"/>
    </row>
    <row r="99" spans="1:12">
      <c r="A99" s="444">
        <f t="shared" si="5"/>
        <v>19</v>
      </c>
      <c r="B99" s="488" t="s">
        <v>1250</v>
      </c>
      <c r="C99" s="487"/>
      <c r="D99" s="356"/>
      <c r="E99" s="487"/>
      <c r="F99" s="487"/>
      <c r="G99" s="487"/>
      <c r="H99" s="356"/>
      <c r="I99" s="356"/>
      <c r="J99" s="356"/>
      <c r="K99" s="487"/>
      <c r="L99" s="381"/>
    </row>
    <row r="100" spans="1:12">
      <c r="A100" s="444">
        <f t="shared" si="5"/>
        <v>20</v>
      </c>
      <c r="B100" s="488" t="s">
        <v>1249</v>
      </c>
      <c r="C100" s="487"/>
      <c r="D100" s="356"/>
      <c r="E100" s="487"/>
      <c r="F100" s="487"/>
      <c r="G100" s="487"/>
      <c r="H100" s="356"/>
      <c r="I100" s="356"/>
      <c r="J100" s="356"/>
      <c r="K100" s="487"/>
      <c r="L100" s="381"/>
    </row>
    <row r="101" spans="1:12">
      <c r="A101" s="444">
        <f t="shared" si="5"/>
        <v>21</v>
      </c>
      <c r="B101" s="488" t="s">
        <v>1248</v>
      </c>
      <c r="C101" s="487"/>
      <c r="D101" s="356"/>
      <c r="E101" s="487"/>
      <c r="F101" s="487"/>
      <c r="G101" s="487"/>
      <c r="H101" s="356"/>
      <c r="I101" s="356"/>
      <c r="J101" s="356"/>
      <c r="K101" s="487"/>
      <c r="L101" s="381"/>
    </row>
    <row r="102" spans="1:12">
      <c r="A102" s="444">
        <f t="shared" si="5"/>
        <v>22</v>
      </c>
      <c r="B102" s="488" t="s">
        <v>1247</v>
      </c>
      <c r="C102" s="487"/>
      <c r="D102" s="356"/>
      <c r="E102" s="487"/>
      <c r="F102" s="487"/>
      <c r="G102" s="487"/>
      <c r="H102" s="356"/>
      <c r="I102" s="356"/>
      <c r="J102" s="356"/>
      <c r="K102" s="487"/>
      <c r="L102" s="381"/>
    </row>
    <row r="103" spans="1:12">
      <c r="A103" s="444">
        <f t="shared" si="5"/>
        <v>23</v>
      </c>
      <c r="B103" s="488" t="s">
        <v>1245</v>
      </c>
      <c r="C103" s="487"/>
      <c r="D103" s="356"/>
      <c r="E103" s="487"/>
      <c r="F103" s="487"/>
      <c r="G103" s="487"/>
      <c r="H103" s="356"/>
      <c r="I103" s="356"/>
      <c r="J103" s="356"/>
      <c r="K103" s="487"/>
      <c r="L103" s="381"/>
    </row>
    <row r="104" spans="1:12">
      <c r="A104" s="444">
        <f t="shared" si="5"/>
        <v>24</v>
      </c>
      <c r="B104" s="488" t="s">
        <v>1246</v>
      </c>
      <c r="C104" s="487"/>
      <c r="D104" s="356"/>
      <c r="E104" s="487"/>
      <c r="F104" s="487"/>
      <c r="G104" s="487"/>
      <c r="H104" s="356"/>
      <c r="I104" s="356"/>
      <c r="J104" s="356"/>
      <c r="K104" s="487"/>
      <c r="L104" s="381"/>
    </row>
    <row r="105" spans="1:12">
      <c r="A105" s="444">
        <f t="shared" si="5"/>
        <v>25</v>
      </c>
      <c r="B105" s="488" t="s">
        <v>1245</v>
      </c>
      <c r="C105" s="487"/>
      <c r="D105" s="356"/>
      <c r="E105" s="487"/>
      <c r="F105" s="487"/>
      <c r="G105" s="487"/>
      <c r="H105" s="356"/>
      <c r="I105" s="356"/>
      <c r="J105" s="356"/>
      <c r="K105" s="487"/>
      <c r="L105" s="381"/>
    </row>
    <row r="106" spans="1:12" ht="13.5" thickBot="1">
      <c r="A106" s="448">
        <f t="shared" si="5"/>
        <v>26</v>
      </c>
      <c r="B106" s="489" t="s">
        <v>1244</v>
      </c>
      <c r="C106" s="490"/>
      <c r="D106" s="379"/>
      <c r="E106" s="490"/>
      <c r="F106" s="490"/>
      <c r="G106" s="490"/>
      <c r="H106" s="379"/>
      <c r="I106" s="379"/>
      <c r="J106" s="379"/>
      <c r="K106" s="490"/>
      <c r="L106" s="383"/>
    </row>
    <row r="107" spans="1:12">
      <c r="A107" s="354" t="str">
        <f>A1</f>
        <v>WAPA-UGP 2018 Rate True-up Calculation</v>
      </c>
      <c r="B107" s="443"/>
      <c r="C107" s="355"/>
      <c r="D107" s="355"/>
      <c r="E107" s="355"/>
      <c r="F107" s="355"/>
      <c r="G107" s="355"/>
      <c r="H107" s="355"/>
      <c r="I107" s="355"/>
      <c r="J107" s="355"/>
      <c r="K107" s="355"/>
      <c r="L107" s="380"/>
    </row>
    <row r="108" spans="1:12">
      <c r="A108" s="444"/>
      <c r="B108" s="445"/>
      <c r="C108" s="445" t="s">
        <v>1243</v>
      </c>
      <c r="D108" s="446"/>
      <c r="E108" s="445" t="s">
        <v>1242</v>
      </c>
      <c r="F108" s="446"/>
      <c r="G108" s="445" t="s">
        <v>957</v>
      </c>
      <c r="H108" s="447"/>
      <c r="I108" s="445" t="s">
        <v>1241</v>
      </c>
      <c r="J108" s="447"/>
      <c r="K108" s="445" t="s">
        <v>961</v>
      </c>
      <c r="L108" s="381"/>
    </row>
    <row r="109" spans="1:12" s="349" customFormat="1" ht="13.5" thickBot="1">
      <c r="A109" s="448" t="s">
        <v>0</v>
      </c>
      <c r="B109" s="362">
        <v>-1</v>
      </c>
      <c r="C109" s="449">
        <v>-2</v>
      </c>
      <c r="D109" s="450"/>
      <c r="E109" s="449">
        <v>-3</v>
      </c>
      <c r="F109" s="450"/>
      <c r="G109" s="362">
        <v>-4</v>
      </c>
      <c r="H109" s="451"/>
      <c r="I109" s="362">
        <v>-5</v>
      </c>
      <c r="J109" s="451"/>
      <c r="K109" s="362">
        <v>-6</v>
      </c>
      <c r="L109" s="452"/>
    </row>
    <row r="110" spans="1:12">
      <c r="A110" s="498">
        <v>1</v>
      </c>
      <c r="B110" s="499" t="s">
        <v>1240</v>
      </c>
      <c r="C110" s="500"/>
      <c r="D110" s="500"/>
      <c r="E110" s="500"/>
      <c r="F110" s="500"/>
      <c r="G110" s="500"/>
      <c r="H110" s="355"/>
      <c r="I110" s="355"/>
      <c r="J110" s="355"/>
      <c r="K110" s="355"/>
      <c r="L110" s="380"/>
    </row>
    <row r="111" spans="1:12">
      <c r="A111" s="444">
        <f t="shared" ref="A111:A134" si="7">A110+1</f>
        <v>2</v>
      </c>
      <c r="B111" s="481"/>
      <c r="C111" s="491" t="s">
        <v>2296</v>
      </c>
      <c r="D111" s="356"/>
      <c r="E111" s="491" t="s">
        <v>2297</v>
      </c>
      <c r="F111" s="356"/>
      <c r="G111" s="491" t="s">
        <v>1239</v>
      </c>
      <c r="H111" s="356"/>
      <c r="I111" s="491" t="s">
        <v>1238</v>
      </c>
      <c r="J111" s="356"/>
      <c r="K111" s="491" t="s">
        <v>980</v>
      </c>
      <c r="L111" s="381"/>
    </row>
    <row r="112" spans="1:12">
      <c r="A112" s="444">
        <f t="shared" si="7"/>
        <v>3</v>
      </c>
      <c r="B112" s="481" t="s">
        <v>1237</v>
      </c>
      <c r="C112" s="470">
        <f>175904301.28+12282315.45</f>
        <v>188186616.72999999</v>
      </c>
      <c r="D112" s="356"/>
      <c r="E112" s="470">
        <f>78180143.23</f>
        <v>78180143.230000004</v>
      </c>
      <c r="F112" s="356"/>
      <c r="G112" s="470">
        <f>7387237+8981375+8757921+6041294+7109940+8465763</f>
        <v>46743530</v>
      </c>
      <c r="H112" s="356"/>
      <c r="I112" s="470">
        <f>42616977.9</f>
        <v>42616977.899999999</v>
      </c>
      <c r="J112" s="356"/>
      <c r="K112" s="470">
        <f>SUM(C112:I112)</f>
        <v>355727267.85999995</v>
      </c>
      <c r="L112" s="381"/>
    </row>
    <row r="113" spans="1:12">
      <c r="A113" s="444">
        <f t="shared" si="7"/>
        <v>4</v>
      </c>
      <c r="B113" s="492" t="s">
        <v>1236</v>
      </c>
      <c r="C113" s="470"/>
      <c r="D113" s="356"/>
      <c r="E113" s="470"/>
      <c r="F113" s="356"/>
      <c r="G113" s="470"/>
      <c r="H113" s="356"/>
      <c r="I113" s="470"/>
      <c r="J113" s="356"/>
      <c r="K113" s="470"/>
      <c r="L113" s="381"/>
    </row>
    <row r="114" spans="1:12">
      <c r="A114" s="444">
        <f t="shared" si="7"/>
        <v>5</v>
      </c>
      <c r="B114" s="492" t="s">
        <v>1235</v>
      </c>
      <c r="C114" s="470">
        <f>16979809.85+84608670.23</f>
        <v>101588480.08000001</v>
      </c>
      <c r="D114" s="356"/>
      <c r="E114" s="470">
        <f>15381796.54+6927236.28</f>
        <v>22309032.82</v>
      </c>
      <c r="F114" s="356"/>
      <c r="G114" s="470"/>
      <c r="H114" s="356"/>
      <c r="I114" s="470"/>
      <c r="J114" s="356"/>
      <c r="K114" s="470">
        <f>SUM(C114:I114)</f>
        <v>123897512.90000001</v>
      </c>
      <c r="L114" s="381"/>
    </row>
    <row r="115" spans="1:12">
      <c r="A115" s="444">
        <f t="shared" si="7"/>
        <v>6</v>
      </c>
      <c r="B115" s="492" t="s">
        <v>1234</v>
      </c>
      <c r="C115" s="516">
        <f>C95</f>
        <v>19762043.349999998</v>
      </c>
      <c r="D115" s="356"/>
      <c r="E115" s="470">
        <f>E95</f>
        <v>9914051.5299999993</v>
      </c>
      <c r="F115" s="356"/>
      <c r="G115" s="470"/>
      <c r="H115" s="356"/>
      <c r="I115" s="470"/>
      <c r="J115" s="356"/>
      <c r="K115" s="470">
        <f>SUM(C115:I115)</f>
        <v>29676094.879999995</v>
      </c>
      <c r="L115" s="381"/>
    </row>
    <row r="116" spans="1:12">
      <c r="A116" s="444">
        <f t="shared" si="7"/>
        <v>7</v>
      </c>
      <c r="B116" s="492" t="s">
        <v>1233</v>
      </c>
      <c r="C116" s="470">
        <f>330344.62+0</f>
        <v>330344.62</v>
      </c>
      <c r="D116" s="356"/>
      <c r="E116" s="470">
        <v>0</v>
      </c>
      <c r="F116" s="356"/>
      <c r="G116" s="470"/>
      <c r="H116" s="356"/>
      <c r="I116" s="470"/>
      <c r="J116" s="356"/>
      <c r="K116" s="470">
        <f>SUM(C116:I116)</f>
        <v>330344.62</v>
      </c>
      <c r="L116" s="381"/>
    </row>
    <row r="117" spans="1:12">
      <c r="A117" s="444"/>
      <c r="B117" s="492" t="s">
        <v>2585</v>
      </c>
      <c r="C117" s="470">
        <v>0</v>
      </c>
      <c r="D117" s="356"/>
      <c r="E117" s="470">
        <v>0</v>
      </c>
      <c r="F117" s="356"/>
      <c r="G117" s="470"/>
      <c r="H117" s="356"/>
      <c r="I117" s="470"/>
      <c r="J117" s="356"/>
      <c r="K117" s="470">
        <f>SUM(C117:I117)</f>
        <v>0</v>
      </c>
      <c r="L117" s="381"/>
    </row>
    <row r="118" spans="1:12">
      <c r="A118" s="444">
        <f>A116+1</f>
        <v>8</v>
      </c>
      <c r="B118" s="492" t="s">
        <v>1232</v>
      </c>
      <c r="C118" s="470"/>
      <c r="D118" s="356"/>
      <c r="E118" s="470"/>
      <c r="F118" s="356"/>
      <c r="G118" s="470"/>
      <c r="H118" s="356"/>
      <c r="I118" s="470"/>
      <c r="J118" s="356"/>
      <c r="K118" s="470"/>
      <c r="L118" s="381"/>
    </row>
    <row r="119" spans="1:12">
      <c r="A119" s="444">
        <f t="shared" si="7"/>
        <v>9</v>
      </c>
      <c r="B119" s="492" t="s">
        <v>1231</v>
      </c>
      <c r="C119" s="470">
        <f>684755+196345</f>
        <v>881100</v>
      </c>
      <c r="D119" s="356"/>
      <c r="E119" s="470">
        <f>393283</f>
        <v>393283</v>
      </c>
      <c r="F119" s="356"/>
      <c r="G119" s="470"/>
      <c r="H119" s="356"/>
      <c r="I119" s="470"/>
      <c r="J119" s="356"/>
      <c r="K119" s="470">
        <f>SUM(C119:I119)</f>
        <v>1274383</v>
      </c>
      <c r="L119" s="381"/>
    </row>
    <row r="120" spans="1:12">
      <c r="A120" s="444">
        <f t="shared" si="7"/>
        <v>10</v>
      </c>
      <c r="B120" s="492" t="s">
        <v>1230</v>
      </c>
      <c r="C120" s="470">
        <f>107655+33060</f>
        <v>140715</v>
      </c>
      <c r="D120" s="356"/>
      <c r="E120" s="470">
        <f>66757</f>
        <v>66757</v>
      </c>
      <c r="F120" s="356"/>
      <c r="G120" s="470"/>
      <c r="H120" s="356"/>
      <c r="I120" s="470"/>
      <c r="J120" s="356"/>
      <c r="K120" s="470">
        <f>SUM(C120:I120)</f>
        <v>207472</v>
      </c>
      <c r="L120" s="381"/>
    </row>
    <row r="121" spans="1:12">
      <c r="A121" s="444">
        <f t="shared" si="7"/>
        <v>11</v>
      </c>
      <c r="B121" s="493" t="s">
        <v>1229</v>
      </c>
      <c r="C121" s="494">
        <f>8354409.05+2523668.91</f>
        <v>10878077.960000001</v>
      </c>
      <c r="D121" s="495"/>
      <c r="E121" s="494">
        <v>0</v>
      </c>
      <c r="F121" s="495"/>
      <c r="G121" s="494"/>
      <c r="H121" s="495"/>
      <c r="I121" s="494"/>
      <c r="J121" s="495"/>
      <c r="K121" s="494">
        <f>SUM(C121:I121)</f>
        <v>10878077.960000001</v>
      </c>
      <c r="L121" s="381"/>
    </row>
    <row r="122" spans="1:12">
      <c r="A122" s="444">
        <f t="shared" si="7"/>
        <v>12</v>
      </c>
      <c r="B122" s="496" t="s">
        <v>1228</v>
      </c>
      <c r="C122" s="497">
        <f>C112-C114-C115-C116-C117+C119+C120</f>
        <v>67527563.679999977</v>
      </c>
      <c r="D122" s="356"/>
      <c r="E122" s="497">
        <f>E112-E114-E115-E116+E119+E120</f>
        <v>46417098.880000003</v>
      </c>
      <c r="F122" s="497"/>
      <c r="G122" s="497">
        <f>G112-G114-G115-G116+G119+G120</f>
        <v>46743530</v>
      </c>
      <c r="H122" s="497"/>
      <c r="I122" s="497">
        <f>I112-I114-I115-I116+I119+I120</f>
        <v>42616977.899999999</v>
      </c>
      <c r="J122" s="356"/>
      <c r="K122" s="497">
        <f>K112-K114-K115-K116+K119+K120</f>
        <v>203305170.45999995</v>
      </c>
      <c r="L122" s="381"/>
    </row>
    <row r="123" spans="1:12">
      <c r="A123" s="444">
        <f t="shared" si="7"/>
        <v>13</v>
      </c>
      <c r="B123" s="496" t="s">
        <v>1227</v>
      </c>
      <c r="C123" s="497">
        <f>C122*C12</f>
        <v>64332418.455175363</v>
      </c>
      <c r="D123" s="356"/>
      <c r="E123" s="497">
        <f>E122*E12</f>
        <v>578470.05800259381</v>
      </c>
      <c r="F123" s="356"/>
      <c r="G123" s="497">
        <f>G122*G12</f>
        <v>2671880.6211071783</v>
      </c>
      <c r="H123" s="356"/>
      <c r="I123" s="497">
        <f>I122*I12</f>
        <v>0</v>
      </c>
      <c r="J123" s="356"/>
      <c r="K123" s="497">
        <f>SUM(C123:I123)</f>
        <v>67582769.134285137</v>
      </c>
      <c r="L123" s="381"/>
    </row>
    <row r="124" spans="1:12">
      <c r="A124" s="444">
        <f t="shared" si="7"/>
        <v>14</v>
      </c>
      <c r="B124" s="496" t="s">
        <v>1226</v>
      </c>
      <c r="C124" s="497">
        <f>C122*C11</f>
        <v>645336.02830435848</v>
      </c>
      <c r="D124" s="356"/>
      <c r="E124" s="497">
        <v>0</v>
      </c>
      <c r="F124" s="356"/>
      <c r="G124" s="470">
        <f>G122*G11</f>
        <v>44071649.378892824</v>
      </c>
      <c r="H124" s="356"/>
      <c r="I124" s="470">
        <f>I122*I11</f>
        <v>42616977.899999999</v>
      </c>
      <c r="J124" s="356"/>
      <c r="K124" s="497">
        <f>SUM(C124:I124)</f>
        <v>87333963.307197183</v>
      </c>
      <c r="L124" s="381"/>
    </row>
    <row r="125" spans="1:12">
      <c r="A125" s="444">
        <f t="shared" si="7"/>
        <v>15</v>
      </c>
      <c r="B125" s="470" t="s">
        <v>1225</v>
      </c>
      <c r="C125" s="470"/>
      <c r="D125" s="470"/>
      <c r="E125" s="470"/>
      <c r="F125" s="470"/>
      <c r="G125" s="470"/>
      <c r="H125" s="356"/>
      <c r="I125" s="356"/>
      <c r="J125" s="356"/>
      <c r="K125" s="356"/>
      <c r="L125" s="381"/>
    </row>
    <row r="126" spans="1:12">
      <c r="A126" s="444">
        <f t="shared" si="7"/>
        <v>16</v>
      </c>
      <c r="B126" s="470" t="s">
        <v>1224</v>
      </c>
      <c r="C126" s="470"/>
      <c r="D126" s="470"/>
      <c r="E126" s="470"/>
      <c r="F126" s="470"/>
      <c r="G126" s="470"/>
      <c r="H126" s="356"/>
      <c r="I126" s="356"/>
      <c r="J126" s="356"/>
      <c r="K126" s="356"/>
      <c r="L126" s="381"/>
    </row>
    <row r="127" spans="1:12">
      <c r="A127" s="444">
        <f t="shared" si="7"/>
        <v>17</v>
      </c>
      <c r="B127" s="470" t="s">
        <v>1223</v>
      </c>
      <c r="C127" s="470"/>
      <c r="D127" s="470"/>
      <c r="E127" s="470"/>
      <c r="F127" s="470"/>
      <c r="G127" s="470"/>
      <c r="H127" s="356"/>
      <c r="I127" s="356"/>
      <c r="J127" s="356"/>
      <c r="K127" s="356"/>
      <c r="L127" s="381"/>
    </row>
    <row r="128" spans="1:12">
      <c r="A128" s="444">
        <f t="shared" si="7"/>
        <v>18</v>
      </c>
      <c r="B128" s="470" t="s">
        <v>1222</v>
      </c>
      <c r="C128" s="470"/>
      <c r="D128" s="470"/>
      <c r="E128" s="470"/>
      <c r="F128" s="470"/>
      <c r="G128" s="470"/>
      <c r="H128" s="356"/>
      <c r="I128" s="356"/>
      <c r="J128" s="356"/>
      <c r="K128" s="356"/>
      <c r="L128" s="381"/>
    </row>
    <row r="129" spans="1:12">
      <c r="A129" s="444">
        <f t="shared" si="7"/>
        <v>19</v>
      </c>
      <c r="B129" s="470" t="s">
        <v>1221</v>
      </c>
      <c r="C129" s="470"/>
      <c r="D129" s="470"/>
      <c r="E129" s="470"/>
      <c r="F129" s="470"/>
      <c r="G129" s="470"/>
      <c r="H129" s="356"/>
      <c r="I129" s="356"/>
      <c r="J129" s="356"/>
      <c r="K129" s="356"/>
      <c r="L129" s="381"/>
    </row>
    <row r="130" spans="1:12">
      <c r="A130" s="444">
        <f t="shared" si="7"/>
        <v>20</v>
      </c>
      <c r="B130" s="470" t="s">
        <v>1220</v>
      </c>
      <c r="C130" s="470"/>
      <c r="D130" s="470"/>
      <c r="E130" s="470"/>
      <c r="F130" s="470"/>
      <c r="G130" s="470"/>
      <c r="H130" s="356"/>
      <c r="I130" s="356"/>
      <c r="J130" s="356"/>
      <c r="K130" s="356"/>
      <c r="L130" s="381"/>
    </row>
    <row r="131" spans="1:12">
      <c r="A131" s="444">
        <f t="shared" si="7"/>
        <v>21</v>
      </c>
      <c r="B131" s="470" t="s">
        <v>1219</v>
      </c>
      <c r="C131" s="470"/>
      <c r="D131" s="470"/>
      <c r="E131" s="470"/>
      <c r="F131" s="470"/>
      <c r="G131" s="470"/>
      <c r="H131" s="356"/>
      <c r="I131" s="356"/>
      <c r="J131" s="356"/>
      <c r="K131" s="356"/>
      <c r="L131" s="381"/>
    </row>
    <row r="132" spans="1:12">
      <c r="A132" s="444">
        <f t="shared" si="7"/>
        <v>22</v>
      </c>
      <c r="B132" s="470" t="s">
        <v>1218</v>
      </c>
      <c r="C132" s="470"/>
      <c r="D132" s="470"/>
      <c r="E132" s="470"/>
      <c r="F132" s="470"/>
      <c r="G132" s="470"/>
      <c r="H132" s="356"/>
      <c r="I132" s="356"/>
      <c r="J132" s="356"/>
      <c r="K132" s="356"/>
      <c r="L132" s="381"/>
    </row>
    <row r="133" spans="1:12">
      <c r="A133" s="444">
        <f t="shared" si="7"/>
        <v>23</v>
      </c>
      <c r="B133" s="470" t="s">
        <v>1217</v>
      </c>
      <c r="C133" s="470"/>
      <c r="D133" s="470"/>
      <c r="E133" s="470"/>
      <c r="F133" s="470"/>
      <c r="G133" s="470"/>
      <c r="H133" s="356"/>
      <c r="I133" s="356"/>
      <c r="J133" s="356"/>
      <c r="K133" s="356"/>
      <c r="L133" s="381"/>
    </row>
    <row r="134" spans="1:12" ht="13.5" thickBot="1">
      <c r="A134" s="448">
        <f t="shared" si="7"/>
        <v>24</v>
      </c>
      <c r="B134" s="471" t="s">
        <v>1216</v>
      </c>
      <c r="C134" s="471"/>
      <c r="D134" s="471"/>
      <c r="E134" s="471"/>
      <c r="F134" s="471"/>
      <c r="G134" s="471"/>
      <c r="H134" s="379"/>
      <c r="I134" s="379"/>
      <c r="J134" s="379"/>
      <c r="K134" s="379"/>
      <c r="L134" s="383"/>
    </row>
    <row r="135" spans="1:12">
      <c r="C135" s="350"/>
      <c r="D135" s="350"/>
      <c r="E135" s="350"/>
      <c r="F135" s="350"/>
      <c r="G135" s="350"/>
    </row>
    <row r="136" spans="1:12">
      <c r="B136" s="350"/>
      <c r="C136" s="350"/>
      <c r="D136" s="350"/>
      <c r="E136" s="350"/>
      <c r="F136" s="350"/>
      <c r="G136" s="350"/>
    </row>
    <row r="137" spans="1:12">
      <c r="C137" s="350"/>
      <c r="D137" s="350"/>
      <c r="E137" s="350"/>
      <c r="F137" s="350"/>
      <c r="G137" s="350"/>
    </row>
    <row r="138" spans="1:12">
      <c r="B138" s="350"/>
      <c r="C138" s="350"/>
      <c r="D138" s="350"/>
      <c r="E138" s="350"/>
      <c r="F138" s="350"/>
      <c r="G138" s="350"/>
    </row>
  </sheetData>
  <pageMargins left="0.7" right="0.7" top="0.75" bottom="0.75" header="0.3" footer="0.3"/>
  <pageSetup scale="75" fitToHeight="0" orientation="landscape" r:id="rId1"/>
  <headerFooter>
    <oddFooter>&amp;R&amp;A</oddFooter>
  </headerFooter>
  <rowBreaks count="4" manualBreakCount="4">
    <brk id="33" max="16383" man="1"/>
    <brk id="51" max="16383" man="1"/>
    <brk id="77" max="16383" man="1"/>
    <brk id="106"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Normal="100" zoomScaleSheetLayoutView="100" workbookViewId="0">
      <selection activeCell="A2" sqref="A2"/>
    </sheetView>
  </sheetViews>
  <sheetFormatPr defaultColWidth="13.1796875" defaultRowHeight="14.5"/>
  <cols>
    <col min="1" max="1" width="9.7265625" style="351" customWidth="1"/>
    <col min="2" max="2" width="22.26953125" style="351" customWidth="1"/>
    <col min="3" max="3" width="14.81640625" style="351" customWidth="1"/>
    <col min="4" max="4" width="16.7265625" style="351" customWidth="1"/>
    <col min="5" max="11" width="13.1796875" style="351"/>
    <col min="12" max="12" width="13.81640625" style="351" bestFit="1" customWidth="1"/>
    <col min="13" max="16384" width="13.1796875" style="351"/>
  </cols>
  <sheetData>
    <row r="1" spans="1:13">
      <c r="A1" s="702" t="str">
        <f>'Cover Sheets'!A10:D10</f>
        <v>WAPA-UGP 2018 Rate True-up Calculation</v>
      </c>
      <c r="B1" s="714"/>
      <c r="C1" s="398"/>
      <c r="D1" s="398"/>
      <c r="E1" s="398"/>
      <c r="F1" s="398"/>
      <c r="G1" s="398"/>
      <c r="H1" s="398"/>
      <c r="I1" s="398"/>
      <c r="J1" s="398"/>
      <c r="K1" s="398"/>
      <c r="L1" s="398"/>
      <c r="M1" s="398"/>
    </row>
    <row r="2" spans="1:13">
      <c r="A2" s="816" t="s">
        <v>2559</v>
      </c>
      <c r="B2" s="714"/>
      <c r="C2" s="398"/>
      <c r="D2" s="398"/>
      <c r="E2" s="398"/>
      <c r="F2" s="398"/>
      <c r="G2" s="398"/>
      <c r="H2" s="398"/>
      <c r="I2" s="398"/>
      <c r="J2" s="398"/>
      <c r="K2" s="398"/>
      <c r="L2" s="398"/>
      <c r="M2" s="398"/>
    </row>
    <row r="3" spans="1:13">
      <c r="A3" s="703" t="str">
        <f>'Summary-TrueUp'!A3</f>
        <v>12 Months Ending 09/30/2018 True-up</v>
      </c>
      <c r="B3" s="398"/>
      <c r="C3" s="398"/>
      <c r="D3" s="398"/>
      <c r="E3" s="398"/>
      <c r="F3" s="398"/>
      <c r="G3" s="398"/>
      <c r="H3" s="398"/>
      <c r="I3" s="398"/>
      <c r="J3" s="398"/>
      <c r="K3" s="398"/>
      <c r="L3" s="398"/>
      <c r="M3" s="398"/>
    </row>
    <row r="4" spans="1:13" ht="39.5">
      <c r="A4" s="703"/>
      <c r="B4" s="358" t="s">
        <v>2503</v>
      </c>
      <c r="C4" s="359" t="s">
        <v>2504</v>
      </c>
      <c r="D4" s="358" t="s">
        <v>2505</v>
      </c>
      <c r="E4" s="358" t="s">
        <v>2525</v>
      </c>
      <c r="F4" s="358" t="s">
        <v>2506</v>
      </c>
      <c r="G4" s="358" t="s">
        <v>2507</v>
      </c>
      <c r="H4" s="358" t="s">
        <v>2508</v>
      </c>
      <c r="I4" s="358" t="s">
        <v>2509</v>
      </c>
      <c r="J4" s="358" t="s">
        <v>2510</v>
      </c>
      <c r="K4" s="358" t="s">
        <v>2511</v>
      </c>
      <c r="L4" s="358" t="s">
        <v>2510</v>
      </c>
      <c r="M4" s="358" t="s">
        <v>2512</v>
      </c>
    </row>
    <row r="5" spans="1:13">
      <c r="A5" s="715" t="s">
        <v>1385</v>
      </c>
      <c r="B5" s="716">
        <v>-1</v>
      </c>
      <c r="C5" s="716">
        <v>-2</v>
      </c>
      <c r="D5" s="716">
        <v>-3</v>
      </c>
      <c r="E5" s="716">
        <v>-4</v>
      </c>
      <c r="F5" s="716">
        <v>-5</v>
      </c>
      <c r="G5" s="716">
        <v>-6</v>
      </c>
      <c r="H5" s="716">
        <v>-7</v>
      </c>
      <c r="I5" s="716">
        <v>-8</v>
      </c>
      <c r="J5" s="716">
        <v>-9</v>
      </c>
      <c r="K5" s="716">
        <v>-10</v>
      </c>
      <c r="L5" s="716">
        <v>-11</v>
      </c>
      <c r="M5" s="716">
        <v>-12</v>
      </c>
    </row>
    <row r="6" spans="1:13">
      <c r="A6" s="717">
        <v>1</v>
      </c>
      <c r="B6" s="718"/>
      <c r="C6" s="719" t="s">
        <v>8</v>
      </c>
      <c r="D6" s="720">
        <v>0</v>
      </c>
      <c r="E6" s="721"/>
      <c r="F6" s="720"/>
      <c r="G6" s="722"/>
      <c r="H6" s="723"/>
      <c r="I6" s="722"/>
      <c r="J6" s="721"/>
      <c r="K6" s="720"/>
      <c r="L6" s="724">
        <f>J6*K6</f>
        <v>0</v>
      </c>
      <c r="M6" s="725">
        <f>L6+G6+I6+H6</f>
        <v>0</v>
      </c>
    </row>
    <row r="7" spans="1:13">
      <c r="A7" s="717">
        <f t="shared" ref="A7:A19" si="0">A6+1</f>
        <v>2</v>
      </c>
      <c r="B7" s="726"/>
      <c r="C7" s="722"/>
      <c r="D7" s="406"/>
      <c r="E7" s="406"/>
      <c r="F7" s="406"/>
      <c r="G7" s="406"/>
      <c r="H7" s="406"/>
      <c r="I7" s="406"/>
      <c r="J7" s="406"/>
      <c r="K7" s="406"/>
      <c r="L7" s="406"/>
      <c r="M7" s="406"/>
    </row>
    <row r="8" spans="1:13">
      <c r="A8" s="717">
        <f t="shared" si="0"/>
        <v>3</v>
      </c>
      <c r="B8" s="726"/>
      <c r="C8" s="722"/>
      <c r="D8" s="406"/>
      <c r="E8" s="406"/>
      <c r="F8" s="406"/>
      <c r="G8" s="406"/>
      <c r="H8" s="406"/>
      <c r="I8" s="406"/>
      <c r="J8" s="406"/>
      <c r="K8" s="406"/>
      <c r="L8" s="406"/>
      <c r="M8" s="406"/>
    </row>
    <row r="9" spans="1:13">
      <c r="A9" s="717">
        <f t="shared" si="0"/>
        <v>4</v>
      </c>
      <c r="B9" s="726"/>
      <c r="C9" s="722"/>
      <c r="D9" s="406"/>
      <c r="E9" s="406"/>
      <c r="F9" s="406"/>
      <c r="G9" s="406"/>
      <c r="H9" s="406"/>
      <c r="I9" s="406"/>
      <c r="J9" s="406"/>
      <c r="K9" s="406"/>
      <c r="L9" s="406"/>
      <c r="M9" s="406"/>
    </row>
    <row r="10" spans="1:13">
      <c r="A10" s="717">
        <f t="shared" si="0"/>
        <v>5</v>
      </c>
      <c r="B10" s="726"/>
      <c r="C10" s="722"/>
      <c r="D10" s="727"/>
      <c r="E10" s="727"/>
      <c r="F10" s="727"/>
      <c r="G10" s="727"/>
      <c r="H10" s="727"/>
      <c r="I10" s="727"/>
      <c r="J10" s="727"/>
      <c r="K10" s="727"/>
      <c r="L10" s="727"/>
      <c r="M10" s="727"/>
    </row>
    <row r="11" spans="1:13">
      <c r="A11" s="717">
        <f t="shared" si="0"/>
        <v>6</v>
      </c>
      <c r="B11" s="726"/>
      <c r="C11" s="406"/>
      <c r="D11" s="406"/>
      <c r="E11" s="406"/>
      <c r="F11" s="406"/>
      <c r="G11" s="406"/>
      <c r="H11" s="406"/>
      <c r="I11" s="406"/>
      <c r="J11" s="406"/>
      <c r="K11" s="406"/>
      <c r="L11" s="406"/>
      <c r="M11" s="406"/>
    </row>
    <row r="12" spans="1:13">
      <c r="A12" s="717">
        <f t="shared" si="0"/>
        <v>7</v>
      </c>
      <c r="B12" s="718"/>
      <c r="C12" s="728"/>
      <c r="D12" s="406"/>
      <c r="E12" s="406"/>
      <c r="F12" s="406"/>
      <c r="G12" s="406"/>
      <c r="H12" s="406"/>
      <c r="I12" s="406"/>
      <c r="J12" s="406"/>
      <c r="K12" s="406"/>
      <c r="L12" s="406"/>
      <c r="M12" s="406"/>
    </row>
    <row r="13" spans="1:13">
      <c r="A13" s="717">
        <f t="shared" si="0"/>
        <v>8</v>
      </c>
      <c r="B13" s="718"/>
      <c r="C13" s="722"/>
      <c r="D13" s="406"/>
      <c r="E13" s="406"/>
      <c r="F13" s="406"/>
      <c r="G13" s="406"/>
      <c r="H13" s="406"/>
      <c r="I13" s="406"/>
      <c r="J13" s="406"/>
      <c r="K13" s="406"/>
      <c r="L13" s="406"/>
      <c r="M13" s="406"/>
    </row>
    <row r="14" spans="1:13">
      <c r="A14" s="717">
        <f t="shared" si="0"/>
        <v>9</v>
      </c>
      <c r="B14" s="718"/>
      <c r="C14" s="722"/>
      <c r="D14" s="406"/>
      <c r="E14" s="406"/>
      <c r="F14" s="406"/>
      <c r="G14" s="406"/>
      <c r="H14" s="406"/>
      <c r="I14" s="406"/>
      <c r="J14" s="406"/>
      <c r="K14" s="406"/>
      <c r="L14" s="406"/>
      <c r="M14" s="406"/>
    </row>
    <row r="15" spans="1:13">
      <c r="A15" s="717">
        <f t="shared" si="0"/>
        <v>10</v>
      </c>
      <c r="B15" s="726"/>
      <c r="C15" s="728"/>
      <c r="D15" s="729"/>
      <c r="E15" s="729"/>
      <c r="F15" s="729"/>
      <c r="G15" s="729"/>
      <c r="H15" s="729"/>
      <c r="I15" s="729"/>
      <c r="J15" s="729"/>
      <c r="K15" s="729"/>
      <c r="L15" s="729"/>
      <c r="M15" s="729"/>
    </row>
    <row r="16" spans="1:13">
      <c r="A16" s="717">
        <f t="shared" si="0"/>
        <v>11</v>
      </c>
      <c r="B16" s="718"/>
      <c r="C16" s="722"/>
      <c r="D16" s="406"/>
      <c r="E16" s="406"/>
      <c r="F16" s="406"/>
      <c r="G16" s="406"/>
      <c r="H16" s="406"/>
      <c r="I16" s="406"/>
      <c r="J16" s="406"/>
      <c r="K16" s="406"/>
      <c r="L16" s="406"/>
      <c r="M16" s="406"/>
    </row>
    <row r="17" spans="1:13">
      <c r="A17" s="717">
        <f t="shared" si="0"/>
        <v>12</v>
      </c>
      <c r="B17" s="730"/>
      <c r="C17" s="731"/>
      <c r="D17" s="425"/>
      <c r="E17" s="425"/>
      <c r="F17" s="425"/>
      <c r="G17" s="425"/>
      <c r="H17" s="425"/>
      <c r="I17" s="425"/>
      <c r="J17" s="425"/>
      <c r="K17" s="425"/>
      <c r="L17" s="425"/>
      <c r="M17" s="425"/>
    </row>
    <row r="18" spans="1:13">
      <c r="A18" s="717">
        <f t="shared" si="0"/>
        <v>13</v>
      </c>
      <c r="B18" s="730"/>
      <c r="C18" s="731"/>
      <c r="D18" s="425"/>
      <c r="E18" s="425"/>
      <c r="F18" s="425"/>
      <c r="G18" s="425"/>
      <c r="H18" s="425"/>
      <c r="I18" s="425"/>
      <c r="J18" s="425"/>
      <c r="K18" s="425"/>
      <c r="L18" s="425"/>
      <c r="M18" s="425"/>
    </row>
    <row r="19" spans="1:13">
      <c r="A19" s="783">
        <f t="shared" si="0"/>
        <v>14</v>
      </c>
      <c r="B19" s="784" t="s">
        <v>980</v>
      </c>
      <c r="C19" s="785"/>
      <c r="D19" s="786"/>
      <c r="E19" s="786"/>
      <c r="F19" s="786"/>
      <c r="G19" s="786"/>
      <c r="H19" s="786"/>
      <c r="I19" s="786"/>
      <c r="J19" s="786"/>
      <c r="K19" s="786"/>
      <c r="L19" s="786"/>
      <c r="M19" s="786"/>
    </row>
    <row r="20" spans="1:13">
      <c r="A20" s="732"/>
      <c r="B20" s="733"/>
      <c r="C20" s="733"/>
      <c r="D20" s="733"/>
    </row>
  </sheetData>
  <pageMargins left="0.7" right="0.7" top="0.75" bottom="0.75" header="0.3" footer="0.3"/>
  <pageSetup scale="66" fitToHeight="0"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110" zoomScaleNormal="100" zoomScaleSheetLayoutView="110" workbookViewId="0">
      <selection activeCell="G19" sqref="G19"/>
    </sheetView>
  </sheetViews>
  <sheetFormatPr defaultColWidth="13.1796875" defaultRowHeight="14.5"/>
  <cols>
    <col min="1" max="1" width="23.54296875" style="351" bestFit="1" customWidth="1"/>
    <col min="2" max="2" width="22.26953125" style="351" customWidth="1"/>
    <col min="3" max="3" width="14.81640625" style="351" customWidth="1"/>
    <col min="4" max="4" width="16.7265625" style="351" customWidth="1"/>
    <col min="5" max="16384" width="13.1796875" style="351"/>
  </cols>
  <sheetData>
    <row r="1" spans="1:13">
      <c r="A1" s="702" t="str">
        <f>'Cover Sheets'!A10:D10</f>
        <v>WAPA-UGP 2018 Rate True-up Calculation</v>
      </c>
      <c r="B1" s="714"/>
      <c r="C1" s="398"/>
      <c r="D1" s="398"/>
      <c r="E1" s="398"/>
      <c r="F1" s="398"/>
      <c r="G1" s="398"/>
      <c r="H1" s="398"/>
      <c r="I1" s="398"/>
      <c r="J1" s="398"/>
      <c r="K1" s="398"/>
      <c r="L1" s="398"/>
      <c r="M1" s="734"/>
    </row>
    <row r="2" spans="1:13">
      <c r="A2" s="816" t="s">
        <v>2560</v>
      </c>
      <c r="B2" s="714"/>
      <c r="C2" s="398"/>
      <c r="D2" s="398"/>
      <c r="E2" s="398"/>
      <c r="F2" s="398"/>
      <c r="G2" s="398"/>
      <c r="H2" s="398"/>
      <c r="I2" s="398"/>
      <c r="J2" s="398"/>
      <c r="K2" s="398"/>
      <c r="L2" s="398"/>
      <c r="M2" s="734"/>
    </row>
    <row r="3" spans="1:13">
      <c r="A3" s="703" t="str">
        <f>'Summary-TrueUp'!A3</f>
        <v>12 Months Ending 09/30/2018 True-up</v>
      </c>
      <c r="B3" s="398"/>
      <c r="C3" s="398"/>
      <c r="D3" s="398"/>
      <c r="E3" s="398"/>
      <c r="F3" s="398"/>
      <c r="G3" s="398"/>
      <c r="H3" s="398"/>
      <c r="I3" s="398"/>
      <c r="J3" s="398"/>
      <c r="K3" s="398"/>
      <c r="L3" s="398"/>
      <c r="M3" s="734"/>
    </row>
    <row r="4" spans="1:13" ht="39.5">
      <c r="A4" s="703"/>
      <c r="B4" s="358" t="s">
        <v>2503</v>
      </c>
      <c r="C4" s="359" t="s">
        <v>2504</v>
      </c>
      <c r="D4" s="358" t="s">
        <v>2505</v>
      </c>
      <c r="E4" s="358" t="s">
        <v>2525</v>
      </c>
      <c r="F4" s="358" t="s">
        <v>2506</v>
      </c>
      <c r="G4" s="358" t="s">
        <v>2507</v>
      </c>
      <c r="H4" s="358" t="s">
        <v>2508</v>
      </c>
      <c r="I4" s="358" t="s">
        <v>2509</v>
      </c>
      <c r="J4" s="358" t="s">
        <v>2510</v>
      </c>
      <c r="K4" s="358" t="s">
        <v>2511</v>
      </c>
      <c r="L4" s="358" t="s">
        <v>2510</v>
      </c>
      <c r="M4" s="358" t="s">
        <v>2512</v>
      </c>
    </row>
    <row r="5" spans="1:13">
      <c r="A5" s="715" t="s">
        <v>1385</v>
      </c>
      <c r="B5" s="716">
        <v>-1</v>
      </c>
      <c r="C5" s="716">
        <v>-2</v>
      </c>
      <c r="D5" s="716">
        <v>-3</v>
      </c>
      <c r="E5" s="716">
        <v>-4</v>
      </c>
      <c r="F5" s="716">
        <v>-5</v>
      </c>
      <c r="G5" s="716">
        <v>-6</v>
      </c>
      <c r="H5" s="716">
        <v>-7</v>
      </c>
      <c r="I5" s="716">
        <v>-8</v>
      </c>
      <c r="J5" s="716">
        <v>-9</v>
      </c>
      <c r="K5" s="716">
        <v>-10</v>
      </c>
      <c r="L5" s="716">
        <v>-11</v>
      </c>
      <c r="M5" s="716">
        <v>-12</v>
      </c>
    </row>
    <row r="6" spans="1:13">
      <c r="A6" s="717">
        <v>1</v>
      </c>
      <c r="B6" s="718"/>
      <c r="C6" s="719"/>
      <c r="D6" s="720"/>
      <c r="E6" s="722"/>
      <c r="F6" s="720"/>
      <c r="G6" s="722"/>
      <c r="H6" s="723"/>
      <c r="I6" s="722"/>
      <c r="J6" s="721"/>
      <c r="K6" s="720"/>
      <c r="L6" s="724">
        <f>J6*K6</f>
        <v>0</v>
      </c>
      <c r="M6" s="725">
        <f>L6+H6+G6+I6</f>
        <v>0</v>
      </c>
    </row>
    <row r="7" spans="1:13">
      <c r="A7" s="717">
        <f t="shared" ref="A7:A19" si="0">A6+1</f>
        <v>2</v>
      </c>
      <c r="B7" s="726"/>
      <c r="C7" s="722"/>
      <c r="D7" s="406"/>
      <c r="E7" s="406"/>
      <c r="F7" s="406"/>
      <c r="G7" s="406"/>
      <c r="H7" s="406"/>
      <c r="I7" s="406"/>
      <c r="J7" s="406"/>
      <c r="K7" s="406"/>
      <c r="L7" s="406"/>
      <c r="M7" s="734"/>
    </row>
    <row r="8" spans="1:13">
      <c r="A8" s="717">
        <f t="shared" si="0"/>
        <v>3</v>
      </c>
      <c r="B8" s="726"/>
      <c r="C8" s="722"/>
      <c r="D8" s="406"/>
      <c r="E8" s="406"/>
      <c r="F8" s="406"/>
      <c r="G8" s="406"/>
      <c r="H8" s="406"/>
      <c r="I8" s="406"/>
      <c r="J8" s="406"/>
      <c r="K8" s="406"/>
      <c r="L8" s="406"/>
      <c r="M8" s="734"/>
    </row>
    <row r="9" spans="1:13">
      <c r="A9" s="717">
        <f t="shared" si="0"/>
        <v>4</v>
      </c>
      <c r="B9" s="726"/>
      <c r="C9" s="722"/>
      <c r="D9" s="406"/>
      <c r="E9" s="406"/>
      <c r="F9" s="406"/>
      <c r="G9" s="406"/>
      <c r="H9" s="406"/>
      <c r="I9" s="406"/>
      <c r="J9" s="406"/>
      <c r="K9" s="406"/>
      <c r="L9" s="406"/>
      <c r="M9" s="734"/>
    </row>
    <row r="10" spans="1:13">
      <c r="A10" s="717">
        <f t="shared" si="0"/>
        <v>5</v>
      </c>
      <c r="B10" s="726"/>
      <c r="C10" s="722"/>
      <c r="D10" s="727"/>
      <c r="E10" s="727"/>
      <c r="F10" s="727"/>
      <c r="G10" s="727"/>
      <c r="H10" s="727"/>
      <c r="I10" s="727"/>
      <c r="J10" s="727"/>
      <c r="K10" s="727"/>
      <c r="L10" s="727"/>
      <c r="M10" s="734"/>
    </row>
    <row r="11" spans="1:13">
      <c r="A11" s="717">
        <f t="shared" si="0"/>
        <v>6</v>
      </c>
      <c r="B11" s="726"/>
      <c r="C11" s="406"/>
      <c r="D11" s="406"/>
      <c r="E11" s="406"/>
      <c r="F11" s="406"/>
      <c r="G11" s="406"/>
      <c r="H11" s="406"/>
      <c r="I11" s="406"/>
      <c r="J11" s="406"/>
      <c r="K11" s="406"/>
      <c r="L11" s="406"/>
      <c r="M11" s="734"/>
    </row>
    <row r="12" spans="1:13">
      <c r="A12" s="717">
        <f t="shared" si="0"/>
        <v>7</v>
      </c>
      <c r="B12" s="718"/>
      <c r="C12" s="728"/>
      <c r="D12" s="406"/>
      <c r="E12" s="406"/>
      <c r="F12" s="406"/>
      <c r="G12" s="406"/>
      <c r="H12" s="406"/>
      <c r="I12" s="406"/>
      <c r="J12" s="406"/>
      <c r="K12" s="406"/>
      <c r="L12" s="406"/>
      <c r="M12" s="734"/>
    </row>
    <row r="13" spans="1:13">
      <c r="A13" s="717">
        <f t="shared" si="0"/>
        <v>8</v>
      </c>
      <c r="B13" s="718"/>
      <c r="C13" s="722"/>
      <c r="D13" s="406"/>
      <c r="E13" s="406"/>
      <c r="F13" s="406"/>
      <c r="G13" s="406"/>
      <c r="H13" s="406"/>
      <c r="I13" s="406"/>
      <c r="J13" s="406"/>
      <c r="K13" s="406"/>
      <c r="L13" s="406"/>
      <c r="M13" s="734"/>
    </row>
    <row r="14" spans="1:13">
      <c r="A14" s="717">
        <f t="shared" si="0"/>
        <v>9</v>
      </c>
      <c r="B14" s="718"/>
      <c r="C14" s="722"/>
      <c r="D14" s="406"/>
      <c r="E14" s="406"/>
      <c r="F14" s="406"/>
      <c r="G14" s="406"/>
      <c r="H14" s="406"/>
      <c r="I14" s="406"/>
      <c r="J14" s="406"/>
      <c r="K14" s="406"/>
      <c r="L14" s="406"/>
      <c r="M14" s="734"/>
    </row>
    <row r="15" spans="1:13">
      <c r="A15" s="717">
        <f t="shared" si="0"/>
        <v>10</v>
      </c>
      <c r="B15" s="726"/>
      <c r="C15" s="728"/>
      <c r="D15" s="729"/>
      <c r="E15" s="729"/>
      <c r="F15" s="729"/>
      <c r="G15" s="729"/>
      <c r="H15" s="729"/>
      <c r="I15" s="729"/>
      <c r="J15" s="729"/>
      <c r="K15" s="729"/>
      <c r="L15" s="729"/>
      <c r="M15" s="734"/>
    </row>
    <row r="16" spans="1:13">
      <c r="A16" s="717">
        <f t="shared" si="0"/>
        <v>11</v>
      </c>
      <c r="B16" s="718"/>
      <c r="C16" s="722"/>
      <c r="D16" s="406"/>
      <c r="E16" s="406"/>
      <c r="F16" s="406"/>
      <c r="G16" s="406"/>
      <c r="H16" s="406"/>
      <c r="I16" s="406"/>
      <c r="J16" s="406"/>
      <c r="K16" s="406"/>
      <c r="L16" s="406"/>
      <c r="M16" s="734"/>
    </row>
    <row r="17" spans="1:13">
      <c r="A17" s="717">
        <f t="shared" si="0"/>
        <v>12</v>
      </c>
      <c r="B17" s="730"/>
      <c r="C17" s="731"/>
      <c r="D17" s="425"/>
      <c r="E17" s="425"/>
      <c r="F17" s="425"/>
      <c r="G17" s="425"/>
      <c r="H17" s="425"/>
      <c r="I17" s="425"/>
      <c r="J17" s="425"/>
      <c r="K17" s="425"/>
      <c r="L17" s="425"/>
      <c r="M17" s="734"/>
    </row>
    <row r="18" spans="1:13">
      <c r="A18" s="717">
        <f t="shared" si="0"/>
        <v>13</v>
      </c>
      <c r="B18" s="730"/>
      <c r="C18" s="731"/>
      <c r="D18" s="425"/>
      <c r="E18" s="425"/>
      <c r="F18" s="425"/>
      <c r="G18" s="425"/>
      <c r="H18" s="425"/>
      <c r="I18" s="425"/>
      <c r="J18" s="425"/>
      <c r="K18" s="425"/>
      <c r="L18" s="425"/>
      <c r="M18" s="734"/>
    </row>
    <row r="19" spans="1:13">
      <c r="A19" s="783">
        <f t="shared" si="0"/>
        <v>14</v>
      </c>
      <c r="B19" s="784"/>
      <c r="C19" s="785"/>
      <c r="D19" s="786"/>
      <c r="E19" s="786"/>
      <c r="F19" s="786"/>
      <c r="G19" s="786"/>
      <c r="H19" s="786"/>
      <c r="I19" s="786"/>
      <c r="J19" s="786"/>
      <c r="K19" s="786"/>
      <c r="L19" s="786"/>
      <c r="M19" s="787"/>
    </row>
    <row r="20" spans="1:13">
      <c r="A20" s="732"/>
      <c r="B20" s="733"/>
      <c r="C20" s="733"/>
      <c r="D20" s="733"/>
    </row>
  </sheetData>
  <pageMargins left="0.7" right="0.7" top="0.75" bottom="0.75" header="0.3" footer="0.3"/>
  <pageSetup scale="62" fitToHeight="0"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A4" sqref="A4"/>
    </sheetView>
  </sheetViews>
  <sheetFormatPr defaultColWidth="9.1796875" defaultRowHeight="13"/>
  <cols>
    <col min="1" max="1" width="22.1796875" style="353" customWidth="1"/>
    <col min="2" max="2" width="19.26953125" style="353" bestFit="1" customWidth="1"/>
    <col min="3" max="3" width="76.1796875" style="353" bestFit="1" customWidth="1"/>
    <col min="4" max="4" width="27.81640625" style="353" hidden="1" customWidth="1"/>
    <col min="5" max="5" width="22" style="751" customWidth="1"/>
    <col min="6" max="6" width="16.54296875" style="353" customWidth="1"/>
    <col min="7" max="7" width="15" style="546" customWidth="1"/>
    <col min="8" max="8" width="17.1796875" style="353" customWidth="1"/>
    <col min="9" max="9" width="16.453125" style="547" customWidth="1"/>
    <col min="10" max="10" width="12.7265625" style="353" bestFit="1" customWidth="1"/>
    <col min="11" max="11" width="11.54296875" style="353" bestFit="1" customWidth="1"/>
    <col min="12" max="16384" width="9.1796875" style="353"/>
  </cols>
  <sheetData>
    <row r="1" spans="1:14">
      <c r="A1" s="735" t="str">
        <f>'Cover Sheets'!A10:D10</f>
        <v>WAPA-UGP 2018 Rate True-up Calculation</v>
      </c>
      <c r="B1" s="380"/>
      <c r="C1" s="355"/>
      <c r="D1" s="355"/>
      <c r="E1" s="736"/>
      <c r="F1" s="355"/>
      <c r="G1" s="553"/>
      <c r="H1" s="355"/>
      <c r="I1" s="554"/>
    </row>
    <row r="2" spans="1:14">
      <c r="A2" s="821" t="s">
        <v>2561</v>
      </c>
      <c r="B2" s="381"/>
      <c r="C2" s="356"/>
      <c r="D2" s="356"/>
      <c r="E2" s="552"/>
      <c r="F2" s="356"/>
      <c r="G2" s="537"/>
      <c r="H2" s="356"/>
      <c r="I2" s="538"/>
    </row>
    <row r="3" spans="1:14">
      <c r="A3" s="737" t="str">
        <f>'Summary-TrueUp'!A3</f>
        <v>12 Months Ending 09/30/2018 True-up</v>
      </c>
      <c r="B3" s="381"/>
      <c r="C3" s="356"/>
      <c r="D3" s="356"/>
      <c r="E3" s="552"/>
      <c r="F3" s="356"/>
      <c r="G3" s="537"/>
      <c r="H3" s="356"/>
      <c r="I3" s="538"/>
    </row>
    <row r="4" spans="1:14" s="3" customFormat="1" ht="52">
      <c r="A4" s="738" t="s">
        <v>2523</v>
      </c>
      <c r="B4" s="739" t="s">
        <v>1</v>
      </c>
      <c r="C4" s="427" t="s">
        <v>2</v>
      </c>
      <c r="D4" s="427" t="s">
        <v>1388</v>
      </c>
      <c r="E4" s="549" t="s">
        <v>4</v>
      </c>
      <c r="F4" s="549" t="s">
        <v>2513</v>
      </c>
      <c r="G4" s="550" t="s">
        <v>2514</v>
      </c>
      <c r="H4" s="550" t="s">
        <v>2515</v>
      </c>
      <c r="I4" s="551" t="s">
        <v>2516</v>
      </c>
      <c r="J4" s="8"/>
      <c r="N4" s="8"/>
    </row>
    <row r="5" spans="1:14" ht="13.5" thickBot="1">
      <c r="A5" s="740"/>
      <c r="B5" s="741"/>
      <c r="C5" s="433"/>
      <c r="D5" s="433" t="s">
        <v>2388</v>
      </c>
      <c r="E5" s="434">
        <v>0</v>
      </c>
      <c r="F5" s="434">
        <v>0</v>
      </c>
      <c r="G5" s="435">
        <v>0</v>
      </c>
      <c r="H5" s="435">
        <v>0</v>
      </c>
      <c r="I5" s="436">
        <f>I21+G21</f>
        <v>0</v>
      </c>
      <c r="J5" s="704"/>
      <c r="L5" s="11"/>
      <c r="M5" s="11"/>
      <c r="N5" s="15"/>
    </row>
    <row r="6" spans="1:14">
      <c r="A6" s="437"/>
      <c r="B6" s="742"/>
      <c r="C6" s="743"/>
      <c r="D6" s="439" t="s">
        <v>2517</v>
      </c>
      <c r="E6" s="744">
        <f>SUM(E5:E5)</f>
        <v>0</v>
      </c>
      <c r="F6" s="441">
        <f>SUM(F5:F5)</f>
        <v>0</v>
      </c>
      <c r="G6" s="442">
        <f>SUM(G5:G5)</f>
        <v>0</v>
      </c>
      <c r="H6" s="441">
        <v>0</v>
      </c>
      <c r="I6" s="503">
        <f>SUM(I5)</f>
        <v>0</v>
      </c>
      <c r="J6" s="14"/>
      <c r="K6" s="704"/>
      <c r="L6" s="11"/>
      <c r="M6" s="11"/>
      <c r="N6" s="15"/>
    </row>
    <row r="7" spans="1:14" ht="44.25" customHeight="1">
      <c r="A7" s="533" t="s">
        <v>2524</v>
      </c>
      <c r="B7" s="745" t="s">
        <v>1</v>
      </c>
      <c r="C7" s="746" t="s">
        <v>2</v>
      </c>
      <c r="D7" s="427" t="s">
        <v>2391</v>
      </c>
      <c r="E7" s="747" t="s">
        <v>2396</v>
      </c>
      <c r="F7" s="534" t="s">
        <v>2518</v>
      </c>
      <c r="G7" s="535" t="s">
        <v>2519</v>
      </c>
      <c r="H7" s="445" t="s">
        <v>2520</v>
      </c>
      <c r="I7" s="548" t="s">
        <v>2521</v>
      </c>
    </row>
    <row r="8" spans="1:14">
      <c r="A8" s="515"/>
      <c r="B8" s="748"/>
      <c r="C8" s="515"/>
      <c r="D8" s="428" t="s">
        <v>1390</v>
      </c>
      <c r="E8" s="432"/>
      <c r="F8" s="536">
        <v>0.33</v>
      </c>
      <c r="G8" s="537">
        <f t="shared" ref="G8:G20" si="0">F8*E8</f>
        <v>0</v>
      </c>
      <c r="H8" s="536">
        <v>0.67</v>
      </c>
      <c r="I8" s="538">
        <f>E8*H8</f>
        <v>0</v>
      </c>
    </row>
    <row r="9" spans="1:14">
      <c r="A9" s="515"/>
      <c r="B9" s="748"/>
      <c r="C9" s="515"/>
      <c r="D9" s="428" t="s">
        <v>1392</v>
      </c>
      <c r="E9" s="432"/>
      <c r="F9" s="536">
        <v>0.33</v>
      </c>
      <c r="G9" s="537">
        <f t="shared" si="0"/>
        <v>0</v>
      </c>
      <c r="H9" s="536">
        <v>0.67</v>
      </c>
      <c r="I9" s="538">
        <f t="shared" ref="I9:I20" si="1">E9*H9</f>
        <v>0</v>
      </c>
    </row>
    <row r="10" spans="1:14">
      <c r="A10" s="515"/>
      <c r="B10" s="748"/>
      <c r="C10" s="515"/>
      <c r="D10" s="428" t="s">
        <v>1392</v>
      </c>
      <c r="E10" s="432"/>
      <c r="F10" s="536">
        <v>0.33</v>
      </c>
      <c r="G10" s="537">
        <f t="shared" si="0"/>
        <v>0</v>
      </c>
      <c r="H10" s="536">
        <v>0.67</v>
      </c>
      <c r="I10" s="538">
        <f t="shared" si="1"/>
        <v>0</v>
      </c>
    </row>
    <row r="11" spans="1:14">
      <c r="A11" s="515"/>
      <c r="B11" s="748"/>
      <c r="C11" s="515"/>
      <c r="D11" s="428" t="s">
        <v>1395</v>
      </c>
      <c r="E11" s="432"/>
      <c r="F11" s="536">
        <v>0.33</v>
      </c>
      <c r="G11" s="537">
        <f t="shared" si="0"/>
        <v>0</v>
      </c>
      <c r="H11" s="536">
        <v>0.67</v>
      </c>
      <c r="I11" s="538">
        <f t="shared" si="1"/>
        <v>0</v>
      </c>
    </row>
    <row r="12" spans="1:14">
      <c r="A12" s="515"/>
      <c r="B12" s="748"/>
      <c r="C12" s="515"/>
      <c r="D12" s="428" t="s">
        <v>1390</v>
      </c>
      <c r="E12" s="432"/>
      <c r="F12" s="536">
        <v>0.33</v>
      </c>
      <c r="G12" s="537">
        <f t="shared" si="0"/>
        <v>0</v>
      </c>
      <c r="H12" s="536">
        <v>0.67</v>
      </c>
      <c r="I12" s="538">
        <f t="shared" si="1"/>
        <v>0</v>
      </c>
    </row>
    <row r="13" spans="1:14">
      <c r="A13" s="515"/>
      <c r="B13" s="748"/>
      <c r="C13" s="515"/>
      <c r="D13" s="428" t="s">
        <v>2305</v>
      </c>
      <c r="E13" s="432"/>
      <c r="F13" s="536">
        <v>0.33</v>
      </c>
      <c r="G13" s="537">
        <f t="shared" si="0"/>
        <v>0</v>
      </c>
      <c r="H13" s="536">
        <v>0.67</v>
      </c>
      <c r="I13" s="538">
        <f t="shared" si="1"/>
        <v>0</v>
      </c>
    </row>
    <row r="14" spans="1:14">
      <c r="A14" s="515"/>
      <c r="B14" s="748"/>
      <c r="C14" s="515"/>
      <c r="D14" s="428" t="s">
        <v>2305</v>
      </c>
      <c r="E14" s="432"/>
      <c r="F14" s="536">
        <v>0</v>
      </c>
      <c r="G14" s="537">
        <f t="shared" si="0"/>
        <v>0</v>
      </c>
      <c r="H14" s="536">
        <v>1</v>
      </c>
      <c r="I14" s="538">
        <f t="shared" si="1"/>
        <v>0</v>
      </c>
    </row>
    <row r="15" spans="1:14">
      <c r="A15" s="515"/>
      <c r="B15" s="748"/>
      <c r="C15" s="515"/>
      <c r="D15" s="428" t="s">
        <v>1397</v>
      </c>
      <c r="E15" s="432"/>
      <c r="F15" s="536">
        <v>0</v>
      </c>
      <c r="G15" s="537">
        <f t="shared" si="0"/>
        <v>0</v>
      </c>
      <c r="H15" s="536">
        <v>1</v>
      </c>
      <c r="I15" s="538">
        <f t="shared" si="1"/>
        <v>0</v>
      </c>
    </row>
    <row r="16" spans="1:14">
      <c r="A16" s="515"/>
      <c r="B16" s="748"/>
      <c r="C16" s="515"/>
      <c r="D16" s="428" t="s">
        <v>1392</v>
      </c>
      <c r="E16" s="432"/>
      <c r="F16" s="536">
        <v>0</v>
      </c>
      <c r="G16" s="537">
        <f t="shared" si="0"/>
        <v>0</v>
      </c>
      <c r="H16" s="536">
        <v>1</v>
      </c>
      <c r="I16" s="538">
        <f t="shared" si="1"/>
        <v>0</v>
      </c>
    </row>
    <row r="17" spans="1:9">
      <c r="A17" s="515"/>
      <c r="B17" s="748"/>
      <c r="C17" s="515"/>
      <c r="D17" s="428" t="s">
        <v>1399</v>
      </c>
      <c r="E17" s="432"/>
      <c r="F17" s="536">
        <v>0</v>
      </c>
      <c r="G17" s="537">
        <f t="shared" si="0"/>
        <v>0</v>
      </c>
      <c r="H17" s="536">
        <v>1</v>
      </c>
      <c r="I17" s="538">
        <f t="shared" si="1"/>
        <v>0</v>
      </c>
    </row>
    <row r="18" spans="1:9">
      <c r="A18" s="515"/>
      <c r="B18" s="748"/>
      <c r="C18" s="515"/>
      <c r="D18" s="428" t="s">
        <v>1400</v>
      </c>
      <c r="E18" s="432"/>
      <c r="F18" s="536">
        <v>0</v>
      </c>
      <c r="G18" s="537">
        <f t="shared" si="0"/>
        <v>0</v>
      </c>
      <c r="H18" s="536">
        <v>1</v>
      </c>
      <c r="I18" s="538">
        <f t="shared" si="1"/>
        <v>0</v>
      </c>
    </row>
    <row r="19" spans="1:9">
      <c r="A19" s="515"/>
      <c r="B19" s="748"/>
      <c r="C19" s="515"/>
      <c r="D19" s="428" t="s">
        <v>1402</v>
      </c>
      <c r="E19" s="432"/>
      <c r="F19" s="536">
        <v>0</v>
      </c>
      <c r="G19" s="537">
        <f t="shared" si="0"/>
        <v>0</v>
      </c>
      <c r="H19" s="536">
        <v>1</v>
      </c>
      <c r="I19" s="538">
        <f t="shared" si="1"/>
        <v>0</v>
      </c>
    </row>
    <row r="20" spans="1:9">
      <c r="A20" s="515"/>
      <c r="B20" s="748"/>
      <c r="C20" s="515"/>
      <c r="D20" s="428" t="s">
        <v>1403</v>
      </c>
      <c r="E20" s="432"/>
      <c r="F20" s="536">
        <v>0</v>
      </c>
      <c r="G20" s="537">
        <f t="shared" si="0"/>
        <v>0</v>
      </c>
      <c r="H20" s="536">
        <v>1</v>
      </c>
      <c r="I20" s="538">
        <f t="shared" si="1"/>
        <v>0</v>
      </c>
    </row>
    <row r="21" spans="1:9" ht="13.5" thickBot="1">
      <c r="A21" s="515"/>
      <c r="B21" s="748"/>
      <c r="C21" s="749" t="s">
        <v>961</v>
      </c>
      <c r="D21" s="539"/>
      <c r="E21" s="750">
        <f>SUM(E8:E20)</f>
        <v>0</v>
      </c>
      <c r="F21" s="540">
        <v>0</v>
      </c>
      <c r="G21" s="502">
        <f>SUM(G8:G20)</f>
        <v>0</v>
      </c>
      <c r="H21" s="540"/>
      <c r="I21" s="438">
        <f>SUM(I8:I20)</f>
        <v>0</v>
      </c>
    </row>
    <row r="22" spans="1:9" ht="13.5" thickTop="1">
      <c r="B22" s="541"/>
    </row>
  </sheetData>
  <pageMargins left="0.7" right="0.7" top="0.75" bottom="0.75" header="0.3" footer="0.3"/>
  <pageSetup scale="59" fitToHeight="0"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Cover Sheets</vt:lpstr>
      <vt:lpstr>Summary-TrueUp</vt:lpstr>
      <vt:lpstr>WS1-RateBase</vt:lpstr>
      <vt:lpstr>WS2-AllocFactor</vt:lpstr>
      <vt:lpstr>WS3-RevCredits</vt:lpstr>
      <vt:lpstr>WS4-CostData</vt:lpstr>
      <vt:lpstr>WS5-BPUz</vt:lpstr>
      <vt:lpstr>WS6-BPUr</vt:lpstr>
      <vt:lpstr>WS7-BPUFac</vt:lpstr>
      <vt:lpstr>WS8-TranFac</vt:lpstr>
      <vt:lpstr>WS9-AI-Incl</vt:lpstr>
      <vt:lpstr>WS10-AI-Excl</vt:lpstr>
      <vt:lpstr>WS11-FacChanges</vt:lpstr>
      <vt:lpstr>WS12-SSCD</vt:lpstr>
      <vt:lpstr>WS13-SSCDFac</vt:lpstr>
      <vt:lpstr>WS14-Reg</vt:lpstr>
      <vt:lpstr>WS15-Res</vt:lpstr>
      <vt:lpstr>'Cover Sheets'!Print_Area</vt:lpstr>
      <vt:lpstr>'Summary-TrueUp'!Print_Area</vt:lpstr>
      <vt:lpstr>'WS11-FacChanges'!Print_Area</vt:lpstr>
      <vt:lpstr>'WS12-SSCD'!Print_Area</vt:lpstr>
      <vt:lpstr>'WS14-Reg'!Print_Area</vt:lpstr>
      <vt:lpstr>'WS15-Res'!Print_Area</vt:lpstr>
      <vt:lpstr>'WS1-RateBase'!Print_Area</vt:lpstr>
      <vt:lpstr>'WS2-AllocFactor'!Print_Area</vt:lpstr>
      <vt:lpstr>'WS5-BPUz'!Print_Area</vt:lpstr>
      <vt:lpstr>'WS6-BPUr'!Print_Area</vt:lpstr>
      <vt:lpstr>'WS8-TranFac'!Print_Area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Sara</dc:creator>
  <cp:lastModifiedBy>Sanders, Steven</cp:lastModifiedBy>
  <cp:lastPrinted>2019-10-22T02:16:07Z</cp:lastPrinted>
  <dcterms:created xsi:type="dcterms:W3CDTF">2016-09-02T15:10:22Z</dcterms:created>
  <dcterms:modified xsi:type="dcterms:W3CDTF">2019-10-22T02:46:41Z</dcterms:modified>
</cp:coreProperties>
</file>